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8100" activeTab="0"/>
  </bookViews>
  <sheets>
    <sheet name="Sheet1" sheetId="1" r:id="rId1"/>
  </sheets>
  <definedNames>
    <definedName name="_xlnm.Print_Area" localSheetId="0">'Sheet1'!$A$1:$Z$43</definedName>
  </definedNames>
  <calcPr fullCalcOnLoad="1"/>
</workbook>
</file>

<file path=xl/comments1.xml><?xml version="1.0" encoding="utf-8"?>
<comments xmlns="http://schemas.openxmlformats.org/spreadsheetml/2006/main">
  <authors>
    <author>情報システム厚生課</author>
  </authors>
  <commentList>
    <comment ref="K41" authorId="0">
      <text>
        <r>
          <rPr>
            <b/>
            <sz val="9"/>
            <rFont val="ＭＳ Ｐゴシック"/>
            <family val="3"/>
          </rPr>
          <t>なお計算結果の数値の確認は必ずしてください。</t>
        </r>
      </text>
    </comment>
    <comment ref="K40" authorId="0">
      <text>
        <r>
          <rPr>
            <b/>
            <sz val="9"/>
            <rFont val="ＭＳ Ｐゴシック"/>
            <family val="3"/>
          </rPr>
          <t>なお計算結果の数値の確認は必ずしてください。</t>
        </r>
      </text>
    </comment>
    <comment ref="L40" authorId="0">
      <text>
        <r>
          <rPr>
            <b/>
            <sz val="9"/>
            <rFont val="ＭＳ Ｐゴシック"/>
            <family val="3"/>
          </rPr>
          <t>なお計算結果の数値の確認は必ずしてください。</t>
        </r>
      </text>
    </comment>
  </commentList>
</comments>
</file>

<file path=xl/sharedStrings.xml><?xml version="1.0" encoding="utf-8"?>
<sst xmlns="http://schemas.openxmlformats.org/spreadsheetml/2006/main" count="159" uniqueCount="102">
  <si>
    <t>エネルギーの種類</t>
  </si>
  <si>
    <t>原油（コンデンセートを除く。）</t>
  </si>
  <si>
    <t>原油のうちコンデンセート（NGL）</t>
  </si>
  <si>
    <t>灯油</t>
  </si>
  <si>
    <t>軽油</t>
  </si>
  <si>
    <t>A重油</t>
  </si>
  <si>
    <t>B・C重油</t>
  </si>
  <si>
    <t>石油アスファルト</t>
  </si>
  <si>
    <t>石油コークス</t>
  </si>
  <si>
    <t>石炭コークス</t>
  </si>
  <si>
    <t>コークス炉ガス</t>
  </si>
  <si>
    <t>高炉ガス</t>
  </si>
  <si>
    <t>転炉ガス</t>
  </si>
  <si>
    <t>産業用蒸気</t>
  </si>
  <si>
    <t>産業用以外の蒸気</t>
  </si>
  <si>
    <t>温水</t>
  </si>
  <si>
    <t>冷水</t>
  </si>
  <si>
    <t>小計</t>
  </si>
  <si>
    <t>石油ガス</t>
  </si>
  <si>
    <t>可燃性天然ガス</t>
  </si>
  <si>
    <t>石炭</t>
  </si>
  <si>
    <t>その他</t>
  </si>
  <si>
    <t>一般電気事業者</t>
  </si>
  <si>
    <t>昼間買電</t>
  </si>
  <si>
    <t>夜間買電</t>
  </si>
  <si>
    <t>自家発電</t>
  </si>
  <si>
    <t>電気</t>
  </si>
  <si>
    <t>液化石油ガス（LPG）</t>
  </si>
  <si>
    <t>石油系炭化水素ガス</t>
  </si>
  <si>
    <t>その他可燃性天然ガス</t>
  </si>
  <si>
    <t>原料炭</t>
  </si>
  <si>
    <t>一般炭</t>
  </si>
  <si>
    <t>無煙炭</t>
  </si>
  <si>
    <t>エネルギー使用量</t>
  </si>
  <si>
    <t>単位</t>
  </si>
  <si>
    <t>千㎥</t>
  </si>
  <si>
    <t>燃料</t>
  </si>
  <si>
    <t>熱</t>
  </si>
  <si>
    <t>kl</t>
  </si>
  <si>
    <t>kl</t>
  </si>
  <si>
    <t>ナフサ</t>
  </si>
  <si>
    <t>kl</t>
  </si>
  <si>
    <t>kl</t>
  </si>
  <si>
    <t>kl</t>
  </si>
  <si>
    <t>t</t>
  </si>
  <si>
    <t>t</t>
  </si>
  <si>
    <t>t</t>
  </si>
  <si>
    <t>t</t>
  </si>
  <si>
    <t>t</t>
  </si>
  <si>
    <t>コールタール</t>
  </si>
  <si>
    <t>GJ</t>
  </si>
  <si>
    <t>GJ</t>
  </si>
  <si>
    <t>GJ</t>
  </si>
  <si>
    <t>液化天然ガス（LＮG）</t>
  </si>
  <si>
    <t>販売されたエネルギーの量</t>
  </si>
  <si>
    <t>数値
Ａ</t>
  </si>
  <si>
    <t>熱量Ａ（GJ）</t>
  </si>
  <si>
    <t>数値
Ｂ</t>
  </si>
  <si>
    <t>熱量Ｂ（GJ）</t>
  </si>
  <si>
    <t>ｋｌ</t>
  </si>
  <si>
    <t>熱量Ａ－熱量Ｂ（※1）</t>
  </si>
  <si>
    <t>原油換算エネルギー使用量</t>
  </si>
  <si>
    <t>※1　熱については、数値A－数値Ｂ</t>
  </si>
  <si>
    <t>出量」欄に記入する。</t>
  </si>
  <si>
    <t>合計</t>
  </si>
  <si>
    <t>　　 合計二酸化炭素発生量（有効数字処理後）</t>
  </si>
  <si>
    <r>
      <t xml:space="preserve">二酸化炭素排出量
（t-CO2）
</t>
    </r>
    <r>
      <rPr>
        <sz val="8"/>
        <rFont val="ＭＳ Ｐゴシック"/>
        <family val="3"/>
      </rPr>
      <t>　　　　</t>
    </r>
  </si>
  <si>
    <t>揮発油（ガソリン）</t>
  </si>
  <si>
    <t>都市ガス</t>
  </si>
  <si>
    <r>
      <t>tCO</t>
    </r>
    <r>
      <rPr>
        <b/>
        <vertAlign val="subscript"/>
        <sz val="16"/>
        <rFont val="ＭＳ Ｐゴシック"/>
        <family val="3"/>
      </rPr>
      <t>2</t>
    </r>
  </si>
  <si>
    <t>※2　自家発電について、販売されたものがある場合は、販売された電力に係わる二酸化炭素排出量に、－１を乗じた数値を「二酸化炭素排</t>
  </si>
  <si>
    <t>イーレックス株式会社</t>
  </si>
  <si>
    <t>出光グリーンパワー株式会社</t>
  </si>
  <si>
    <t>エネサーブ株式会社</t>
  </si>
  <si>
    <t>荏原環境プラント株式会社</t>
  </si>
  <si>
    <t>王子製紙株式会社</t>
  </si>
  <si>
    <t>オリックス株式会社</t>
  </si>
  <si>
    <t>株式会社エネット</t>
  </si>
  <si>
    <t>株式会社Ｆ－Ｐｏｗｅｒ</t>
  </si>
  <si>
    <t>株式会社Ｇ－Ｐｏｗｅｒ</t>
  </si>
  <si>
    <t>サミットエナジー株式会社</t>
  </si>
  <si>
    <t>昭和シェル石油株式会社</t>
  </si>
  <si>
    <t>泉北天然ガス発電株式会社</t>
  </si>
  <si>
    <t>ダイヤモンドパワー株式会社</t>
  </si>
  <si>
    <t>日本テクノ株式会社</t>
  </si>
  <si>
    <t>パナソニック株式会社</t>
  </si>
  <si>
    <t>丸紅株式会社</t>
  </si>
  <si>
    <t>上記以外の買電</t>
  </si>
  <si>
    <r>
      <t>千k</t>
    </r>
    <r>
      <rPr>
        <sz val="11"/>
        <rFont val="ＭＳ Ｐゴシック"/>
        <family val="3"/>
      </rPr>
      <t>W</t>
    </r>
    <r>
      <rPr>
        <sz val="11"/>
        <rFont val="ＭＳ Ｐゴシック"/>
        <family val="3"/>
      </rPr>
      <t>h</t>
    </r>
  </si>
  <si>
    <t>伊藤忠エネクス株式会社</t>
  </si>
  <si>
    <t>株式会社日本セレモニー</t>
  </si>
  <si>
    <t>ＪＸ日鉱日石エネルギー株式会社</t>
  </si>
  <si>
    <t>東京エコサービス株式会社</t>
  </si>
  <si>
    <t>日本ロジテック協同組合</t>
  </si>
  <si>
    <t>JENホールディングス株式会社</t>
  </si>
  <si>
    <t>志賀高原リゾート開発株式会社</t>
  </si>
  <si>
    <t>新日鉄住金エンジニアリング株式会社</t>
  </si>
  <si>
    <t>別紙２（第1号様式）　原油換算エネルギー使用量計算表</t>
  </si>
  <si>
    <t>株式会社ミスターマックス</t>
  </si>
  <si>
    <t>テス・エンジニアリング株式会社</t>
  </si>
  <si>
    <t>プレミアムグリーンパワー株式会社</t>
  </si>
  <si>
    <t>ミツウロコグリーンエネルギー株式会社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</si>
</sst>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#,###"/>
    <numFmt numFmtId="179" formatCode="#.##"/>
    <numFmt numFmtId="180" formatCode="###"/>
    <numFmt numFmtId="181" formatCode="0.00_);[Red]\(0.00\)"/>
    <numFmt numFmtId="182" formatCode="0.0_);[Red]\(0.0\)"/>
    <numFmt numFmtId="183" formatCode="#,##0_ ;[Red]\-#,##0\ "/>
    <numFmt numFmtId="184" formatCode="0.0;&quot;▲ &quot;0.0"/>
    <numFmt numFmtId="185" formatCode="#,##0.0;&quot;▲ &quot;#,##0.0"/>
    <numFmt numFmtId="186" formatCode="#,##0;&quot;▲ &quot;#,##0"/>
    <numFmt numFmtId="187" formatCode="0.00;&quot;▲ &quot;0.00"/>
    <numFmt numFmtId="188" formatCode="#,##0.00;&quot;▲ &quot;#,##0.00"/>
    <numFmt numFmtId="189" formatCode="0;&quot;▲ &quot;0"/>
    <numFmt numFmtId="190" formatCode="0.000_ "/>
    <numFmt numFmtId="191" formatCode="0.00_ "/>
    <numFmt numFmtId="192" formatCode="0.0_ 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22"/>
      <name val="ＭＳ Ｐゴシック"/>
      <family val="3"/>
    </font>
    <font>
      <sz val="10"/>
      <color indexed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38" fontId="0" fillId="0" borderId="10" xfId="48" applyFont="1" applyBorder="1" applyAlignment="1">
      <alignment horizontal="center" vertical="center"/>
    </xf>
    <xf numFmtId="186" fontId="0" fillId="0" borderId="10" xfId="48" applyNumberFormat="1" applyFont="1" applyBorder="1" applyAlignment="1">
      <alignment vertical="center"/>
    </xf>
    <xf numFmtId="186" fontId="0" fillId="0" borderId="10" xfId="48" applyNumberFormat="1" applyFont="1" applyBorder="1" applyAlignment="1">
      <alignment vertical="center"/>
    </xf>
    <xf numFmtId="177" fontId="0" fillId="0" borderId="12" xfId="48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186" fontId="0" fillId="0" borderId="12" xfId="48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183" fontId="0" fillId="34" borderId="10" xfId="48" applyNumberFormat="1" applyFont="1" applyFill="1" applyBorder="1" applyAlignment="1" applyProtection="1">
      <alignment vertical="center"/>
      <protection locked="0"/>
    </xf>
    <xf numFmtId="177" fontId="0" fillId="34" borderId="10" xfId="48" applyNumberFormat="1" applyFont="1" applyFill="1" applyBorder="1" applyAlignment="1" applyProtection="1">
      <alignment vertical="center"/>
      <protection locked="0"/>
    </xf>
    <xf numFmtId="38" fontId="0" fillId="0" borderId="10" xfId="48" applyFont="1" applyBorder="1" applyAlignment="1">
      <alignment vertical="center"/>
    </xf>
    <xf numFmtId="0" fontId="0" fillId="0" borderId="17" xfId="0" applyFont="1" applyBorder="1" applyAlignment="1">
      <alignment horizontal="center" vertical="center" textRotation="255" shrinkToFit="1"/>
    </xf>
    <xf numFmtId="0" fontId="0" fillId="0" borderId="18" xfId="0" applyFont="1" applyBorder="1" applyAlignment="1">
      <alignment vertical="center"/>
    </xf>
    <xf numFmtId="186" fontId="3" fillId="35" borderId="10" xfId="48" applyNumberFormat="1" applyFont="1" applyFill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86" fontId="0" fillId="0" borderId="20" xfId="48" applyNumberFormat="1" applyFont="1" applyBorder="1" applyAlignment="1">
      <alignment vertical="center"/>
    </xf>
    <xf numFmtId="0" fontId="7" fillId="35" borderId="0" xfId="0" applyFont="1" applyFill="1" applyAlignment="1">
      <alignment horizontal="right" vertical="center"/>
    </xf>
    <xf numFmtId="0" fontId="7" fillId="36" borderId="0" xfId="0" applyFont="1" applyFill="1" applyAlignment="1">
      <alignment horizontal="right" vertical="center"/>
    </xf>
    <xf numFmtId="38" fontId="0" fillId="37" borderId="10" xfId="48" applyFont="1" applyFill="1" applyBorder="1" applyAlignment="1">
      <alignment vertical="center"/>
    </xf>
    <xf numFmtId="186" fontId="0" fillId="34" borderId="10" xfId="48" applyNumberFormat="1" applyFont="1" applyFill="1" applyBorder="1" applyAlignment="1" applyProtection="1">
      <alignment vertical="center"/>
      <protection locked="0"/>
    </xf>
    <xf numFmtId="184" fontId="0" fillId="33" borderId="11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>
      <alignment vertical="center"/>
    </xf>
    <xf numFmtId="0" fontId="0" fillId="34" borderId="11" xfId="0" applyFont="1" applyFill="1" applyBorder="1" applyAlignment="1" applyProtection="1">
      <alignment vertical="center" shrinkToFit="1"/>
      <protection locked="0"/>
    </xf>
    <xf numFmtId="186" fontId="0" fillId="0" borderId="10" xfId="48" applyNumberFormat="1" applyFont="1" applyFill="1" applyBorder="1" applyAlignment="1">
      <alignment vertical="center"/>
    </xf>
    <xf numFmtId="186" fontId="0" fillId="0" borderId="10" xfId="48" applyNumberFormat="1" applyFont="1" applyFill="1" applyBorder="1" applyAlignment="1" applyProtection="1">
      <alignment vertical="center"/>
      <protection/>
    </xf>
    <xf numFmtId="38" fontId="3" fillId="36" borderId="21" xfId="48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2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 textRotation="255" shrinkToFit="1"/>
    </xf>
    <xf numFmtId="0" fontId="0" fillId="0" borderId="28" xfId="0" applyFont="1" applyBorder="1" applyAlignment="1">
      <alignment horizontal="center" vertical="center" textRotation="255" shrinkToFit="1"/>
    </xf>
    <xf numFmtId="0" fontId="0" fillId="0" borderId="20" xfId="0" applyFont="1" applyBorder="1" applyAlignment="1">
      <alignment horizontal="center" vertical="center" textRotation="255" shrinkToFit="1"/>
    </xf>
    <xf numFmtId="0" fontId="0" fillId="0" borderId="1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vertical="center"/>
    </xf>
    <xf numFmtId="0" fontId="3" fillId="35" borderId="30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</xdr:row>
      <xdr:rowOff>314325</xdr:rowOff>
    </xdr:from>
    <xdr:to>
      <xdr:col>10</xdr:col>
      <xdr:colOff>819150</xdr:colOff>
      <xdr:row>2</xdr:row>
      <xdr:rowOff>476250</xdr:rowOff>
    </xdr:to>
    <xdr:sp>
      <xdr:nvSpPr>
        <xdr:cNvPr id="1" name="Rectangle 6"/>
        <xdr:cNvSpPr>
          <a:spLocks/>
        </xdr:cNvSpPr>
      </xdr:nvSpPr>
      <xdr:spPr>
        <a:xfrm>
          <a:off x="7534275" y="809625"/>
          <a:ext cx="628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実排出係数）</a:t>
          </a:r>
        </a:p>
      </xdr:txBody>
    </xdr:sp>
    <xdr:clientData/>
  </xdr:twoCellAnchor>
  <xdr:twoCellAnchor>
    <xdr:from>
      <xdr:col>11</xdr:col>
      <xdr:colOff>171450</xdr:colOff>
      <xdr:row>2</xdr:row>
      <xdr:rowOff>314325</xdr:rowOff>
    </xdr:from>
    <xdr:to>
      <xdr:col>11</xdr:col>
      <xdr:colOff>933450</xdr:colOff>
      <xdr:row>2</xdr:row>
      <xdr:rowOff>485775</xdr:rowOff>
    </xdr:to>
    <xdr:sp>
      <xdr:nvSpPr>
        <xdr:cNvPr id="2" name="Rectangle 7"/>
        <xdr:cNvSpPr>
          <a:spLocks/>
        </xdr:cNvSpPr>
      </xdr:nvSpPr>
      <xdr:spPr>
        <a:xfrm>
          <a:off x="8553450" y="809625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（調整後排出係数）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view="pageBreakPreview" zoomScale="75" zoomScaleNormal="75" zoomScaleSheetLayoutView="75" zoomScalePageLayoutView="0" workbookViewId="0" topLeftCell="A28">
      <selection activeCell="AH4" sqref="AH4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10.75390625" style="0" customWidth="1"/>
    <col min="5" max="5" width="6.625" style="0" customWidth="1"/>
    <col min="6" max="6" width="11.875" style="0" customWidth="1"/>
    <col min="7" max="7" width="9.75390625" style="0" customWidth="1"/>
    <col min="8" max="8" width="6.75390625" style="0" customWidth="1"/>
    <col min="9" max="9" width="11.125" style="0" customWidth="1"/>
    <col min="10" max="10" width="10.625" style="0" customWidth="1"/>
    <col min="11" max="12" width="13.625" style="0" customWidth="1"/>
    <col min="13" max="13" width="6.875" style="0" customWidth="1"/>
    <col min="14" max="26" width="9.00390625" style="0" hidden="1" customWidth="1"/>
  </cols>
  <sheetData>
    <row r="1" spans="1:29" ht="19.5" customHeight="1">
      <c r="A1" t="s">
        <v>97</v>
      </c>
      <c r="J1" s="74"/>
      <c r="K1" s="74"/>
      <c r="L1" s="74"/>
      <c r="AA1" s="41" t="s">
        <v>87</v>
      </c>
      <c r="AB1" s="41"/>
      <c r="AC1" s="41"/>
    </row>
    <row r="2" spans="1:29" ht="19.5" customHeight="1">
      <c r="A2" s="58" t="s">
        <v>0</v>
      </c>
      <c r="B2" s="59"/>
      <c r="C2" s="60"/>
      <c r="D2" s="55" t="s">
        <v>33</v>
      </c>
      <c r="E2" s="56"/>
      <c r="F2" s="57"/>
      <c r="G2" s="55" t="s">
        <v>54</v>
      </c>
      <c r="H2" s="56"/>
      <c r="I2" s="57"/>
      <c r="J2" s="53" t="s">
        <v>60</v>
      </c>
      <c r="K2" s="43" t="s">
        <v>66</v>
      </c>
      <c r="L2" s="44"/>
      <c r="AA2" s="42" t="s">
        <v>71</v>
      </c>
      <c r="AB2" s="41">
        <v>0.612</v>
      </c>
      <c r="AC2" s="41">
        <v>0.438</v>
      </c>
    </row>
    <row r="3" spans="1:29" ht="42" customHeight="1">
      <c r="A3" s="61"/>
      <c r="B3" s="62"/>
      <c r="C3" s="63"/>
      <c r="D3" s="4" t="s">
        <v>55</v>
      </c>
      <c r="E3" s="5" t="s">
        <v>34</v>
      </c>
      <c r="F3" s="4" t="s">
        <v>56</v>
      </c>
      <c r="G3" s="4" t="s">
        <v>57</v>
      </c>
      <c r="H3" s="5" t="s">
        <v>34</v>
      </c>
      <c r="I3" s="4" t="s">
        <v>58</v>
      </c>
      <c r="J3" s="54"/>
      <c r="K3" s="45"/>
      <c r="L3" s="46"/>
      <c r="AA3" s="42" t="s">
        <v>72</v>
      </c>
      <c r="AB3" s="41">
        <v>0.275</v>
      </c>
      <c r="AC3" s="41">
        <v>0.275</v>
      </c>
    </row>
    <row r="4" spans="1:29" ht="27.75" customHeight="1">
      <c r="A4" s="68" t="s">
        <v>36</v>
      </c>
      <c r="B4" s="49" t="s">
        <v>1</v>
      </c>
      <c r="C4" s="50"/>
      <c r="D4" s="21"/>
      <c r="E4" s="7" t="s">
        <v>38</v>
      </c>
      <c r="F4" s="16">
        <f>ROUND(ROUND(D4,0)*38.2,0)</f>
        <v>0</v>
      </c>
      <c r="G4" s="21"/>
      <c r="H4" s="7" t="s">
        <v>38</v>
      </c>
      <c r="I4" s="16">
        <f>ROUND(ROUND(G4,0)*38.2,0)</f>
        <v>0</v>
      </c>
      <c r="J4" s="9">
        <f>F4-I4</f>
        <v>0</v>
      </c>
      <c r="K4" s="29">
        <f>ROUND(J4*0.0187*44/12,0)</f>
        <v>0</v>
      </c>
      <c r="L4" s="29">
        <f>ROUND(J4*0.0187*44/12,0)</f>
        <v>0</v>
      </c>
      <c r="O4" s="35"/>
      <c r="AA4" s="42" t="s">
        <v>89</v>
      </c>
      <c r="AB4" s="41">
        <v>0.604</v>
      </c>
      <c r="AC4" s="41">
        <v>0.383</v>
      </c>
    </row>
    <row r="5" spans="1:29" ht="27.75" customHeight="1">
      <c r="A5" s="69"/>
      <c r="B5" s="49" t="s">
        <v>2</v>
      </c>
      <c r="C5" s="50"/>
      <c r="D5" s="21"/>
      <c r="E5" s="7" t="s">
        <v>38</v>
      </c>
      <c r="F5" s="16">
        <f>ROUND(ROUND(D5,0)*35.3,0)</f>
        <v>0</v>
      </c>
      <c r="G5" s="21"/>
      <c r="H5" s="7" t="s">
        <v>38</v>
      </c>
      <c r="I5" s="16">
        <f>ROUND(ROUND(G5,0)*35.3,0)</f>
        <v>0</v>
      </c>
      <c r="J5" s="9">
        <f aca="true" t="shared" si="0" ref="J5:J26">F5-I5</f>
        <v>0</v>
      </c>
      <c r="K5" s="8">
        <f>ROUND(J5*0.0184*44/12,0)</f>
        <v>0</v>
      </c>
      <c r="L5" s="8">
        <f>ROUND(J5*0.0184*44/12,0)</f>
        <v>0</v>
      </c>
      <c r="O5" s="35"/>
      <c r="AA5" s="42" t="s">
        <v>73</v>
      </c>
      <c r="AB5" s="41">
        <v>0.503</v>
      </c>
      <c r="AC5" s="41">
        <v>0.494</v>
      </c>
    </row>
    <row r="6" spans="1:29" ht="27.75" customHeight="1">
      <c r="A6" s="69"/>
      <c r="B6" s="49" t="s">
        <v>67</v>
      </c>
      <c r="C6" s="50"/>
      <c r="D6" s="21"/>
      <c r="E6" s="7" t="s">
        <v>39</v>
      </c>
      <c r="F6" s="16">
        <f>ROUND(ROUND(D6,0)*34.6,0)</f>
        <v>0</v>
      </c>
      <c r="G6" s="21"/>
      <c r="H6" s="7" t="s">
        <v>39</v>
      </c>
      <c r="I6" s="16">
        <f>ROUND(ROUND(G6,0)*34.6,0)</f>
        <v>0</v>
      </c>
      <c r="J6" s="9">
        <f t="shared" si="0"/>
        <v>0</v>
      </c>
      <c r="K6" s="8">
        <f>ROUND(J6*0.0183*44/12,0)</f>
        <v>0</v>
      </c>
      <c r="L6" s="8">
        <f>ROUND(J6*0.0183*44/12,0)</f>
        <v>0</v>
      </c>
      <c r="O6" s="35"/>
      <c r="AA6" s="42" t="s">
        <v>74</v>
      </c>
      <c r="AB6" s="41">
        <v>0.437</v>
      </c>
      <c r="AC6" s="41">
        <v>0.436</v>
      </c>
    </row>
    <row r="7" spans="1:29" ht="27.75" customHeight="1">
      <c r="A7" s="69"/>
      <c r="B7" s="49" t="s">
        <v>40</v>
      </c>
      <c r="C7" s="50"/>
      <c r="D7" s="21"/>
      <c r="E7" s="7" t="s">
        <v>39</v>
      </c>
      <c r="F7" s="16">
        <f>ROUND(ROUND(D7,0)*33.6,0)</f>
        <v>0</v>
      </c>
      <c r="G7" s="21"/>
      <c r="H7" s="7" t="s">
        <v>39</v>
      </c>
      <c r="I7" s="16">
        <f>ROUND(ROUND(G7,0)*33.6,0)</f>
        <v>0</v>
      </c>
      <c r="J7" s="9">
        <f t="shared" si="0"/>
        <v>0</v>
      </c>
      <c r="K7" s="8">
        <f>ROUND(J7*0.0182*44/12,0)</f>
        <v>0</v>
      </c>
      <c r="L7" s="8">
        <f>ROUND(J7*0.0182*44/12,0)</f>
        <v>0</v>
      </c>
      <c r="O7" s="35"/>
      <c r="AA7" s="42" t="s">
        <v>75</v>
      </c>
      <c r="AB7" s="41">
        <v>0.432</v>
      </c>
      <c r="AC7" s="41">
        <v>0.432</v>
      </c>
    </row>
    <row r="8" spans="1:29" ht="27.75" customHeight="1">
      <c r="A8" s="69"/>
      <c r="B8" s="51" t="s">
        <v>3</v>
      </c>
      <c r="C8" s="52"/>
      <c r="D8" s="21"/>
      <c r="E8" s="7" t="s">
        <v>41</v>
      </c>
      <c r="F8" s="16">
        <f>ROUND(ROUND(D8,0)*36.7,0)</f>
        <v>0</v>
      </c>
      <c r="G8" s="21"/>
      <c r="H8" s="7" t="s">
        <v>41</v>
      </c>
      <c r="I8" s="16">
        <f>ROUND(ROUND(G8,0)*36.7,0)</f>
        <v>0</v>
      </c>
      <c r="J8" s="9">
        <f t="shared" si="0"/>
        <v>0</v>
      </c>
      <c r="K8" s="8">
        <f>ROUND(J8*0.0185*44/12,0)</f>
        <v>0</v>
      </c>
      <c r="L8" s="8">
        <f>ROUND(J8*0.0185*44/12,0)</f>
        <v>0</v>
      </c>
      <c r="O8" s="35"/>
      <c r="AA8" s="42" t="s">
        <v>76</v>
      </c>
      <c r="AB8" s="41">
        <v>0.459</v>
      </c>
      <c r="AC8" s="41">
        <v>0.458</v>
      </c>
    </row>
    <row r="9" spans="1:29" ht="27.75" customHeight="1">
      <c r="A9" s="69"/>
      <c r="B9" s="51" t="s">
        <v>4</v>
      </c>
      <c r="C9" s="52"/>
      <c r="D9" s="21"/>
      <c r="E9" s="7" t="s">
        <v>42</v>
      </c>
      <c r="F9" s="16">
        <f>ROUND(ROUND(D9,0)*37.7,0)</f>
        <v>0</v>
      </c>
      <c r="G9" s="21"/>
      <c r="H9" s="7" t="s">
        <v>42</v>
      </c>
      <c r="I9" s="16">
        <f>ROUND(ROUND(G9,0)*37.7,0)</f>
        <v>0</v>
      </c>
      <c r="J9" s="9">
        <f t="shared" si="0"/>
        <v>0</v>
      </c>
      <c r="K9" s="8">
        <f>ROUND(J9*0.0187*44/12,0)</f>
        <v>0</v>
      </c>
      <c r="L9" s="8">
        <f>ROUND(J9*0.0187*44/12,0)</f>
        <v>0</v>
      </c>
      <c r="O9" s="35"/>
      <c r="AA9" s="42" t="s">
        <v>77</v>
      </c>
      <c r="AB9" s="41">
        <v>0.409</v>
      </c>
      <c r="AC9" s="41">
        <v>0.408</v>
      </c>
    </row>
    <row r="10" spans="1:29" ht="27.75" customHeight="1">
      <c r="A10" s="69"/>
      <c r="B10" s="51" t="s">
        <v>5</v>
      </c>
      <c r="C10" s="52"/>
      <c r="D10" s="21"/>
      <c r="E10" s="7" t="s">
        <v>43</v>
      </c>
      <c r="F10" s="16">
        <f>ROUND(ROUND(D10,0)*39.1,0)</f>
        <v>0</v>
      </c>
      <c r="G10" s="21"/>
      <c r="H10" s="7" t="s">
        <v>43</v>
      </c>
      <c r="I10" s="16">
        <f>ROUND(ROUND(G10,0)*39.1,0)</f>
        <v>0</v>
      </c>
      <c r="J10" s="9">
        <f t="shared" si="0"/>
        <v>0</v>
      </c>
      <c r="K10" s="8">
        <f>ROUND(J10*0.0189*44/12,0)</f>
        <v>0</v>
      </c>
      <c r="L10" s="8">
        <f>ROUND(J10*0.0189*44/12,0)</f>
        <v>0</v>
      </c>
      <c r="O10" s="35"/>
      <c r="AA10" s="42" t="s">
        <v>78</v>
      </c>
      <c r="AB10" s="41">
        <v>0.448</v>
      </c>
      <c r="AC10" s="41">
        <v>0.448</v>
      </c>
    </row>
    <row r="11" spans="1:29" ht="27.75" customHeight="1">
      <c r="A11" s="69"/>
      <c r="B11" s="51" t="s">
        <v>6</v>
      </c>
      <c r="C11" s="52"/>
      <c r="D11" s="21"/>
      <c r="E11" s="7" t="s">
        <v>43</v>
      </c>
      <c r="F11" s="16">
        <f>ROUND(ROUND(D11,0)*41.9,0)</f>
        <v>0</v>
      </c>
      <c r="G11" s="21"/>
      <c r="H11" s="7" t="s">
        <v>43</v>
      </c>
      <c r="I11" s="16">
        <f>ROUND(ROUND(G11,0)*41.9,0)</f>
        <v>0</v>
      </c>
      <c r="J11" s="9">
        <f t="shared" si="0"/>
        <v>0</v>
      </c>
      <c r="K11" s="8">
        <f>ROUND(J11*0.0195*44/12,0)</f>
        <v>0</v>
      </c>
      <c r="L11" s="8">
        <f>ROUND(J11*0.0195*44/12,0)</f>
        <v>0</v>
      </c>
      <c r="O11" s="35"/>
      <c r="AA11" s="42" t="s">
        <v>79</v>
      </c>
      <c r="AB11" s="41">
        <v>0.379</v>
      </c>
      <c r="AC11" s="41">
        <v>0</v>
      </c>
    </row>
    <row r="12" spans="1:29" ht="27.75" customHeight="1">
      <c r="A12" s="69"/>
      <c r="B12" s="51" t="s">
        <v>7</v>
      </c>
      <c r="C12" s="52"/>
      <c r="D12" s="21"/>
      <c r="E12" s="7" t="s">
        <v>44</v>
      </c>
      <c r="F12" s="16">
        <f>ROUND(ROUND(D12,0)*40.9,0)</f>
        <v>0</v>
      </c>
      <c r="G12" s="21"/>
      <c r="H12" s="7" t="s">
        <v>44</v>
      </c>
      <c r="I12" s="16">
        <f>ROUND(ROUND(G12,0)*40.9,0)</f>
        <v>0</v>
      </c>
      <c r="J12" s="9">
        <f t="shared" si="0"/>
        <v>0</v>
      </c>
      <c r="K12" s="8">
        <f>ROUND(J12*0.0208*44/12,0)</f>
        <v>0</v>
      </c>
      <c r="L12" s="8">
        <f>ROUND(J12*0.0208*44/12,0)</f>
        <v>0</v>
      </c>
      <c r="O12" s="35"/>
      <c r="AA12" s="42" t="s">
        <v>90</v>
      </c>
      <c r="AB12" s="41">
        <v>0.817</v>
      </c>
      <c r="AC12" s="41">
        <v>0.816</v>
      </c>
    </row>
    <row r="13" spans="1:29" ht="27.75" customHeight="1">
      <c r="A13" s="69"/>
      <c r="B13" s="51" t="s">
        <v>8</v>
      </c>
      <c r="C13" s="52"/>
      <c r="D13" s="21"/>
      <c r="E13" s="7" t="s">
        <v>44</v>
      </c>
      <c r="F13" s="16">
        <f>ROUND(ROUND(D13,0)*29.9,0)</f>
        <v>0</v>
      </c>
      <c r="G13" s="21"/>
      <c r="H13" s="7" t="s">
        <v>44</v>
      </c>
      <c r="I13" s="16">
        <f>ROUND(ROUND(G13,0)*29.9,0)</f>
        <v>0</v>
      </c>
      <c r="J13" s="9">
        <f t="shared" si="0"/>
        <v>0</v>
      </c>
      <c r="K13" s="8">
        <f>ROUND(J13*0.0254*44/12,0)</f>
        <v>0</v>
      </c>
      <c r="L13" s="8">
        <f>ROUND(J13*0.0254*44/12,0)</f>
        <v>0</v>
      </c>
      <c r="O13" s="35"/>
      <c r="AA13" s="42" t="s">
        <v>98</v>
      </c>
      <c r="AB13" s="41">
        <v>0.823</v>
      </c>
      <c r="AC13" s="41">
        <v>0.82</v>
      </c>
    </row>
    <row r="14" spans="1:29" ht="27.75" customHeight="1">
      <c r="A14" s="69"/>
      <c r="B14" s="66" t="s">
        <v>18</v>
      </c>
      <c r="C14" s="6" t="s">
        <v>27</v>
      </c>
      <c r="D14" s="21"/>
      <c r="E14" s="7" t="s">
        <v>45</v>
      </c>
      <c r="F14" s="16">
        <f>ROUND(ROUND(D14,0)*50.8,0)</f>
        <v>0</v>
      </c>
      <c r="G14" s="21"/>
      <c r="H14" s="7" t="s">
        <v>45</v>
      </c>
      <c r="I14" s="16">
        <f>ROUND(ROUND(G14,0)*50.8,0)</f>
        <v>0</v>
      </c>
      <c r="J14" s="9">
        <f t="shared" si="0"/>
        <v>0</v>
      </c>
      <c r="K14" s="8">
        <f>ROUND(J14*0.0161*44/12,0)</f>
        <v>0</v>
      </c>
      <c r="L14" s="8">
        <f>ROUND(J14*0.0161*44/12,0)</f>
        <v>0</v>
      </c>
      <c r="AA14" s="42" t="s">
        <v>94</v>
      </c>
      <c r="AB14" s="41">
        <v>0.442</v>
      </c>
      <c r="AC14" s="41">
        <v>0.442</v>
      </c>
    </row>
    <row r="15" spans="1:29" ht="27.75" customHeight="1">
      <c r="A15" s="69"/>
      <c r="B15" s="67"/>
      <c r="C15" s="6" t="s">
        <v>28</v>
      </c>
      <c r="D15" s="21"/>
      <c r="E15" s="7" t="s">
        <v>35</v>
      </c>
      <c r="F15" s="16">
        <f>ROUND(ROUND(D15,0)*44.9,0)</f>
        <v>0</v>
      </c>
      <c r="G15" s="21"/>
      <c r="H15" s="7" t="s">
        <v>35</v>
      </c>
      <c r="I15" s="16">
        <f>ROUND(ROUND(G15,0)*44.9,0)</f>
        <v>0</v>
      </c>
      <c r="J15" s="9">
        <f t="shared" si="0"/>
        <v>0</v>
      </c>
      <c r="K15" s="8">
        <f>ROUND(J15*0.0142*44/12,0)</f>
        <v>0</v>
      </c>
      <c r="L15" s="8">
        <f>ROUND(J15*0.0142*44/12,0)</f>
        <v>0</v>
      </c>
      <c r="AA15" s="42" t="s">
        <v>80</v>
      </c>
      <c r="AB15" s="41">
        <v>0.48</v>
      </c>
      <c r="AC15" s="41">
        <v>0.295</v>
      </c>
    </row>
    <row r="16" spans="1:29" ht="27.75" customHeight="1">
      <c r="A16" s="69"/>
      <c r="B16" s="66" t="s">
        <v>19</v>
      </c>
      <c r="C16" s="6" t="s">
        <v>53</v>
      </c>
      <c r="D16" s="21"/>
      <c r="E16" s="7" t="s">
        <v>45</v>
      </c>
      <c r="F16" s="16">
        <f>ROUND(ROUND(D16,0)*54.6,0)</f>
        <v>0</v>
      </c>
      <c r="G16" s="21"/>
      <c r="H16" s="7" t="s">
        <v>45</v>
      </c>
      <c r="I16" s="16">
        <f>ROUND(ROUND(G16,0)*54.6,0)</f>
        <v>0</v>
      </c>
      <c r="J16" s="9">
        <f t="shared" si="0"/>
        <v>0</v>
      </c>
      <c r="K16" s="8">
        <f>ROUND(J16*0.0135*44/12,0)</f>
        <v>0</v>
      </c>
      <c r="L16" s="8">
        <f>ROUND(J16*0.0135*44/12,0)</f>
        <v>0</v>
      </c>
      <c r="AA16" s="42" t="s">
        <v>91</v>
      </c>
      <c r="AB16" s="41">
        <v>0.379</v>
      </c>
      <c r="AC16" s="41">
        <v>0.379</v>
      </c>
    </row>
    <row r="17" spans="1:29" ht="27.75" customHeight="1">
      <c r="A17" s="69"/>
      <c r="B17" s="67"/>
      <c r="C17" s="6" t="s">
        <v>29</v>
      </c>
      <c r="D17" s="21"/>
      <c r="E17" s="7" t="s">
        <v>35</v>
      </c>
      <c r="F17" s="16">
        <f>ROUND(ROUND(D17,0)*43.5,0)</f>
        <v>0</v>
      </c>
      <c r="G17" s="21"/>
      <c r="H17" s="7" t="s">
        <v>35</v>
      </c>
      <c r="I17" s="16">
        <f>ROUND(ROUND(G17,0)*43.5,0)</f>
        <v>0</v>
      </c>
      <c r="J17" s="9">
        <f t="shared" si="0"/>
        <v>0</v>
      </c>
      <c r="K17" s="8">
        <f>ROUND(J17*0.0139*44/12,0)</f>
        <v>0</v>
      </c>
      <c r="L17" s="8">
        <f>ROUND(J17*0.0139*44/12,0)</f>
        <v>0</v>
      </c>
      <c r="AA17" s="42" t="s">
        <v>81</v>
      </c>
      <c r="AB17" s="41">
        <v>0.371</v>
      </c>
      <c r="AC17" s="41">
        <v>0.37</v>
      </c>
    </row>
    <row r="18" spans="1:29" ht="27.75" customHeight="1">
      <c r="A18" s="69"/>
      <c r="B18" s="71" t="s">
        <v>20</v>
      </c>
      <c r="C18" s="6" t="s">
        <v>30</v>
      </c>
      <c r="D18" s="21"/>
      <c r="E18" s="7" t="s">
        <v>46</v>
      </c>
      <c r="F18" s="16">
        <f>ROUND(ROUND(D18,0)*29,0)</f>
        <v>0</v>
      </c>
      <c r="G18" s="21"/>
      <c r="H18" s="7" t="s">
        <v>46</v>
      </c>
      <c r="I18" s="16">
        <f>ROUND(ROUND(G18,0)*29,0)</f>
        <v>0</v>
      </c>
      <c r="J18" s="9">
        <f t="shared" si="0"/>
        <v>0</v>
      </c>
      <c r="K18" s="8">
        <f>ROUND(J18*0.0245*44/12,0)</f>
        <v>0</v>
      </c>
      <c r="L18" s="8">
        <f>ROUND(J18*0.0245*44/12,0)</f>
        <v>0</v>
      </c>
      <c r="AA18" s="42" t="s">
        <v>96</v>
      </c>
      <c r="AB18" s="41">
        <v>0.601</v>
      </c>
      <c r="AC18" s="41">
        <v>0.6</v>
      </c>
    </row>
    <row r="19" spans="1:29" ht="27.75" customHeight="1">
      <c r="A19" s="69"/>
      <c r="B19" s="72"/>
      <c r="C19" s="6" t="s">
        <v>31</v>
      </c>
      <c r="D19" s="21"/>
      <c r="E19" s="7" t="s">
        <v>47</v>
      </c>
      <c r="F19" s="16">
        <f>ROUND(ROUND(D19,0)*25.7,0)</f>
        <v>0</v>
      </c>
      <c r="G19" s="21"/>
      <c r="H19" s="7" t="s">
        <v>47</v>
      </c>
      <c r="I19" s="16">
        <f>ROUND(ROUND(G19,0)*25.7,0)</f>
        <v>0</v>
      </c>
      <c r="J19" s="9">
        <f t="shared" si="0"/>
        <v>0</v>
      </c>
      <c r="K19" s="8">
        <f>ROUND(J19*0.0247*44/12,0)</f>
        <v>0</v>
      </c>
      <c r="L19" s="8">
        <f>ROUND(J19*0.0247*44/12,0)</f>
        <v>0</v>
      </c>
      <c r="AA19" s="42" t="s">
        <v>82</v>
      </c>
      <c r="AB19" s="41">
        <v>0.378</v>
      </c>
      <c r="AC19" s="41">
        <v>0.377</v>
      </c>
    </row>
    <row r="20" spans="1:29" ht="27.75" customHeight="1">
      <c r="A20" s="69"/>
      <c r="B20" s="73"/>
      <c r="C20" s="6" t="s">
        <v>32</v>
      </c>
      <c r="D20" s="21"/>
      <c r="E20" s="7" t="s">
        <v>48</v>
      </c>
      <c r="F20" s="16">
        <f>ROUND(ROUND(D20,0)*26.9,0)</f>
        <v>0</v>
      </c>
      <c r="G20" s="21"/>
      <c r="H20" s="7" t="s">
        <v>48</v>
      </c>
      <c r="I20" s="16">
        <f>ROUND(ROUND(G20,0)*26.9,0)</f>
        <v>0</v>
      </c>
      <c r="J20" s="9">
        <f t="shared" si="0"/>
        <v>0</v>
      </c>
      <c r="K20" s="8">
        <f>ROUND(J20*0.0255*44/12,0)</f>
        <v>0</v>
      </c>
      <c r="L20" s="8">
        <f>ROUND(J20*0.0255*44/12,0)</f>
        <v>0</v>
      </c>
      <c r="AA20" s="42" t="s">
        <v>83</v>
      </c>
      <c r="AB20" s="41">
        <v>0.393</v>
      </c>
      <c r="AC20" s="41">
        <v>0.392</v>
      </c>
    </row>
    <row r="21" spans="1:29" ht="27.75" customHeight="1">
      <c r="A21" s="69"/>
      <c r="B21" s="51" t="s">
        <v>9</v>
      </c>
      <c r="C21" s="52"/>
      <c r="D21" s="21"/>
      <c r="E21" s="7" t="s">
        <v>44</v>
      </c>
      <c r="F21" s="16">
        <f>ROUND(ROUND(D21,0)*29.4,0)</f>
        <v>0</v>
      </c>
      <c r="G21" s="21"/>
      <c r="H21" s="7" t="s">
        <v>44</v>
      </c>
      <c r="I21" s="16">
        <f>ROUND(ROUND(G21,0)*29.4,0)</f>
        <v>0</v>
      </c>
      <c r="J21" s="9">
        <f t="shared" si="0"/>
        <v>0</v>
      </c>
      <c r="K21" s="8">
        <f>ROUND(J21*0.0294*44/12,0)</f>
        <v>0</v>
      </c>
      <c r="L21" s="8">
        <f>ROUND(J21*0.0294*44/12,0)</f>
        <v>0</v>
      </c>
      <c r="AA21" s="42" t="s">
        <v>99</v>
      </c>
      <c r="AB21" s="41">
        <v>0.391</v>
      </c>
      <c r="AC21" s="41">
        <v>0.391</v>
      </c>
    </row>
    <row r="22" spans="1:29" ht="27.75" customHeight="1">
      <c r="A22" s="69"/>
      <c r="B22" s="51" t="s">
        <v>49</v>
      </c>
      <c r="C22" s="52"/>
      <c r="D22" s="21"/>
      <c r="E22" s="7" t="s">
        <v>44</v>
      </c>
      <c r="F22" s="16">
        <f>ROUND(ROUND(D22,0)*37.3,0)</f>
        <v>0</v>
      </c>
      <c r="G22" s="21"/>
      <c r="H22" s="7" t="s">
        <v>44</v>
      </c>
      <c r="I22" s="16">
        <f>ROUND(ROUND(G22,0)*37.3,0)</f>
        <v>0</v>
      </c>
      <c r="J22" s="9">
        <f t="shared" si="0"/>
        <v>0</v>
      </c>
      <c r="K22" s="8">
        <f>ROUND(J22*0.0209*44/12,0)</f>
        <v>0</v>
      </c>
      <c r="L22" s="8">
        <f>ROUND(J22*0.0209*44/12,0)</f>
        <v>0</v>
      </c>
      <c r="AA22" s="42" t="s">
        <v>92</v>
      </c>
      <c r="AB22" s="41">
        <v>0.065</v>
      </c>
      <c r="AC22" s="41">
        <v>0.065</v>
      </c>
    </row>
    <row r="23" spans="1:29" ht="27.75" customHeight="1">
      <c r="A23" s="69"/>
      <c r="B23" s="51" t="s">
        <v>10</v>
      </c>
      <c r="C23" s="52"/>
      <c r="D23" s="21"/>
      <c r="E23" s="7" t="s">
        <v>35</v>
      </c>
      <c r="F23" s="16">
        <f>ROUND(ROUND(D23,0)*21.1,0)</f>
        <v>0</v>
      </c>
      <c r="G23" s="21"/>
      <c r="H23" s="7" t="s">
        <v>35</v>
      </c>
      <c r="I23" s="16">
        <f>ROUND(ROUND(G23,0)*21.1,0)</f>
        <v>0</v>
      </c>
      <c r="J23" s="9">
        <f t="shared" si="0"/>
        <v>0</v>
      </c>
      <c r="K23" s="8">
        <f>ROUND(J23*0.011*44/12,0)</f>
        <v>0</v>
      </c>
      <c r="L23" s="8">
        <f>ROUND(J23*0.011*44/12,0)</f>
        <v>0</v>
      </c>
      <c r="AA23" s="42" t="s">
        <v>84</v>
      </c>
      <c r="AB23" s="41">
        <v>0.476</v>
      </c>
      <c r="AC23" s="41">
        <v>0.475</v>
      </c>
    </row>
    <row r="24" spans="1:29" ht="27.75" customHeight="1">
      <c r="A24" s="69"/>
      <c r="B24" s="51" t="s">
        <v>11</v>
      </c>
      <c r="C24" s="52"/>
      <c r="D24" s="21"/>
      <c r="E24" s="7" t="s">
        <v>35</v>
      </c>
      <c r="F24" s="16">
        <f>ROUND(ROUND(D24,0)*3.41,0)</f>
        <v>0</v>
      </c>
      <c r="G24" s="21"/>
      <c r="H24" s="7" t="s">
        <v>35</v>
      </c>
      <c r="I24" s="16">
        <f>ROUND(ROUND(G24,0)*3.41,0)</f>
        <v>0</v>
      </c>
      <c r="J24" s="9">
        <f t="shared" si="0"/>
        <v>0</v>
      </c>
      <c r="K24" s="8">
        <f>ROUND(J24*0.0263*44/12,0)</f>
        <v>0</v>
      </c>
      <c r="L24" s="8">
        <f>ROUND(J24*0.0263*44/12,0)</f>
        <v>0</v>
      </c>
      <c r="AA24" s="42" t="s">
        <v>93</v>
      </c>
      <c r="AB24" s="41">
        <v>0.463</v>
      </c>
      <c r="AC24" s="41">
        <v>0.247</v>
      </c>
    </row>
    <row r="25" spans="1:29" ht="27.75" customHeight="1">
      <c r="A25" s="69"/>
      <c r="B25" s="51" t="s">
        <v>12</v>
      </c>
      <c r="C25" s="52"/>
      <c r="D25" s="21"/>
      <c r="E25" s="7" t="s">
        <v>35</v>
      </c>
      <c r="F25" s="16">
        <f>ROUND(ROUND(D25,0)*8.41,0)</f>
        <v>0</v>
      </c>
      <c r="G25" s="21"/>
      <c r="H25" s="7" t="s">
        <v>35</v>
      </c>
      <c r="I25" s="16">
        <f>ROUND(ROUND(G25,0)*8.41,0)</f>
        <v>0</v>
      </c>
      <c r="J25" s="9">
        <f t="shared" si="0"/>
        <v>0</v>
      </c>
      <c r="K25" s="8">
        <f>ROUND(J25*0.0384*44/12,0)</f>
        <v>0</v>
      </c>
      <c r="L25" s="8">
        <f>ROUND(J25*0.0384*44/12,0)</f>
        <v>0</v>
      </c>
      <c r="AA25" s="42" t="s">
        <v>85</v>
      </c>
      <c r="AB25" s="41">
        <v>0.601</v>
      </c>
      <c r="AC25" s="41">
        <v>0.601</v>
      </c>
    </row>
    <row r="26" spans="1:29" ht="27.75" customHeight="1">
      <c r="A26" s="69"/>
      <c r="B26" s="11" t="s">
        <v>68</v>
      </c>
      <c r="C26" s="34">
        <v>45</v>
      </c>
      <c r="D26" s="21"/>
      <c r="E26" s="7" t="s">
        <v>35</v>
      </c>
      <c r="F26" s="16">
        <f>ROUND(ROUND(D26,0)*C26,0)</f>
        <v>0</v>
      </c>
      <c r="G26" s="21"/>
      <c r="H26" s="7" t="s">
        <v>35</v>
      </c>
      <c r="I26" s="32">
        <f>ROUND(ROUND(G26,0)*C26,0)</f>
        <v>0</v>
      </c>
      <c r="J26" s="9">
        <f t="shared" si="0"/>
        <v>0</v>
      </c>
      <c r="K26" s="8">
        <f>ROUND(J26*0.0136*44/12,0)</f>
        <v>0</v>
      </c>
      <c r="L26" s="8">
        <f>ROUND(J26*0.0136*44/12,0)</f>
        <v>0</v>
      </c>
      <c r="AA26" s="42" t="s">
        <v>100</v>
      </c>
      <c r="AB26" s="41">
        <v>0.016</v>
      </c>
      <c r="AC26" s="41">
        <v>0.016</v>
      </c>
    </row>
    <row r="27" spans="1:29" ht="27.75" customHeight="1">
      <c r="A27" s="69"/>
      <c r="B27" s="55" t="s">
        <v>17</v>
      </c>
      <c r="C27" s="57"/>
      <c r="D27" s="64"/>
      <c r="E27" s="65"/>
      <c r="F27" s="23">
        <f>SUM(F4:F26)</f>
        <v>0</v>
      </c>
      <c r="G27" s="47"/>
      <c r="H27" s="48"/>
      <c r="I27" s="23">
        <f>SUM(I4:I26)</f>
        <v>0</v>
      </c>
      <c r="J27" s="23">
        <f>SUM(J4:J26)</f>
        <v>0</v>
      </c>
      <c r="K27" s="9">
        <f>SUM(K4:K26)</f>
        <v>0</v>
      </c>
      <c r="L27" s="9">
        <f>SUM(L4:L26)</f>
        <v>0</v>
      </c>
      <c r="AA27" s="42" t="s">
        <v>86</v>
      </c>
      <c r="AB27" s="41">
        <v>0.343</v>
      </c>
      <c r="AC27" s="41">
        <v>0.315</v>
      </c>
    </row>
    <row r="28" spans="1:29" ht="27.75" customHeight="1">
      <c r="A28" s="68" t="s">
        <v>37</v>
      </c>
      <c r="B28" s="51" t="s">
        <v>13</v>
      </c>
      <c r="C28" s="52"/>
      <c r="D28" s="21"/>
      <c r="E28" s="7" t="s">
        <v>50</v>
      </c>
      <c r="F28" s="16">
        <f>ROUND(ROUND(D28,0)*1.02,0)</f>
        <v>0</v>
      </c>
      <c r="G28" s="21"/>
      <c r="H28" s="7" t="s">
        <v>50</v>
      </c>
      <c r="I28" s="16">
        <f>ROUND(ROUND(G28,0)*1.02,0)</f>
        <v>0</v>
      </c>
      <c r="J28" s="9">
        <f>+D28-G28</f>
        <v>0</v>
      </c>
      <c r="K28" s="8">
        <f>ROUND(J28*0.06,0)</f>
        <v>0</v>
      </c>
      <c r="L28" s="8">
        <f>ROUND(J28*0.06,0)</f>
        <v>0</v>
      </c>
      <c r="AA28" s="42" t="s">
        <v>101</v>
      </c>
      <c r="AB28" s="41">
        <v>0.405</v>
      </c>
      <c r="AC28" s="41">
        <v>0.404</v>
      </c>
    </row>
    <row r="29" spans="1:29" ht="27.75" customHeight="1">
      <c r="A29" s="69"/>
      <c r="B29" s="51" t="s">
        <v>14</v>
      </c>
      <c r="C29" s="52"/>
      <c r="D29" s="21"/>
      <c r="E29" s="7" t="s">
        <v>50</v>
      </c>
      <c r="F29" s="16">
        <f>ROUND(ROUND(D29,0)*1.36,0)</f>
        <v>0</v>
      </c>
      <c r="G29" s="21"/>
      <c r="H29" s="7" t="s">
        <v>50</v>
      </c>
      <c r="I29" s="16">
        <f>ROUND(ROUND(G29,0)*1.36,0)</f>
        <v>0</v>
      </c>
      <c r="J29" s="9">
        <f>+D29-G29</f>
        <v>0</v>
      </c>
      <c r="K29" s="8">
        <f>ROUND(J29*0.057,0)</f>
        <v>0</v>
      </c>
      <c r="L29" s="8">
        <f>ROUND(J29*0.057,0)</f>
        <v>0</v>
      </c>
      <c r="AA29" s="42" t="s">
        <v>95</v>
      </c>
      <c r="AB29" s="41">
        <v>0.768</v>
      </c>
      <c r="AC29" s="41">
        <v>0.767</v>
      </c>
    </row>
    <row r="30" spans="1:27" ht="27.75" customHeight="1">
      <c r="A30" s="69"/>
      <c r="B30" s="51" t="s">
        <v>15</v>
      </c>
      <c r="C30" s="52"/>
      <c r="D30" s="21"/>
      <c r="E30" s="7" t="s">
        <v>51</v>
      </c>
      <c r="F30" s="16">
        <f>ROUND(ROUND(D30,0)*1.36,0)</f>
        <v>0</v>
      </c>
      <c r="G30" s="21"/>
      <c r="H30" s="7" t="s">
        <v>51</v>
      </c>
      <c r="I30" s="16">
        <f>ROUND(ROUND(G30,0)*1.36,0)</f>
        <v>0</v>
      </c>
      <c r="J30" s="9">
        <f>+D30-G30</f>
        <v>0</v>
      </c>
      <c r="K30" s="8">
        <f>ROUND(J30*0.057,0)</f>
        <v>0</v>
      </c>
      <c r="L30" s="8">
        <f>ROUND(J30*0.057,0)</f>
        <v>0</v>
      </c>
      <c r="AA30" s="40"/>
    </row>
    <row r="31" spans="1:12" ht="27.75" customHeight="1">
      <c r="A31" s="69"/>
      <c r="B31" s="51" t="s">
        <v>16</v>
      </c>
      <c r="C31" s="52"/>
      <c r="D31" s="21"/>
      <c r="E31" s="7" t="s">
        <v>52</v>
      </c>
      <c r="F31" s="16">
        <f>ROUND(ROUND(D31,0)*1.36,0)</f>
        <v>0</v>
      </c>
      <c r="G31" s="21"/>
      <c r="H31" s="7" t="s">
        <v>52</v>
      </c>
      <c r="I31" s="16">
        <f>ROUND(ROUND(G31,0)*1.36,0)</f>
        <v>0</v>
      </c>
      <c r="J31" s="9">
        <f>+D31-G31</f>
        <v>0</v>
      </c>
      <c r="K31" s="8">
        <f>ROUND(J31*0.057,0)</f>
        <v>0</v>
      </c>
      <c r="L31" s="8">
        <f>ROUND(J31*0.057,0)</f>
        <v>0</v>
      </c>
    </row>
    <row r="32" spans="1:12" ht="27.75" customHeight="1">
      <c r="A32" s="70"/>
      <c r="B32" s="55" t="s">
        <v>17</v>
      </c>
      <c r="C32" s="57"/>
      <c r="D32" s="23">
        <f>SUM(D28:D31)</f>
        <v>0</v>
      </c>
      <c r="E32" s="7" t="s">
        <v>52</v>
      </c>
      <c r="F32" s="23">
        <f>SUM(F28:F31)</f>
        <v>0</v>
      </c>
      <c r="G32" s="23">
        <f>SUM(G28:G31)</f>
        <v>0</v>
      </c>
      <c r="H32" s="7" t="s">
        <v>52</v>
      </c>
      <c r="I32" s="23">
        <f>SUM(I28:I31)</f>
        <v>0</v>
      </c>
      <c r="J32" s="23">
        <f>SUM(J28:J31)</f>
        <v>0</v>
      </c>
      <c r="K32" s="9">
        <f>SUM(K28:K31)</f>
        <v>0</v>
      </c>
      <c r="L32" s="9">
        <f>SUM(L28:L31)</f>
        <v>0</v>
      </c>
    </row>
    <row r="33" spans="1:12" ht="27.75" customHeight="1">
      <c r="A33" s="68" t="s">
        <v>26</v>
      </c>
      <c r="B33" s="66" t="s">
        <v>22</v>
      </c>
      <c r="C33" s="6" t="s">
        <v>23</v>
      </c>
      <c r="D33" s="21"/>
      <c r="E33" s="7" t="s">
        <v>88</v>
      </c>
      <c r="F33" s="16">
        <f>ROUND(ROUND(D33,0)*9.97,0)</f>
        <v>0</v>
      </c>
      <c r="G33" s="10"/>
      <c r="H33" s="7" t="s">
        <v>88</v>
      </c>
      <c r="I33" s="17"/>
      <c r="J33" s="9">
        <f>+F33</f>
        <v>0</v>
      </c>
      <c r="K33" s="8">
        <f>ROUND(D33*0.464,0)</f>
        <v>0</v>
      </c>
      <c r="L33" s="8">
        <f>ROUND(D33*0.463,0)</f>
        <v>0</v>
      </c>
    </row>
    <row r="34" spans="1:12" ht="27.75" customHeight="1">
      <c r="A34" s="69"/>
      <c r="B34" s="67"/>
      <c r="C34" s="6" t="s">
        <v>24</v>
      </c>
      <c r="D34" s="21"/>
      <c r="E34" s="7" t="s">
        <v>88</v>
      </c>
      <c r="F34" s="16">
        <f>ROUND(ROUND(D34,0)*9.28,0)</f>
        <v>0</v>
      </c>
      <c r="G34" s="10"/>
      <c r="H34" s="7" t="s">
        <v>88</v>
      </c>
      <c r="I34" s="17"/>
      <c r="J34" s="9">
        <f>+F34</f>
        <v>0</v>
      </c>
      <c r="K34" s="8">
        <f>ROUND(D34*0.464,0)</f>
        <v>0</v>
      </c>
      <c r="L34" s="8">
        <f>ROUND(D34*0.463,0)</f>
        <v>0</v>
      </c>
    </row>
    <row r="35" spans="1:12" ht="27.75" customHeight="1">
      <c r="A35" s="69"/>
      <c r="B35" s="71" t="s">
        <v>21</v>
      </c>
      <c r="C35" s="36" t="s">
        <v>87</v>
      </c>
      <c r="D35" s="21"/>
      <c r="E35" s="7" t="s">
        <v>88</v>
      </c>
      <c r="F35" s="16">
        <f>ROUND(ROUND(D35,0)*9.76,0)</f>
        <v>0</v>
      </c>
      <c r="G35" s="10"/>
      <c r="H35" s="7" t="s">
        <v>88</v>
      </c>
      <c r="I35" s="17"/>
      <c r="J35" s="9">
        <f>+F35</f>
        <v>0</v>
      </c>
      <c r="K35" s="37">
        <f>IF(ISNA(ROUND(D35*VLOOKUP(C35,AA2:AC30,2,FALSE),0))=TRUE(),0,ROUND(D35*VLOOKUP(C35,AA2:AC30,2,FALSE),0))</f>
        <v>0</v>
      </c>
      <c r="L35" s="38">
        <f>IF(ISNA(ROUND(D35*VLOOKUP(C35,AA2:AC30,3,FALSE),0))=TRUE(),0,ROUND(D35*VLOOKUP(C35,AA2:AC30,3,FALSE),0))</f>
        <v>0</v>
      </c>
    </row>
    <row r="36" spans="1:12" ht="27.75" customHeight="1">
      <c r="A36" s="69"/>
      <c r="B36" s="72"/>
      <c r="C36" s="36" t="s">
        <v>87</v>
      </c>
      <c r="D36" s="21"/>
      <c r="E36" s="7" t="s">
        <v>88</v>
      </c>
      <c r="F36" s="16">
        <f>ROUND(ROUND(D36,0)*9.76,0)</f>
        <v>0</v>
      </c>
      <c r="G36" s="10"/>
      <c r="H36" s="7" t="s">
        <v>88</v>
      </c>
      <c r="I36" s="17"/>
      <c r="J36" s="9">
        <f>+F36</f>
        <v>0</v>
      </c>
      <c r="K36" s="37">
        <f>IF(ISNA(ROUND(D36*VLOOKUP(C36,AA2:AC30,2,FALSE),0))=TRUE(),0,ROUND(D36*VLOOKUP(C36,AA2:AC30,2,FALSE),0))</f>
        <v>0</v>
      </c>
      <c r="L36" s="38">
        <f>IF(ISNA(ROUND(D36*VLOOKUP(C36,AA2:AC30,3,FALSE),0))=TRUE(),0,ROUND(D36*VLOOKUP(C36,AA2:AC30,3,FALSE),0))</f>
        <v>0</v>
      </c>
    </row>
    <row r="37" spans="1:12" ht="27.75" customHeight="1">
      <c r="A37" s="69"/>
      <c r="B37" s="73"/>
      <c r="C37" s="6" t="s">
        <v>25</v>
      </c>
      <c r="D37" s="10"/>
      <c r="E37" s="7" t="s">
        <v>88</v>
      </c>
      <c r="F37" s="17"/>
      <c r="G37" s="22"/>
      <c r="H37" s="7" t="s">
        <v>88</v>
      </c>
      <c r="I37" s="17"/>
      <c r="J37" s="13"/>
      <c r="K37" s="33"/>
      <c r="L37" s="33"/>
    </row>
    <row r="38" spans="1:12" ht="27.75" customHeight="1" thickBot="1">
      <c r="A38" s="70"/>
      <c r="B38" s="58" t="s">
        <v>17</v>
      </c>
      <c r="C38" s="59"/>
      <c r="D38" s="59"/>
      <c r="E38" s="60"/>
      <c r="F38" s="27">
        <f>SUM(F33:F36)</f>
        <v>0</v>
      </c>
      <c r="G38" s="18"/>
      <c r="H38" s="14"/>
      <c r="I38" s="14"/>
      <c r="J38" s="15"/>
      <c r="K38" s="9">
        <f>SUM(K33:K37)</f>
        <v>0</v>
      </c>
      <c r="L38" s="9">
        <f>SUM(L33:L37)</f>
        <v>0</v>
      </c>
    </row>
    <row r="39" spans="1:13" ht="27.75" customHeight="1" thickBot="1">
      <c r="A39" s="24"/>
      <c r="B39" s="75" t="s">
        <v>61</v>
      </c>
      <c r="C39" s="76"/>
      <c r="D39" s="76"/>
      <c r="E39" s="76"/>
      <c r="F39" s="19">
        <f>ROUND((F27+F32+F38)*0.0258,0)</f>
        <v>0</v>
      </c>
      <c r="G39" s="20" t="s">
        <v>59</v>
      </c>
      <c r="H39" s="18"/>
      <c r="I39" s="18"/>
      <c r="J39" s="25" t="s">
        <v>64</v>
      </c>
      <c r="K39" s="26">
        <f>+K27+K32+K38</f>
        <v>0</v>
      </c>
      <c r="L39" s="26">
        <f>+L27+L32+L38</f>
        <v>0</v>
      </c>
      <c r="M39" s="30" t="s">
        <v>69</v>
      </c>
    </row>
    <row r="40" spans="1:13" ht="27.75" customHeight="1" thickBot="1">
      <c r="A40" s="77" t="s">
        <v>65</v>
      </c>
      <c r="B40" s="78"/>
      <c r="C40" s="78"/>
      <c r="D40" s="78"/>
      <c r="E40" s="78"/>
      <c r="F40" s="78"/>
      <c r="G40" s="78"/>
      <c r="H40" s="79"/>
      <c r="I40" s="79"/>
      <c r="J40" s="80"/>
      <c r="K40" s="39">
        <f>IF(K39&gt;0,ROUND((K39),3-INT(LOG(K39))-1),0)</f>
        <v>0</v>
      </c>
      <c r="L40" s="39">
        <f>IF(L39&gt;0,ROUND((L39),3-INT(LOG(L39))-1),0)</f>
        <v>0</v>
      </c>
      <c r="M40" s="31" t="s">
        <v>69</v>
      </c>
    </row>
    <row r="41" spans="1:11" ht="21.75" customHeight="1">
      <c r="A41" s="3" t="s">
        <v>62</v>
      </c>
      <c r="B41" s="1"/>
      <c r="C41" s="1"/>
      <c r="D41" s="1"/>
      <c r="E41" s="1"/>
      <c r="F41" s="2"/>
      <c r="G41" s="2"/>
      <c r="H41" s="2"/>
      <c r="I41" s="2"/>
      <c r="J41" s="1"/>
      <c r="K41" s="28"/>
    </row>
    <row r="42" spans="1:8" ht="18.75" customHeight="1">
      <c r="A42" s="12" t="s">
        <v>70</v>
      </c>
      <c r="B42" s="12"/>
      <c r="C42" s="12"/>
      <c r="D42" s="12"/>
      <c r="E42" s="12"/>
      <c r="F42" s="12"/>
      <c r="G42" s="12"/>
      <c r="H42" s="12"/>
    </row>
    <row r="43" ht="13.5">
      <c r="A43" t="s">
        <v>63</v>
      </c>
    </row>
  </sheetData>
  <sheetProtection/>
  <mergeCells count="40">
    <mergeCell ref="J1:L1"/>
    <mergeCell ref="B39:E39"/>
    <mergeCell ref="A40:J40"/>
    <mergeCell ref="B28:C28"/>
    <mergeCell ref="B29:C29"/>
    <mergeCell ref="B30:C30"/>
    <mergeCell ref="B31:C31"/>
    <mergeCell ref="B33:B34"/>
    <mergeCell ref="A33:A38"/>
    <mergeCell ref="B35:B37"/>
    <mergeCell ref="A28:A32"/>
    <mergeCell ref="A4:A27"/>
    <mergeCell ref="B16:B17"/>
    <mergeCell ref="B18:B20"/>
    <mergeCell ref="B24:C24"/>
    <mergeCell ref="B25:C25"/>
    <mergeCell ref="B22:C22"/>
    <mergeCell ref="B23:C23"/>
    <mergeCell ref="B21:C21"/>
    <mergeCell ref="B11:C11"/>
    <mergeCell ref="B5:C5"/>
    <mergeCell ref="G2:I2"/>
    <mergeCell ref="B38:E38"/>
    <mergeCell ref="B32:C32"/>
    <mergeCell ref="D27:E27"/>
    <mergeCell ref="B27:C27"/>
    <mergeCell ref="B12:C12"/>
    <mergeCell ref="B13:C13"/>
    <mergeCell ref="B14:B15"/>
    <mergeCell ref="B10:C10"/>
    <mergeCell ref="K2:L3"/>
    <mergeCell ref="G27:H27"/>
    <mergeCell ref="B7:C7"/>
    <mergeCell ref="B9:C9"/>
    <mergeCell ref="B8:C8"/>
    <mergeCell ref="J2:J3"/>
    <mergeCell ref="D2:F2"/>
    <mergeCell ref="A2:C3"/>
    <mergeCell ref="B4:C4"/>
    <mergeCell ref="B6:C6"/>
  </mergeCells>
  <dataValidations count="1">
    <dataValidation type="list" allowBlank="1" showInputMessage="1" showErrorMessage="1" sqref="C35:C36">
      <formula1>$AA$1:$AA$30</formula1>
    </dataValidation>
  </dataValidations>
  <printOptions/>
  <pageMargins left="0.787" right="0.787" top="0.984" bottom="0.984" header="0.512" footer="0.512"/>
  <pageSetup horizontalDpi="600" verticalDpi="600" orientation="portrait" paperSize="9" scale="65" r:id="rId4"/>
  <colBreaks count="1" manualBreakCount="1">
    <brk id="26" max="65535" man="1"/>
  </colBreaks>
  <ignoredErrors>
    <ignoredError sqref="K32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user</cp:lastModifiedBy>
  <cp:lastPrinted>2013-03-06T04:10:19Z</cp:lastPrinted>
  <dcterms:created xsi:type="dcterms:W3CDTF">2007-02-08T01:37:18Z</dcterms:created>
  <dcterms:modified xsi:type="dcterms:W3CDTF">2013-04-03T04:50:27Z</dcterms:modified>
  <cp:category/>
  <cp:version/>
  <cp:contentType/>
  <cp:contentStatus/>
</cp:coreProperties>
</file>