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7B8" lockStructure="1"/>
  <bookViews>
    <workbookView xWindow="0" yWindow="0" windowWidth="23040" windowHeight="8616" firstSheet="5" activeTab="5"/>
  </bookViews>
  <sheets>
    <sheet name="非表示_作業履歴" sheetId="74" state="hidden" r:id="rId1"/>
    <sheet name="非表示_集計用シート" sheetId="79" state="hidden" r:id="rId2"/>
    <sheet name="非表示_評価基準" sheetId="76" state="hidden" r:id="rId3"/>
    <sheet name="非表示_リスト" sheetId="66" state="hidden" r:id="rId4"/>
    <sheet name="非表示_備忘メモ" sheetId="52" state="hidden" r:id="rId5"/>
    <sheet name="作業の流れ" sheetId="80" r:id="rId6"/>
    <sheet name="A.貼付_2025提出" sheetId="68" r:id="rId7"/>
    <sheet name="A.貼付_2026提出" sheetId="69" r:id="rId8"/>
    <sheet name="A.貼付_2027提出" sheetId="70" r:id="rId9"/>
    <sheet name="A.貼付_2028提出" sheetId="71" r:id="rId10"/>
    <sheet name="B1.入力_第1面" sheetId="46" r:id="rId11"/>
    <sheet name="B2.入力_第2~4面" sheetId="57" r:id="rId12"/>
    <sheet name="参考1_評価結果" sheetId="77" r:id="rId13"/>
    <sheet name="参考2_エネ使用量経年" sheetId="72" r:id="rId14"/>
    <sheet name="参考3_排出量経年" sheetId="73"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非表示_作業履歴!$A$1:$F$33</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非表示_リスト!$Y$70:$Y$72</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G160" i="69" l="1"/>
  <c r="HC160" i="69"/>
  <c r="HG159" i="69"/>
  <c r="HC159" i="69"/>
  <c r="HG158" i="69"/>
  <c r="HC158" i="69"/>
  <c r="HG157" i="69"/>
  <c r="HC157" i="69"/>
  <c r="HG156" i="69"/>
  <c r="HC156" i="69"/>
  <c r="HG155" i="69"/>
  <c r="HC155" i="69"/>
  <c r="HG154" i="69"/>
  <c r="HC154" i="69"/>
  <c r="HG153" i="69"/>
  <c r="HC153" i="69"/>
  <c r="HG152" i="69"/>
  <c r="HC152" i="69"/>
  <c r="HG151" i="69"/>
  <c r="HC151" i="69"/>
  <c r="HG150" i="69"/>
  <c r="HC150" i="69"/>
  <c r="HG149" i="69"/>
  <c r="HC149" i="69"/>
  <c r="HG148" i="69"/>
  <c r="HC148" i="69"/>
  <c r="HG147" i="69"/>
  <c r="HC147" i="69"/>
  <c r="HG146" i="69"/>
  <c r="HC146" i="69"/>
  <c r="HG145" i="69"/>
  <c r="HC145" i="69"/>
  <c r="HG144" i="69"/>
  <c r="HC144" i="69"/>
  <c r="HG143" i="69"/>
  <c r="HC143" i="69"/>
  <c r="HG142" i="69"/>
  <c r="HC142" i="69"/>
  <c r="HG141" i="69"/>
  <c r="HC141" i="69"/>
  <c r="HG140" i="69"/>
  <c r="HC140" i="69"/>
  <c r="HG139" i="69"/>
  <c r="HC139" i="69"/>
  <c r="HG138" i="69"/>
  <c r="HC138" i="69"/>
  <c r="HG137" i="69"/>
  <c r="HC137" i="69"/>
  <c r="HG136" i="69"/>
  <c r="HC136" i="69"/>
  <c r="HG135" i="69"/>
  <c r="HC135" i="69"/>
  <c r="HG134" i="69"/>
  <c r="HC134" i="69"/>
  <c r="HG133" i="69"/>
  <c r="HC133" i="69"/>
  <c r="HG132" i="69"/>
  <c r="HC132" i="69"/>
  <c r="HG131" i="69"/>
  <c r="HC131" i="69"/>
  <c r="HJ130" i="69"/>
  <c r="HI130" i="69"/>
  <c r="HG130" i="69"/>
  <c r="HF130" i="69"/>
  <c r="HE130" i="69"/>
  <c r="HC130" i="69"/>
  <c r="HJ129" i="69"/>
  <c r="HI129" i="69"/>
  <c r="HG129" i="69"/>
  <c r="HF129" i="69"/>
  <c r="HE129" i="69"/>
  <c r="HC129" i="69"/>
  <c r="HJ128" i="69"/>
  <c r="HI128" i="69"/>
  <c r="HG128" i="69"/>
  <c r="HF128" i="69"/>
  <c r="HE128" i="69"/>
  <c r="HC128" i="69"/>
  <c r="HJ127" i="69"/>
  <c r="HI127" i="69"/>
  <c r="HG127" i="69"/>
  <c r="HF127" i="69"/>
  <c r="HE127" i="69"/>
  <c r="HC127" i="69"/>
  <c r="HJ126" i="69"/>
  <c r="HI126" i="69"/>
  <c r="HG126" i="69"/>
  <c r="HF126" i="69"/>
  <c r="HE126" i="69"/>
  <c r="HC126" i="69"/>
  <c r="HJ125" i="69"/>
  <c r="HI125" i="69"/>
  <c r="HG125" i="69"/>
  <c r="HF125" i="69"/>
  <c r="HE125" i="69"/>
  <c r="HC125" i="69"/>
  <c r="HJ124" i="69"/>
  <c r="HI124" i="69"/>
  <c r="HG124" i="69"/>
  <c r="HF124" i="69"/>
  <c r="HE124" i="69"/>
  <c r="HC124" i="69"/>
  <c r="HJ123" i="69"/>
  <c r="HI123" i="69"/>
  <c r="HG123" i="69"/>
  <c r="HF123" i="69"/>
  <c r="HE123" i="69"/>
  <c r="HC123" i="69"/>
  <c r="HJ122" i="69"/>
  <c r="HI122" i="69"/>
  <c r="HG122" i="69"/>
  <c r="HF122" i="69"/>
  <c r="HE122" i="69"/>
  <c r="HC122" i="69"/>
  <c r="HI121" i="69"/>
  <c r="HH121" i="69"/>
  <c r="HG121" i="69"/>
  <c r="HE121" i="69"/>
  <c r="HD121" i="69"/>
  <c r="HC121" i="69"/>
  <c r="HI120" i="69"/>
  <c r="HH120" i="69"/>
  <c r="HG120" i="69"/>
  <c r="HE120" i="69"/>
  <c r="HD120" i="69"/>
  <c r="HC120" i="69"/>
  <c r="HI119" i="69"/>
  <c r="HH119" i="69"/>
  <c r="HG119" i="69"/>
  <c r="HE119" i="69"/>
  <c r="HD119" i="69"/>
  <c r="HC119" i="69"/>
  <c r="HI118" i="69"/>
  <c r="HH118" i="69"/>
  <c r="HG118" i="69"/>
  <c r="HE118" i="69"/>
  <c r="HD118" i="69"/>
  <c r="HC118" i="69"/>
  <c r="HI117" i="69"/>
  <c r="HH117" i="69"/>
  <c r="HG117" i="69"/>
  <c r="HE117" i="69"/>
  <c r="HD117" i="69"/>
  <c r="HC117" i="69"/>
  <c r="HI116" i="69"/>
  <c r="HH116" i="69"/>
  <c r="HG116" i="69"/>
  <c r="HE116" i="69"/>
  <c r="HD116" i="69"/>
  <c r="HC116" i="69"/>
  <c r="HI115" i="69"/>
  <c r="HH115" i="69"/>
  <c r="HG115" i="69"/>
  <c r="HE115" i="69"/>
  <c r="HD115" i="69"/>
  <c r="HC115" i="69"/>
  <c r="HI114" i="69"/>
  <c r="HH114" i="69"/>
  <c r="HG114" i="69"/>
  <c r="HE114" i="69"/>
  <c r="HD114" i="69"/>
  <c r="HC114" i="69"/>
  <c r="HI113" i="69"/>
  <c r="HH113" i="69"/>
  <c r="HG113" i="69"/>
  <c r="HE113" i="69"/>
  <c r="HD113" i="69"/>
  <c r="HC113" i="69"/>
  <c r="HI112" i="69"/>
  <c r="HH112" i="69"/>
  <c r="HG112" i="69"/>
  <c r="HE112" i="69"/>
  <c r="HD112" i="69"/>
  <c r="HC112" i="69"/>
  <c r="HI107" i="69"/>
  <c r="HG107" i="69"/>
  <c r="HE107" i="69"/>
  <c r="HC107" i="69"/>
  <c r="HI106" i="69"/>
  <c r="HG106" i="69"/>
  <c r="HE106" i="69"/>
  <c r="HC106" i="69"/>
  <c r="HI105" i="69"/>
  <c r="HG105" i="69"/>
  <c r="HE105" i="69"/>
  <c r="HC105" i="69"/>
  <c r="HI104" i="69"/>
  <c r="HG104" i="69"/>
  <c r="HE104" i="69"/>
  <c r="HC104" i="69"/>
  <c r="HG103" i="69"/>
  <c r="HC103" i="69"/>
  <c r="HI102" i="69"/>
  <c r="HG102" i="69"/>
  <c r="HE102" i="69"/>
  <c r="HC102" i="69"/>
  <c r="HG101" i="69"/>
  <c r="HC101" i="69"/>
  <c r="HI100" i="69"/>
  <c r="HG100" i="69"/>
  <c r="HE100" i="69"/>
  <c r="HC100" i="69"/>
  <c r="HG99" i="69"/>
  <c r="HC99" i="69"/>
  <c r="HI98" i="69"/>
  <c r="HG98" i="69"/>
  <c r="HE98" i="69"/>
  <c r="HC98" i="69"/>
  <c r="HG97" i="69"/>
  <c r="HC97" i="69"/>
  <c r="HI96" i="69"/>
  <c r="HG96" i="69"/>
  <c r="HE96" i="69"/>
  <c r="HC96" i="69"/>
  <c r="HG95" i="69"/>
  <c r="HC95" i="69"/>
  <c r="HI94" i="69"/>
  <c r="HG94" i="69"/>
  <c r="HE94" i="69"/>
  <c r="HC94" i="69"/>
  <c r="HG93" i="69"/>
  <c r="HC93" i="69"/>
  <c r="HI92" i="69"/>
  <c r="HG92" i="69"/>
  <c r="HE92" i="69"/>
  <c r="HC92" i="69"/>
  <c r="HG91" i="69"/>
  <c r="HC91" i="69"/>
  <c r="HG90" i="69"/>
  <c r="HC90" i="69"/>
  <c r="HG89" i="69"/>
  <c r="HC89" i="69"/>
  <c r="HG88" i="69"/>
  <c r="HC88" i="69"/>
  <c r="HG87" i="69"/>
  <c r="HC87" i="69"/>
  <c r="HG86" i="69"/>
  <c r="HC86" i="69"/>
  <c r="HG85" i="69"/>
  <c r="HC85" i="69"/>
  <c r="HG84" i="69"/>
  <c r="HC84" i="69"/>
  <c r="HG83" i="69"/>
  <c r="HC83" i="69"/>
  <c r="HG82" i="69"/>
  <c r="HC82" i="69"/>
  <c r="HG81" i="69"/>
  <c r="HC81" i="69"/>
  <c r="HJ80" i="69"/>
  <c r="HI80" i="69"/>
  <c r="HG80" i="69"/>
  <c r="HF80" i="69"/>
  <c r="HE80" i="69"/>
  <c r="HC80" i="69"/>
  <c r="HJ79" i="69"/>
  <c r="HI79" i="69"/>
  <c r="HG79" i="69"/>
  <c r="HF79" i="69"/>
  <c r="HE79" i="69"/>
  <c r="HC79" i="69"/>
  <c r="HJ78" i="69"/>
  <c r="HI78" i="69"/>
  <c r="HG78" i="69"/>
  <c r="HF78" i="69"/>
  <c r="HE78" i="69"/>
  <c r="HC78" i="69"/>
  <c r="HJ77" i="69"/>
  <c r="HI77" i="69"/>
  <c r="HG77" i="69"/>
  <c r="HF77" i="69"/>
  <c r="HE77" i="69"/>
  <c r="HC77" i="69"/>
  <c r="HJ76" i="69"/>
  <c r="HI76" i="69"/>
  <c r="HG76" i="69"/>
  <c r="HF76" i="69"/>
  <c r="HE76" i="69"/>
  <c r="HC76" i="69"/>
  <c r="HJ75" i="69"/>
  <c r="HI75" i="69"/>
  <c r="HG75" i="69"/>
  <c r="HF75" i="69"/>
  <c r="HE75" i="69"/>
  <c r="HC75" i="69"/>
  <c r="HJ74" i="69"/>
  <c r="HI74" i="69"/>
  <c r="HG74" i="69"/>
  <c r="HF74" i="69"/>
  <c r="HE74" i="69"/>
  <c r="HC74" i="69"/>
  <c r="HJ73" i="69"/>
  <c r="HI73" i="69"/>
  <c r="HG73" i="69"/>
  <c r="HF73" i="69"/>
  <c r="HE73" i="69"/>
  <c r="HC73" i="69"/>
  <c r="HJ72" i="69"/>
  <c r="HI72" i="69"/>
  <c r="HG72" i="69"/>
  <c r="HF72" i="69"/>
  <c r="HE72" i="69"/>
  <c r="HC72" i="69"/>
  <c r="HJ71" i="69"/>
  <c r="HI71" i="69"/>
  <c r="HG71" i="69"/>
  <c r="HF71" i="69"/>
  <c r="HE71" i="69"/>
  <c r="HC71" i="69"/>
  <c r="HJ70" i="69"/>
  <c r="HI70" i="69"/>
  <c r="HG70" i="69"/>
  <c r="HF70" i="69"/>
  <c r="HE70" i="69"/>
  <c r="HC70" i="69"/>
  <c r="HJ69" i="69"/>
  <c r="HI69" i="69"/>
  <c r="HG69" i="69"/>
  <c r="HF69" i="69"/>
  <c r="HE69" i="69"/>
  <c r="HC69" i="69"/>
  <c r="HJ68" i="69"/>
  <c r="HI68" i="69"/>
  <c r="HG68" i="69"/>
  <c r="HF68" i="69"/>
  <c r="HE68" i="69"/>
  <c r="HC68" i="69"/>
  <c r="HJ67" i="69"/>
  <c r="HI67" i="69"/>
  <c r="HG67" i="69"/>
  <c r="HF67" i="69"/>
  <c r="HE67" i="69"/>
  <c r="HC67" i="69"/>
  <c r="HJ66" i="69"/>
  <c r="HI66" i="69"/>
  <c r="HG66" i="69"/>
  <c r="HF66" i="69"/>
  <c r="HE66" i="69"/>
  <c r="HC66" i="69"/>
  <c r="HJ65" i="69"/>
  <c r="HI65" i="69"/>
  <c r="HG65" i="69"/>
  <c r="HF65" i="69"/>
  <c r="HE65" i="69"/>
  <c r="HC65" i="69"/>
  <c r="HI64" i="69"/>
  <c r="HH64" i="69"/>
  <c r="HG64" i="69"/>
  <c r="HE64" i="69"/>
  <c r="HD64" i="69"/>
  <c r="HC64" i="69"/>
  <c r="HI63" i="69"/>
  <c r="HH63" i="69"/>
  <c r="HG63" i="69"/>
  <c r="HE63" i="69"/>
  <c r="HD63" i="69"/>
  <c r="HC63" i="69"/>
  <c r="HI62" i="69"/>
  <c r="HH62" i="69"/>
  <c r="HG62" i="69"/>
  <c r="HE62" i="69"/>
  <c r="HD62" i="69"/>
  <c r="HC62" i="69"/>
  <c r="HI61" i="69"/>
  <c r="HH61" i="69"/>
  <c r="HG61" i="69"/>
  <c r="HE61" i="69"/>
  <c r="HD61" i="69"/>
  <c r="HC61" i="69"/>
  <c r="HI60" i="69"/>
  <c r="HH60" i="69"/>
  <c r="HG60" i="69"/>
  <c r="HE60" i="69"/>
  <c r="HD60" i="69"/>
  <c r="HC60" i="69"/>
  <c r="HI59" i="69"/>
  <c r="HH59" i="69"/>
  <c r="HG59" i="69"/>
  <c r="HE59" i="69"/>
  <c r="HD59" i="69"/>
  <c r="HC59" i="69"/>
  <c r="HI58" i="69"/>
  <c r="HH58" i="69"/>
  <c r="HG58" i="69"/>
  <c r="HE58" i="69"/>
  <c r="HD58" i="69"/>
  <c r="HC58" i="69"/>
  <c r="HI57" i="69"/>
  <c r="HH57" i="69"/>
  <c r="HG57" i="69"/>
  <c r="HE57" i="69"/>
  <c r="HD57" i="69"/>
  <c r="HC57" i="69"/>
  <c r="HI56" i="69"/>
  <c r="HH56" i="69"/>
  <c r="HG56" i="69"/>
  <c r="HE56" i="69"/>
  <c r="HD56" i="69"/>
  <c r="HC56" i="69"/>
  <c r="HI55" i="69"/>
  <c r="HH55" i="69"/>
  <c r="HG55" i="69"/>
  <c r="HE55" i="69"/>
  <c r="HD55" i="69"/>
  <c r="HC55" i="69"/>
  <c r="HI54" i="69"/>
  <c r="HH54" i="69"/>
  <c r="HG54" i="69"/>
  <c r="HE54" i="69"/>
  <c r="HD54" i="69"/>
  <c r="HC54" i="69"/>
  <c r="HI53" i="69"/>
  <c r="HH53" i="69"/>
  <c r="HG53" i="69"/>
  <c r="HE53" i="69"/>
  <c r="HD53" i="69"/>
  <c r="HC53" i="69"/>
  <c r="HI52" i="69"/>
  <c r="HH52" i="69"/>
  <c r="HG52" i="69"/>
  <c r="HE52" i="69"/>
  <c r="HD52" i="69"/>
  <c r="HC52" i="69"/>
  <c r="HI51" i="69"/>
  <c r="HH51" i="69"/>
  <c r="HG51" i="69"/>
  <c r="HE51" i="69"/>
  <c r="HD51" i="69"/>
  <c r="HC51" i="69"/>
  <c r="HI50" i="69"/>
  <c r="HH50" i="69"/>
  <c r="HG50" i="69"/>
  <c r="HE50" i="69"/>
  <c r="HD50" i="69"/>
  <c r="HC50" i="69"/>
  <c r="HI49" i="69"/>
  <c r="HH49" i="69"/>
  <c r="HG49" i="69"/>
  <c r="HE49" i="69"/>
  <c r="HD49" i="69"/>
  <c r="HC49" i="69"/>
  <c r="HI48" i="69"/>
  <c r="HH48" i="69"/>
  <c r="HG48" i="69"/>
  <c r="HE48" i="69"/>
  <c r="HD48" i="69"/>
  <c r="HC48" i="69"/>
  <c r="HI47" i="69"/>
  <c r="HH47" i="69"/>
  <c r="HG47" i="69"/>
  <c r="HE47" i="69"/>
  <c r="HD47" i="69"/>
  <c r="HC47" i="69"/>
  <c r="HI46" i="69"/>
  <c r="HH46" i="69"/>
  <c r="HG46" i="69"/>
  <c r="HE46" i="69"/>
  <c r="HD46" i="69"/>
  <c r="HC46" i="69"/>
  <c r="HI45" i="69"/>
  <c r="HH45" i="69"/>
  <c r="HG45" i="69"/>
  <c r="HE45" i="69"/>
  <c r="HD45" i="69"/>
  <c r="HC45" i="69"/>
  <c r="HI44" i="69"/>
  <c r="HH44" i="69"/>
  <c r="HG44" i="69"/>
  <c r="HE44" i="69"/>
  <c r="HD44" i="69"/>
  <c r="HC44" i="69"/>
  <c r="HI43" i="69"/>
  <c r="HH43" i="69"/>
  <c r="HG43" i="69"/>
  <c r="HE43" i="69"/>
  <c r="HD43" i="69"/>
  <c r="HC43" i="69"/>
  <c r="HI42" i="69"/>
  <c r="HH42" i="69"/>
  <c r="HG42" i="69"/>
  <c r="HE42" i="69"/>
  <c r="HD42" i="69"/>
  <c r="HC42" i="69"/>
  <c r="HI41" i="69"/>
  <c r="HH41" i="69"/>
  <c r="HG41" i="69"/>
  <c r="HE41" i="69"/>
  <c r="HD41" i="69"/>
  <c r="HC41" i="69"/>
  <c r="HI40" i="69"/>
  <c r="HH40" i="69"/>
  <c r="HG40" i="69"/>
  <c r="HE40" i="69"/>
  <c r="HD40" i="69"/>
  <c r="HC40" i="69"/>
  <c r="HI39" i="69"/>
  <c r="HH39" i="69"/>
  <c r="HG39" i="69"/>
  <c r="HE39" i="69"/>
  <c r="HD39" i="69"/>
  <c r="HC39" i="69"/>
  <c r="HI38" i="69"/>
  <c r="HH38" i="69"/>
  <c r="HG38" i="69"/>
  <c r="HE38" i="69"/>
  <c r="HD38" i="69"/>
  <c r="HC38" i="69"/>
  <c r="HI37" i="69"/>
  <c r="HH37" i="69"/>
  <c r="HG37" i="69"/>
  <c r="HE37" i="69"/>
  <c r="HD37" i="69"/>
  <c r="HC37" i="69"/>
  <c r="HI36" i="69"/>
  <c r="HH36" i="69"/>
  <c r="HG36" i="69"/>
  <c r="HE36" i="69"/>
  <c r="HD36" i="69"/>
  <c r="HC36" i="69"/>
  <c r="HI35" i="69"/>
  <c r="HH35" i="69"/>
  <c r="HG35" i="69"/>
  <c r="HE35" i="69"/>
  <c r="HD35" i="69"/>
  <c r="HC35" i="69"/>
  <c r="HI34" i="69"/>
  <c r="HH34" i="69"/>
  <c r="HG34" i="69"/>
  <c r="HE34" i="69"/>
  <c r="HD34" i="69"/>
  <c r="HC34" i="69"/>
  <c r="HI33" i="69"/>
  <c r="HH33" i="69"/>
  <c r="HG33" i="69"/>
  <c r="HE33" i="69"/>
  <c r="HD33" i="69"/>
  <c r="HC33" i="69"/>
  <c r="HI32" i="69"/>
  <c r="HH32" i="69"/>
  <c r="HG32" i="69"/>
  <c r="HE32" i="69"/>
  <c r="HD32" i="69"/>
  <c r="HC32" i="69"/>
  <c r="HI31" i="69"/>
  <c r="HH31" i="69"/>
  <c r="HG31" i="69"/>
  <c r="HE31" i="69"/>
  <c r="HD31" i="69"/>
  <c r="HC31" i="69"/>
  <c r="HI30" i="69"/>
  <c r="HH30" i="69"/>
  <c r="HG30" i="69"/>
  <c r="HE30" i="69"/>
  <c r="HD30" i="69"/>
  <c r="HC30" i="69"/>
  <c r="HI29" i="69"/>
  <c r="HH29" i="69"/>
  <c r="HG29" i="69"/>
  <c r="HE29" i="69"/>
  <c r="HD29" i="69"/>
  <c r="HC29" i="69"/>
  <c r="HI28" i="69"/>
  <c r="HH28" i="69"/>
  <c r="HG28" i="69"/>
  <c r="HE28" i="69"/>
  <c r="HD28" i="69"/>
  <c r="HC28" i="69"/>
  <c r="HI27" i="69"/>
  <c r="HH27" i="69"/>
  <c r="HG27" i="69"/>
  <c r="HE27" i="69"/>
  <c r="HD27" i="69"/>
  <c r="HC27" i="69"/>
  <c r="HI26" i="69"/>
  <c r="HH26" i="69"/>
  <c r="HG26" i="69"/>
  <c r="HE26" i="69"/>
  <c r="HD26" i="69"/>
  <c r="HC26" i="69"/>
  <c r="HI25" i="69"/>
  <c r="HH25" i="69"/>
  <c r="HG25" i="69"/>
  <c r="HE25" i="69"/>
  <c r="HD25" i="69"/>
  <c r="HC25" i="69"/>
  <c r="HI24" i="69"/>
  <c r="HH24" i="69"/>
  <c r="HG24" i="69"/>
  <c r="HE24" i="69"/>
  <c r="HD24" i="69"/>
  <c r="HC24" i="69"/>
  <c r="HI23" i="69"/>
  <c r="HH23" i="69"/>
  <c r="HG23" i="69"/>
  <c r="HE23" i="69"/>
  <c r="HD23" i="69"/>
  <c r="HC23" i="69"/>
  <c r="HI22" i="69"/>
  <c r="HH22" i="69"/>
  <c r="HG22" i="69"/>
  <c r="HE22" i="69"/>
  <c r="HD22" i="69"/>
  <c r="HC22" i="69"/>
  <c r="HI21" i="69"/>
  <c r="HH21" i="69"/>
  <c r="HG21" i="69"/>
  <c r="HE21" i="69"/>
  <c r="HD21" i="69"/>
  <c r="HC21" i="69"/>
  <c r="HI20" i="69"/>
  <c r="HH20" i="69"/>
  <c r="HG20" i="69"/>
  <c r="HE20" i="69"/>
  <c r="HD20" i="69"/>
  <c r="HC20" i="69"/>
  <c r="HI19" i="69"/>
  <c r="HH19" i="69"/>
  <c r="HG19" i="69"/>
  <c r="HE19" i="69"/>
  <c r="HD19" i="69"/>
  <c r="HC19" i="69"/>
  <c r="HI18" i="69"/>
  <c r="HH18" i="69"/>
  <c r="HG18" i="69"/>
  <c r="HE18" i="69"/>
  <c r="HD18" i="69"/>
  <c r="HC18" i="69"/>
  <c r="HI17" i="69"/>
  <c r="HH17" i="69"/>
  <c r="HG17" i="69"/>
  <c r="HE17" i="69"/>
  <c r="HD17" i="69"/>
  <c r="HC17" i="69"/>
  <c r="X116" i="72" l="1"/>
  <c r="Y116" i="72"/>
  <c r="Z116" i="72"/>
  <c r="AA116" i="72"/>
  <c r="AB116" i="72"/>
  <c r="AC116" i="72"/>
  <c r="AD116" i="72"/>
  <c r="AE116" i="72"/>
  <c r="AF116" i="72"/>
  <c r="AG116" i="72"/>
  <c r="AH116" i="72"/>
  <c r="AI116" i="72"/>
  <c r="AJ116" i="72"/>
  <c r="AK116" i="72"/>
  <c r="AL116" i="72"/>
  <c r="AM116" i="72"/>
  <c r="AN116" i="72"/>
  <c r="AO116" i="72"/>
  <c r="AP116" i="72"/>
  <c r="AQ116" i="72"/>
  <c r="AR116" i="72"/>
  <c r="AS116" i="72"/>
  <c r="AT116" i="72"/>
  <c r="AU116" i="72"/>
  <c r="AV116" i="72"/>
  <c r="AW116" i="72"/>
  <c r="AX116" i="72"/>
  <c r="AY116" i="72"/>
  <c r="AZ116" i="72"/>
  <c r="BA116" i="72"/>
  <c r="BB116" i="72"/>
  <c r="BC116" i="72"/>
  <c r="BD116" i="72"/>
  <c r="BE116" i="72"/>
  <c r="BF116" i="72"/>
  <c r="BG116" i="72"/>
  <c r="BH116" i="72"/>
  <c r="BI116" i="72"/>
  <c r="BJ116" i="72"/>
  <c r="BK116" i="72"/>
  <c r="BL116" i="72"/>
  <c r="BM116" i="72"/>
  <c r="BN116" i="72"/>
  <c r="BO116" i="72"/>
  <c r="I1" i="46" l="1"/>
  <c r="R112" i="57" l="1"/>
  <c r="R97" i="57"/>
  <c r="F355" i="71" l="1"/>
  <c r="E355" i="71"/>
  <c r="D355" i="71"/>
  <c r="C355" i="71"/>
  <c r="F354" i="71"/>
  <c r="E354" i="71"/>
  <c r="D354" i="71"/>
  <c r="F353" i="71"/>
  <c r="E353" i="71"/>
  <c r="D353" i="71"/>
  <c r="GY242" i="71" l="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GY242" i="70"/>
  <c r="GU242" i="70"/>
  <c r="GQ242" i="70"/>
  <c r="GM242" i="70"/>
  <c r="GI242" i="70"/>
  <c r="GE242" i="70"/>
  <c r="GA242" i="70"/>
  <c r="FW242" i="70"/>
  <c r="FS242" i="70"/>
  <c r="FO242" i="70"/>
  <c r="FK242" i="70"/>
  <c r="FG242" i="70"/>
  <c r="FC242" i="70"/>
  <c r="EY242" i="70"/>
  <c r="EU242" i="70"/>
  <c r="EQ242" i="70"/>
  <c r="EM242" i="70"/>
  <c r="EI242" i="70"/>
  <c r="EE242" i="70"/>
  <c r="EA242" i="70"/>
  <c r="DW242" i="70"/>
  <c r="DS242" i="70"/>
  <c r="DO242" i="70"/>
  <c r="DK242" i="70"/>
  <c r="DG242" i="70"/>
  <c r="DC242" i="70"/>
  <c r="CY242" i="70"/>
  <c r="CU242" i="70"/>
  <c r="CQ242" i="70"/>
  <c r="CM242" i="70"/>
  <c r="CI242" i="70"/>
  <c r="CE242" i="70"/>
  <c r="CA242" i="70"/>
  <c r="BW242" i="70"/>
  <c r="BS242" i="70"/>
  <c r="BO242" i="70"/>
  <c r="BK242" i="70"/>
  <c r="BG242" i="70"/>
  <c r="BC242" i="70"/>
  <c r="AY242" i="70"/>
  <c r="AU242" i="70"/>
  <c r="AQ242" i="70"/>
  <c r="AM242" i="70"/>
  <c r="AI242" i="70"/>
  <c r="AE242" i="70"/>
  <c r="AA242" i="70"/>
  <c r="W242" i="70"/>
  <c r="S242" i="70"/>
  <c r="O242" i="70"/>
  <c r="K242" i="70"/>
  <c r="GY242" i="69"/>
  <c r="GU242" i="69"/>
  <c r="GQ242" i="69"/>
  <c r="GM242" i="69"/>
  <c r="GI242" i="69"/>
  <c r="GE242" i="69"/>
  <c r="GA242" i="69"/>
  <c r="FW242" i="69"/>
  <c r="FS242" i="69"/>
  <c r="FO242" i="69"/>
  <c r="FK242" i="69"/>
  <c r="FG242" i="69"/>
  <c r="FC242" i="69"/>
  <c r="EY242" i="69"/>
  <c r="EU242" i="69"/>
  <c r="EQ242" i="69"/>
  <c r="EM242" i="69"/>
  <c r="EI242" i="69"/>
  <c r="EE242" i="69"/>
  <c r="EA242" i="69"/>
  <c r="DW242" i="69"/>
  <c r="DS242" i="69"/>
  <c r="DO242" i="69"/>
  <c r="DK242" i="69"/>
  <c r="DG242" i="69"/>
  <c r="DC242" i="69"/>
  <c r="CY242" i="69"/>
  <c r="CU242" i="69"/>
  <c r="CQ242" i="69"/>
  <c r="CM242" i="69"/>
  <c r="CI242" i="69"/>
  <c r="CE242" i="69"/>
  <c r="CA242" i="69"/>
  <c r="BW242" i="69"/>
  <c r="BS242" i="69"/>
  <c r="BO242" i="69"/>
  <c r="BK242" i="69"/>
  <c r="BG242" i="69"/>
  <c r="BC242" i="69"/>
  <c r="AY242" i="69"/>
  <c r="AU242" i="69"/>
  <c r="AQ242" i="69"/>
  <c r="AM242" i="69"/>
  <c r="AI242" i="69"/>
  <c r="AE242" i="69"/>
  <c r="AA242" i="69"/>
  <c r="W242" i="69"/>
  <c r="S242" i="69"/>
  <c r="O242" i="69"/>
  <c r="K242" i="69"/>
  <c r="GY242" i="68"/>
  <c r="GU242" i="68"/>
  <c r="GQ242" i="68"/>
  <c r="GM242" i="68"/>
  <c r="GI242" i="68"/>
  <c r="GE242" i="68"/>
  <c r="GA242" i="68"/>
  <c r="FW242" i="68"/>
  <c r="FS242" i="68"/>
  <c r="FO242" i="68"/>
  <c r="FK242" i="68"/>
  <c r="FG242" i="68"/>
  <c r="FC242" i="68"/>
  <c r="EY242" i="68"/>
  <c r="EU242" i="68"/>
  <c r="EQ242" i="68"/>
  <c r="EM242" i="68"/>
  <c r="EI242" i="68"/>
  <c r="EE242" i="68"/>
  <c r="EA242" i="68"/>
  <c r="DW242" i="68"/>
  <c r="DS242" i="68"/>
  <c r="DO242" i="68"/>
  <c r="DK242" i="68"/>
  <c r="DG242" i="68"/>
  <c r="DC242" i="68"/>
  <c r="CY242" i="68"/>
  <c r="CU242" i="68"/>
  <c r="CQ242" i="68"/>
  <c r="CM242" i="68"/>
  <c r="CI242" i="68"/>
  <c r="CE242" i="68"/>
  <c r="CA242" i="68"/>
  <c r="BW242" i="68"/>
  <c r="BS242" i="68"/>
  <c r="BO242" i="68"/>
  <c r="BK242" i="68"/>
  <c r="BG242" i="68"/>
  <c r="BC242" i="68"/>
  <c r="AY242" i="68"/>
  <c r="AU242" i="68"/>
  <c r="AQ242" i="68"/>
  <c r="AM242" i="68"/>
  <c r="AI242" i="68"/>
  <c r="AE242" i="68"/>
  <c r="AA242" i="68"/>
  <c r="W242" i="68"/>
  <c r="S242" i="68"/>
  <c r="O242" i="68"/>
  <c r="K242" i="68"/>
  <c r="G39" i="77" l="1"/>
  <c r="G38" i="77" l="1"/>
  <c r="G17" i="77"/>
  <c r="I110" i="57"/>
  <c r="R113" i="57" l="1"/>
  <c r="R110" i="57"/>
  <c r="I113" i="57"/>
  <c r="G37" i="77" s="1"/>
  <c r="R98" i="57"/>
  <c r="R95" i="57"/>
  <c r="I95" i="57"/>
  <c r="I98" i="57"/>
  <c r="G16" i="77" s="1"/>
  <c r="W102" i="72"/>
  <c r="V102" i="72"/>
  <c r="U102" i="72"/>
  <c r="O102" i="72"/>
  <c r="N102" i="72"/>
  <c r="M102" i="72"/>
  <c r="R67" i="57" l="1"/>
  <c r="R71" i="57" s="1"/>
  <c r="V32" i="77" s="1"/>
  <c r="V36" i="77" s="1"/>
  <c r="R66" i="57"/>
  <c r="R70" i="57" s="1"/>
  <c r="V31" i="77" s="1"/>
  <c r="O67" i="57"/>
  <c r="O66" i="57"/>
  <c r="L67" i="57"/>
  <c r="L66" i="57"/>
  <c r="R21" i="57"/>
  <c r="R25" i="57" s="1"/>
  <c r="V11" i="77" s="1"/>
  <c r="R20" i="57"/>
  <c r="R24" i="57" s="1"/>
  <c r="V10" i="77" s="1"/>
  <c r="O21" i="57"/>
  <c r="O20" i="57"/>
  <c r="L21" i="57"/>
  <c r="L20" i="57"/>
  <c r="V38" i="77" l="1"/>
  <c r="Z31" i="77"/>
  <c r="V39" i="77"/>
  <c r="V45" i="77"/>
  <c r="V35" i="77"/>
  <c r="V43" i="77"/>
  <c r="V41" i="77"/>
  <c r="V46" i="77"/>
  <c r="V37" i="77"/>
  <c r="V44" i="77"/>
  <c r="V40" i="77"/>
  <c r="V42" i="77"/>
  <c r="V17" i="77"/>
  <c r="V19" i="77"/>
  <c r="V16" i="77"/>
  <c r="V23" i="77"/>
  <c r="V22" i="77"/>
  <c r="V18" i="77"/>
  <c r="V14" i="77"/>
  <c r="V21" i="77"/>
  <c r="Z10" i="77"/>
  <c r="V24" i="77"/>
  <c r="V20" i="77"/>
  <c r="K400" i="73"/>
  <c r="J400" i="73"/>
  <c r="I400" i="73"/>
  <c r="H400" i="73"/>
  <c r="K399" i="73"/>
  <c r="J399" i="73"/>
  <c r="I399" i="73"/>
  <c r="H399" i="73"/>
  <c r="K398" i="73"/>
  <c r="J398" i="73"/>
  <c r="I398" i="73"/>
  <c r="H398" i="73"/>
  <c r="K397" i="73"/>
  <c r="J397" i="73"/>
  <c r="I397" i="73"/>
  <c r="H397" i="73"/>
  <c r="K395" i="73"/>
  <c r="J395" i="73"/>
  <c r="I395" i="73"/>
  <c r="H395" i="73"/>
  <c r="K393" i="73"/>
  <c r="J393" i="73"/>
  <c r="I393" i="73"/>
  <c r="H393" i="73"/>
  <c r="K379" i="73"/>
  <c r="J379" i="73"/>
  <c r="I379" i="73"/>
  <c r="H379" i="73"/>
  <c r="K378" i="73"/>
  <c r="J378" i="73"/>
  <c r="I378" i="73"/>
  <c r="H378" i="73"/>
  <c r="K373" i="73"/>
  <c r="J373" i="73"/>
  <c r="I373" i="73"/>
  <c r="H373" i="73"/>
  <c r="K369" i="73"/>
  <c r="J369" i="73"/>
  <c r="I369" i="73"/>
  <c r="H369" i="73"/>
  <c r="K368" i="73"/>
  <c r="J368" i="73"/>
  <c r="I368" i="73"/>
  <c r="H368" i="73"/>
  <c r="K367" i="73"/>
  <c r="J367" i="73"/>
  <c r="I367" i="73"/>
  <c r="H367" i="73"/>
  <c r="K366" i="73"/>
  <c r="J366" i="73"/>
  <c r="I366" i="73"/>
  <c r="H366" i="73"/>
  <c r="K365" i="73"/>
  <c r="J365" i="73"/>
  <c r="I365" i="73"/>
  <c r="H365" i="73"/>
  <c r="K364" i="73"/>
  <c r="J364" i="73"/>
  <c r="I364" i="73"/>
  <c r="H364" i="73"/>
  <c r="K363" i="73"/>
  <c r="J363" i="73"/>
  <c r="I363" i="73"/>
  <c r="H363" i="73"/>
  <c r="K362" i="73"/>
  <c r="J362" i="73"/>
  <c r="I362" i="73"/>
  <c r="H362" i="73"/>
  <c r="K361" i="73"/>
  <c r="J361" i="73"/>
  <c r="I361" i="73"/>
  <c r="H361" i="73"/>
  <c r="K360" i="73"/>
  <c r="J360" i="73"/>
  <c r="I360" i="73"/>
  <c r="H360" i="73"/>
  <c r="K359" i="73"/>
  <c r="J359" i="73"/>
  <c r="I359" i="73"/>
  <c r="H359" i="73"/>
  <c r="K358" i="73"/>
  <c r="J358" i="73"/>
  <c r="I358" i="73"/>
  <c r="H358" i="73"/>
  <c r="K357" i="73"/>
  <c r="J357" i="73"/>
  <c r="I357" i="73"/>
  <c r="H357" i="73"/>
  <c r="K356" i="73"/>
  <c r="J356" i="73"/>
  <c r="I356" i="73"/>
  <c r="H356" i="73"/>
  <c r="K355" i="73"/>
  <c r="J355" i="73"/>
  <c r="I355" i="73"/>
  <c r="H355" i="73"/>
  <c r="K354" i="73"/>
  <c r="J354" i="73"/>
  <c r="I354" i="73"/>
  <c r="H354" i="73"/>
  <c r="K353" i="73"/>
  <c r="J353" i="73"/>
  <c r="I353" i="73"/>
  <c r="H353" i="73"/>
  <c r="K352" i="73"/>
  <c r="J352" i="73"/>
  <c r="I352" i="73"/>
  <c r="H352" i="73"/>
  <c r="K351" i="73"/>
  <c r="J351" i="73"/>
  <c r="I351" i="73"/>
  <c r="H351" i="73"/>
  <c r="K350" i="73"/>
  <c r="J350" i="73"/>
  <c r="I350" i="73"/>
  <c r="H350" i="73"/>
  <c r="K349" i="73"/>
  <c r="J349" i="73"/>
  <c r="I349" i="73"/>
  <c r="H349" i="73"/>
  <c r="K347" i="73"/>
  <c r="J347" i="73"/>
  <c r="I347" i="73"/>
  <c r="H347" i="73"/>
  <c r="K346" i="73"/>
  <c r="J346" i="73"/>
  <c r="I346" i="73"/>
  <c r="H346" i="73"/>
  <c r="K345" i="73"/>
  <c r="J345" i="73"/>
  <c r="I345" i="73"/>
  <c r="H345" i="73"/>
  <c r="K344" i="73"/>
  <c r="J344" i="73"/>
  <c r="I344" i="73"/>
  <c r="H344" i="73"/>
  <c r="K343" i="73"/>
  <c r="J343" i="73"/>
  <c r="I343" i="73"/>
  <c r="H343" i="73"/>
  <c r="K342" i="73"/>
  <c r="J342" i="73"/>
  <c r="I342" i="73"/>
  <c r="H342" i="73"/>
  <c r="K341" i="73"/>
  <c r="J341" i="73"/>
  <c r="I341" i="73"/>
  <c r="H341" i="73"/>
  <c r="K340" i="73"/>
  <c r="J340" i="73"/>
  <c r="I340" i="73"/>
  <c r="H340" i="73"/>
  <c r="K339" i="73"/>
  <c r="J339" i="73"/>
  <c r="I339" i="73"/>
  <c r="H339" i="73"/>
  <c r="K338" i="73"/>
  <c r="J338" i="73"/>
  <c r="I338" i="73"/>
  <c r="H338" i="73"/>
  <c r="K337" i="73"/>
  <c r="J337" i="73"/>
  <c r="I337" i="73"/>
  <c r="H337" i="73"/>
  <c r="K336" i="73"/>
  <c r="J336" i="73"/>
  <c r="I336" i="73"/>
  <c r="H336" i="73"/>
  <c r="K335" i="73"/>
  <c r="J335" i="73"/>
  <c r="I335" i="73"/>
  <c r="H335" i="73"/>
  <c r="K334" i="73"/>
  <c r="J334" i="73"/>
  <c r="I334" i="73"/>
  <c r="H334" i="73"/>
  <c r="K333" i="73"/>
  <c r="J333" i="73"/>
  <c r="I333" i="73"/>
  <c r="H333" i="73"/>
  <c r="K332" i="73"/>
  <c r="J332" i="73"/>
  <c r="I332" i="73"/>
  <c r="H332" i="73"/>
  <c r="K331" i="73"/>
  <c r="J331" i="73"/>
  <c r="I331" i="73"/>
  <c r="H331" i="73"/>
  <c r="K330" i="73"/>
  <c r="J330" i="73"/>
  <c r="I330" i="73"/>
  <c r="H330" i="73"/>
  <c r="K329" i="73"/>
  <c r="J329" i="73"/>
  <c r="I329" i="73"/>
  <c r="H329" i="73"/>
  <c r="K328" i="73"/>
  <c r="J328" i="73"/>
  <c r="I328" i="73"/>
  <c r="H328" i="73"/>
  <c r="K327" i="73"/>
  <c r="J327" i="73"/>
  <c r="I327" i="73"/>
  <c r="H327" i="73"/>
  <c r="K326" i="73"/>
  <c r="J326" i="73"/>
  <c r="I326" i="73"/>
  <c r="H326" i="73"/>
  <c r="K325" i="73"/>
  <c r="J325" i="73"/>
  <c r="I325" i="73"/>
  <c r="H325" i="73"/>
  <c r="K324" i="73"/>
  <c r="J324" i="73"/>
  <c r="I324" i="73"/>
  <c r="H324" i="73"/>
  <c r="K323" i="73"/>
  <c r="J323" i="73"/>
  <c r="I323" i="73"/>
  <c r="H323" i="73"/>
  <c r="K322" i="73"/>
  <c r="J322" i="73"/>
  <c r="I322" i="73"/>
  <c r="H322" i="73"/>
  <c r="K321" i="73"/>
  <c r="J321" i="73"/>
  <c r="I321" i="73"/>
  <c r="H321" i="73"/>
  <c r="K293" i="73"/>
  <c r="J293" i="73"/>
  <c r="I293" i="73"/>
  <c r="H293" i="73"/>
  <c r="K292" i="73"/>
  <c r="J292" i="73"/>
  <c r="I292" i="73"/>
  <c r="H292" i="73"/>
  <c r="K291" i="73"/>
  <c r="J291" i="73"/>
  <c r="I291" i="73"/>
  <c r="H291" i="73"/>
  <c r="K290" i="73"/>
  <c r="J290" i="73"/>
  <c r="I290" i="73"/>
  <c r="H290" i="73"/>
  <c r="K288" i="73"/>
  <c r="J288" i="73"/>
  <c r="I288" i="73"/>
  <c r="H288" i="73"/>
  <c r="K287" i="73"/>
  <c r="J287" i="73"/>
  <c r="I287" i="73"/>
  <c r="H287" i="73"/>
  <c r="K286" i="73"/>
  <c r="J286" i="73"/>
  <c r="I286" i="73"/>
  <c r="H286" i="73"/>
  <c r="K285" i="73"/>
  <c r="J285" i="73"/>
  <c r="I285" i="73"/>
  <c r="H285" i="73"/>
  <c r="K284" i="73"/>
  <c r="J284" i="73"/>
  <c r="I284" i="73"/>
  <c r="H284" i="73"/>
  <c r="K283" i="73"/>
  <c r="J283" i="73"/>
  <c r="I283" i="73"/>
  <c r="H283" i="73"/>
  <c r="K281" i="73"/>
  <c r="J281" i="73"/>
  <c r="I281" i="73"/>
  <c r="H281" i="73"/>
  <c r="K280" i="73"/>
  <c r="J280" i="73"/>
  <c r="I280" i="73"/>
  <c r="H280" i="73"/>
  <c r="K279" i="73"/>
  <c r="J279" i="73"/>
  <c r="I279" i="73"/>
  <c r="H279" i="73"/>
  <c r="K278" i="73"/>
  <c r="J278" i="73"/>
  <c r="I278" i="73"/>
  <c r="H278" i="73"/>
  <c r="K277" i="73"/>
  <c r="J277" i="73"/>
  <c r="I277" i="73"/>
  <c r="H277" i="73"/>
  <c r="K276" i="73"/>
  <c r="J276" i="73"/>
  <c r="I276" i="73"/>
  <c r="H276" i="73"/>
  <c r="K275" i="73"/>
  <c r="J275" i="73"/>
  <c r="I275" i="73"/>
  <c r="H275" i="73"/>
  <c r="W268" i="73"/>
  <c r="W313" i="73" s="1"/>
  <c r="V268" i="73"/>
  <c r="U268" i="73"/>
  <c r="T268" i="73"/>
  <c r="S268" i="73"/>
  <c r="S313" i="73" s="1"/>
  <c r="R268" i="73"/>
  <c r="R313" i="73" s="1"/>
  <c r="Q268" i="73"/>
  <c r="Q313" i="73" s="1"/>
  <c r="P268" i="73"/>
  <c r="P313" i="73" s="1"/>
  <c r="W266" i="73"/>
  <c r="W311" i="73" s="1"/>
  <c r="V266" i="73"/>
  <c r="U266" i="73"/>
  <c r="T266" i="73"/>
  <c r="T311" i="73" s="1"/>
  <c r="S266" i="73"/>
  <c r="S311" i="73" s="1"/>
  <c r="R266" i="73"/>
  <c r="R311" i="73" s="1"/>
  <c r="Q266" i="73"/>
  <c r="Q311" i="73" s="1"/>
  <c r="P266" i="73"/>
  <c r="W264" i="73"/>
  <c r="W309" i="73" s="1"/>
  <c r="V264" i="73"/>
  <c r="V309" i="73" s="1"/>
  <c r="U264" i="73"/>
  <c r="U309" i="73" s="1"/>
  <c r="T264" i="73"/>
  <c r="S264" i="73"/>
  <c r="R264" i="73"/>
  <c r="Q264" i="73"/>
  <c r="Q309" i="73" s="1"/>
  <c r="P264" i="73"/>
  <c r="W263" i="73"/>
  <c r="W308" i="73" s="1"/>
  <c r="V263" i="73"/>
  <c r="V308" i="73" s="1"/>
  <c r="U263" i="73"/>
  <c r="T263" i="73"/>
  <c r="S263" i="73"/>
  <c r="S308" i="73" s="1"/>
  <c r="R263" i="73"/>
  <c r="R308" i="73" s="1"/>
  <c r="Q263" i="73"/>
  <c r="Q308" i="73" s="1"/>
  <c r="P263" i="73"/>
  <c r="P308" i="73" s="1"/>
  <c r="W262" i="73"/>
  <c r="W307" i="73" s="1"/>
  <c r="V262" i="73"/>
  <c r="V307" i="73" s="1"/>
  <c r="U262" i="73"/>
  <c r="U307" i="73" s="1"/>
  <c r="T262" i="73"/>
  <c r="S262" i="73"/>
  <c r="S307" i="73" s="1"/>
  <c r="R262" i="73"/>
  <c r="Q262" i="73"/>
  <c r="Q307" i="73" s="1"/>
  <c r="P262" i="73"/>
  <c r="P307" i="73" s="1"/>
  <c r="W261" i="73"/>
  <c r="W306" i="73" s="1"/>
  <c r="V261" i="73"/>
  <c r="V306" i="73" s="1"/>
  <c r="U261" i="73"/>
  <c r="U306" i="73" s="1"/>
  <c r="T261" i="73"/>
  <c r="S261" i="73"/>
  <c r="R261" i="73"/>
  <c r="Q261" i="73"/>
  <c r="Q306" i="73" s="1"/>
  <c r="P261" i="73"/>
  <c r="P306" i="73" s="1"/>
  <c r="W260" i="73"/>
  <c r="W305" i="73" s="1"/>
  <c r="V260" i="73"/>
  <c r="V305" i="73" s="1"/>
  <c r="U260" i="73"/>
  <c r="U305" i="73" s="1"/>
  <c r="T260" i="73"/>
  <c r="S260" i="73"/>
  <c r="S305" i="73" s="1"/>
  <c r="R260" i="73"/>
  <c r="Q260" i="73"/>
  <c r="P260" i="73"/>
  <c r="P305" i="73" s="1"/>
  <c r="W259" i="73"/>
  <c r="W304" i="73" s="1"/>
  <c r="V259" i="73"/>
  <c r="V304" i="73" s="1"/>
  <c r="U259" i="73"/>
  <c r="U304" i="73" s="1"/>
  <c r="T259" i="73"/>
  <c r="S259" i="73"/>
  <c r="S304" i="73" s="1"/>
  <c r="R259" i="73"/>
  <c r="R304" i="73" s="1"/>
  <c r="Q259" i="73"/>
  <c r="Q304" i="73" s="1"/>
  <c r="P259" i="73"/>
  <c r="P304" i="73" s="1"/>
  <c r="W258" i="73"/>
  <c r="W303" i="73" s="1"/>
  <c r="V258" i="73"/>
  <c r="V303" i="73" s="1"/>
  <c r="U258" i="73"/>
  <c r="U303" i="73" s="1"/>
  <c r="T258" i="73"/>
  <c r="S258" i="73"/>
  <c r="R258" i="73"/>
  <c r="R303" i="73" s="1"/>
  <c r="Q258" i="73"/>
  <c r="Q303" i="73" s="1"/>
  <c r="P258" i="73"/>
  <c r="P303" i="73" s="1"/>
  <c r="W257" i="73"/>
  <c r="W302" i="73" s="1"/>
  <c r="V257" i="73"/>
  <c r="V302" i="73" s="1"/>
  <c r="U257" i="73"/>
  <c r="U302" i="73" s="1"/>
  <c r="T257" i="73"/>
  <c r="S257" i="73"/>
  <c r="R257" i="73"/>
  <c r="Q257" i="73"/>
  <c r="Q302" i="73" s="1"/>
  <c r="P257" i="73"/>
  <c r="P302" i="73" s="1"/>
  <c r="W256" i="73"/>
  <c r="W301" i="73" s="1"/>
  <c r="V256" i="73"/>
  <c r="V301" i="73" s="1"/>
  <c r="U256" i="73"/>
  <c r="U301" i="73" s="1"/>
  <c r="T256" i="73"/>
  <c r="S256" i="73"/>
  <c r="R256" i="73"/>
  <c r="Q256" i="73"/>
  <c r="P256" i="73"/>
  <c r="P301" i="73" s="1"/>
  <c r="W255" i="73"/>
  <c r="W300" i="73" s="1"/>
  <c r="V255" i="73"/>
  <c r="V300" i="73" s="1"/>
  <c r="U255" i="73"/>
  <c r="U300" i="73" s="1"/>
  <c r="T255" i="73"/>
  <c r="S255" i="73"/>
  <c r="S300" i="73" s="1"/>
  <c r="R255" i="73"/>
  <c r="Q255" i="73"/>
  <c r="P255" i="73"/>
  <c r="P300" i="73" s="1"/>
  <c r="W254" i="73"/>
  <c r="W299" i="73" s="1"/>
  <c r="V254" i="73"/>
  <c r="V299" i="73" s="1"/>
  <c r="U254" i="73"/>
  <c r="U299" i="73" s="1"/>
  <c r="T254" i="73"/>
  <c r="S254" i="73"/>
  <c r="R254" i="73"/>
  <c r="R299" i="73" s="1"/>
  <c r="Q254" i="73"/>
  <c r="P254" i="73"/>
  <c r="P299" i="73" s="1"/>
  <c r="W253" i="73"/>
  <c r="W298" i="73" s="1"/>
  <c r="V253" i="73"/>
  <c r="V298" i="73" s="1"/>
  <c r="U253" i="73"/>
  <c r="U298" i="73" s="1"/>
  <c r="T253" i="73"/>
  <c r="S253" i="73"/>
  <c r="S298" i="73" s="1"/>
  <c r="R253" i="73"/>
  <c r="Q253" i="73"/>
  <c r="Q298" i="73" s="1"/>
  <c r="P253" i="73"/>
  <c r="P298" i="73" s="1"/>
  <c r="W252" i="73"/>
  <c r="W297" i="73" s="1"/>
  <c r="V252" i="73"/>
  <c r="V297" i="73" s="1"/>
  <c r="U252" i="73"/>
  <c r="U297" i="73" s="1"/>
  <c r="T252" i="73"/>
  <c r="S252" i="73"/>
  <c r="R252" i="73"/>
  <c r="R297" i="73" s="1"/>
  <c r="Q252" i="73"/>
  <c r="Q297" i="73" s="1"/>
  <c r="P252" i="73"/>
  <c r="P297" i="73" s="1"/>
  <c r="W251" i="73"/>
  <c r="W296" i="73" s="1"/>
  <c r="V251" i="73"/>
  <c r="V296" i="73" s="1"/>
  <c r="U251" i="73"/>
  <c r="U296" i="73" s="1"/>
  <c r="T251" i="73"/>
  <c r="S251" i="73"/>
  <c r="R251" i="73"/>
  <c r="Q251" i="73"/>
  <c r="Q296" i="73" s="1"/>
  <c r="P251" i="73"/>
  <c r="P296" i="73" s="1"/>
  <c r="K248" i="73"/>
  <c r="J248" i="73"/>
  <c r="I248" i="73"/>
  <c r="H248" i="73"/>
  <c r="K247" i="73"/>
  <c r="J247" i="73"/>
  <c r="I247" i="73"/>
  <c r="H247" i="73"/>
  <c r="K246" i="73"/>
  <c r="J246" i="73"/>
  <c r="I246" i="73"/>
  <c r="H246" i="73"/>
  <c r="K245" i="73"/>
  <c r="J245" i="73"/>
  <c r="I245" i="73"/>
  <c r="H245" i="73"/>
  <c r="K243" i="73"/>
  <c r="J243" i="73"/>
  <c r="I243" i="73"/>
  <c r="H243" i="73"/>
  <c r="K242" i="73"/>
  <c r="J242" i="73"/>
  <c r="I242" i="73"/>
  <c r="H242" i="73"/>
  <c r="K241" i="73"/>
  <c r="J241" i="73"/>
  <c r="I241" i="73"/>
  <c r="H241" i="73"/>
  <c r="K240" i="73"/>
  <c r="J240" i="73"/>
  <c r="I240" i="73"/>
  <c r="H240" i="73"/>
  <c r="K239" i="73"/>
  <c r="J239" i="73"/>
  <c r="I239" i="73"/>
  <c r="H239" i="73"/>
  <c r="K238" i="73"/>
  <c r="J238" i="73"/>
  <c r="I238" i="73"/>
  <c r="H238" i="73"/>
  <c r="K236" i="73"/>
  <c r="J236" i="73"/>
  <c r="I236" i="73"/>
  <c r="H236" i="73"/>
  <c r="K235" i="73"/>
  <c r="J235" i="73"/>
  <c r="I235" i="73"/>
  <c r="H235" i="73"/>
  <c r="K234" i="73"/>
  <c r="J234" i="73"/>
  <c r="I234" i="73"/>
  <c r="H234" i="73"/>
  <c r="K233" i="73"/>
  <c r="J233" i="73"/>
  <c r="I233" i="73"/>
  <c r="H233" i="73"/>
  <c r="K232" i="73"/>
  <c r="J232" i="73"/>
  <c r="I232" i="73"/>
  <c r="H232" i="73"/>
  <c r="K231" i="73"/>
  <c r="J231" i="73"/>
  <c r="I231" i="73"/>
  <c r="H231" i="73"/>
  <c r="K230" i="73"/>
  <c r="J230" i="73"/>
  <c r="I230" i="73"/>
  <c r="H230" i="73"/>
  <c r="K181" i="73"/>
  <c r="J181" i="73"/>
  <c r="I181" i="73"/>
  <c r="H181" i="73"/>
  <c r="K180" i="73"/>
  <c r="J180" i="73"/>
  <c r="I180" i="73"/>
  <c r="H180" i="73"/>
  <c r="K179" i="73"/>
  <c r="J179" i="73"/>
  <c r="I179" i="73"/>
  <c r="H179" i="73"/>
  <c r="K178" i="73"/>
  <c r="J178" i="73"/>
  <c r="I178" i="73"/>
  <c r="H178" i="73"/>
  <c r="K176" i="73"/>
  <c r="J176" i="73"/>
  <c r="I176" i="73"/>
  <c r="H176" i="73"/>
  <c r="K175" i="73"/>
  <c r="J175" i="73"/>
  <c r="I175" i="73"/>
  <c r="H175" i="73"/>
  <c r="K170" i="73"/>
  <c r="J170" i="73"/>
  <c r="I170" i="73"/>
  <c r="H170" i="73"/>
  <c r="K166" i="73"/>
  <c r="J166" i="73"/>
  <c r="I166" i="73"/>
  <c r="H166" i="73"/>
  <c r="W110" i="73"/>
  <c r="V110" i="73"/>
  <c r="U110" i="73"/>
  <c r="T110" i="73"/>
  <c r="S110" i="73"/>
  <c r="R110" i="73"/>
  <c r="Q110" i="73"/>
  <c r="P110" i="73"/>
  <c r="K110" i="73"/>
  <c r="K268" i="73" s="1"/>
  <c r="J110" i="73"/>
  <c r="I110" i="73"/>
  <c r="I268" i="73" s="1"/>
  <c r="H110" i="73"/>
  <c r="H268" i="73" s="1"/>
  <c r="W108" i="73"/>
  <c r="V108" i="73"/>
  <c r="U108" i="73"/>
  <c r="T108" i="73"/>
  <c r="S108" i="73"/>
  <c r="R108" i="73"/>
  <c r="Q108" i="73"/>
  <c r="P108" i="73"/>
  <c r="K108" i="73"/>
  <c r="K266" i="73" s="1"/>
  <c r="J108" i="73"/>
  <c r="J266" i="73" s="1"/>
  <c r="I108" i="73"/>
  <c r="I266" i="73" s="1"/>
  <c r="H108" i="73"/>
  <c r="H266" i="73" s="1"/>
  <c r="W106" i="73"/>
  <c r="V106" i="73"/>
  <c r="U106" i="73"/>
  <c r="T106" i="73"/>
  <c r="S106" i="73"/>
  <c r="R106" i="73"/>
  <c r="Q106" i="73"/>
  <c r="P106" i="73"/>
  <c r="K106" i="73"/>
  <c r="K264" i="73" s="1"/>
  <c r="J106" i="73"/>
  <c r="J264" i="73" s="1"/>
  <c r="I106" i="73"/>
  <c r="I264" i="73" s="1"/>
  <c r="H106" i="73"/>
  <c r="H264" i="73" s="1"/>
  <c r="W105" i="73"/>
  <c r="W215" i="73" s="1"/>
  <c r="V105" i="73"/>
  <c r="V215" i="73" s="1"/>
  <c r="U105" i="73"/>
  <c r="U215" i="73" s="1"/>
  <c r="T105" i="73"/>
  <c r="T215" i="73" s="1"/>
  <c r="S105" i="73"/>
  <c r="S215" i="73" s="1"/>
  <c r="R105" i="73"/>
  <c r="Q105" i="73"/>
  <c r="P105" i="73"/>
  <c r="W104" i="73"/>
  <c r="W214" i="73" s="1"/>
  <c r="V104" i="73"/>
  <c r="V214" i="73" s="1"/>
  <c r="U104" i="73"/>
  <c r="U214" i="73" s="1"/>
  <c r="T104" i="73"/>
  <c r="T214" i="73" s="1"/>
  <c r="S104" i="73"/>
  <c r="R104" i="73"/>
  <c r="Q104" i="73"/>
  <c r="P104" i="73"/>
  <c r="W103" i="73"/>
  <c r="W213" i="73" s="1"/>
  <c r="V103" i="73"/>
  <c r="V213" i="73" s="1"/>
  <c r="U103" i="73"/>
  <c r="U213" i="73" s="1"/>
  <c r="T103" i="73"/>
  <c r="T213" i="73" s="1"/>
  <c r="S103" i="73"/>
  <c r="S213" i="73" s="1"/>
  <c r="R103" i="73"/>
  <c r="R213" i="73" s="1"/>
  <c r="Q103" i="73"/>
  <c r="P103" i="73"/>
  <c r="W102" i="73"/>
  <c r="W212" i="73" s="1"/>
  <c r="V102" i="73"/>
  <c r="V212" i="73" s="1"/>
  <c r="U102" i="73"/>
  <c r="U212" i="73" s="1"/>
  <c r="T102" i="73"/>
  <c r="T212" i="73" s="1"/>
  <c r="S102" i="73"/>
  <c r="S212" i="73" s="1"/>
  <c r="R102" i="73"/>
  <c r="R212" i="73" s="1"/>
  <c r="Q102" i="73"/>
  <c r="P102" i="73"/>
  <c r="W101" i="73"/>
  <c r="V101" i="73"/>
  <c r="V211" i="73" s="1"/>
  <c r="U101" i="73"/>
  <c r="U211" i="73" s="1"/>
  <c r="T101" i="73"/>
  <c r="T211" i="73" s="1"/>
  <c r="S101" i="73"/>
  <c r="S211" i="73" s="1"/>
  <c r="R101" i="73"/>
  <c r="R211" i="73" s="1"/>
  <c r="Q101" i="73"/>
  <c r="P101" i="73"/>
  <c r="P211" i="73" s="1"/>
  <c r="W100" i="73"/>
  <c r="W210" i="73" s="1"/>
  <c r="V100" i="73"/>
  <c r="U100" i="73"/>
  <c r="U210" i="73" s="1"/>
  <c r="T100" i="73"/>
  <c r="T210" i="73" s="1"/>
  <c r="S100" i="73"/>
  <c r="S210" i="73" s="1"/>
  <c r="R100" i="73"/>
  <c r="R210" i="73" s="1"/>
  <c r="Q100" i="73"/>
  <c r="P100" i="73"/>
  <c r="P210" i="73" s="1"/>
  <c r="W99" i="73"/>
  <c r="W209" i="73" s="1"/>
  <c r="V99" i="73"/>
  <c r="V209" i="73" s="1"/>
  <c r="U99" i="73"/>
  <c r="U209" i="73" s="1"/>
  <c r="T99" i="73"/>
  <c r="T209" i="73" s="1"/>
  <c r="S99" i="73"/>
  <c r="S209" i="73" s="1"/>
  <c r="R99" i="73"/>
  <c r="R209" i="73" s="1"/>
  <c r="Q99" i="73"/>
  <c r="P99" i="73"/>
  <c r="P209" i="73" s="1"/>
  <c r="W98" i="73"/>
  <c r="V98" i="73"/>
  <c r="V208" i="73" s="1"/>
  <c r="U98" i="73"/>
  <c r="U208" i="73" s="1"/>
  <c r="T98" i="73"/>
  <c r="S98" i="73"/>
  <c r="S208" i="73" s="1"/>
  <c r="R98" i="73"/>
  <c r="R208" i="73" s="1"/>
  <c r="Q98" i="73"/>
  <c r="P98" i="73"/>
  <c r="P208" i="73" s="1"/>
  <c r="W97" i="73"/>
  <c r="V97" i="73"/>
  <c r="U97" i="73"/>
  <c r="T97" i="73"/>
  <c r="S97" i="73"/>
  <c r="R97" i="73"/>
  <c r="Q97" i="73"/>
  <c r="P97" i="73"/>
  <c r="W96" i="73"/>
  <c r="W206" i="73" s="1"/>
  <c r="V96" i="73"/>
  <c r="V206" i="73" s="1"/>
  <c r="U96" i="73"/>
  <c r="U206" i="73" s="1"/>
  <c r="T96" i="73"/>
  <c r="T206" i="73" s="1"/>
  <c r="S96" i="73"/>
  <c r="S206" i="73" s="1"/>
  <c r="R96" i="73"/>
  <c r="Q96" i="73"/>
  <c r="P96" i="73"/>
  <c r="W95" i="73"/>
  <c r="V95" i="73"/>
  <c r="U95" i="73"/>
  <c r="T95" i="73"/>
  <c r="S95" i="73"/>
  <c r="R95" i="73"/>
  <c r="Q95" i="73"/>
  <c r="P95" i="73"/>
  <c r="W94" i="73"/>
  <c r="W204" i="73" s="1"/>
  <c r="V94" i="73"/>
  <c r="V204" i="73" s="1"/>
  <c r="U94" i="73"/>
  <c r="U204" i="73" s="1"/>
  <c r="T94" i="73"/>
  <c r="T204" i="73" s="1"/>
  <c r="S94" i="73"/>
  <c r="R94" i="73"/>
  <c r="R204" i="73" s="1"/>
  <c r="Q94" i="73"/>
  <c r="P94" i="73"/>
  <c r="W93" i="73"/>
  <c r="W203" i="73" s="1"/>
  <c r="V93" i="73"/>
  <c r="V203" i="73" s="1"/>
  <c r="U93" i="73"/>
  <c r="U203" i="73" s="1"/>
  <c r="T93" i="73"/>
  <c r="T203" i="73" s="1"/>
  <c r="S93" i="73"/>
  <c r="S203" i="73" s="1"/>
  <c r="R93" i="73"/>
  <c r="Q93" i="73"/>
  <c r="P93" i="73"/>
  <c r="P203" i="73" s="1"/>
  <c r="K71" i="73"/>
  <c r="J71" i="73"/>
  <c r="I71" i="73"/>
  <c r="H71" i="73"/>
  <c r="K70" i="73"/>
  <c r="J70" i="73"/>
  <c r="I70" i="73"/>
  <c r="H70" i="73"/>
  <c r="K69" i="73"/>
  <c r="J69" i="73"/>
  <c r="I69" i="73"/>
  <c r="H69" i="73"/>
  <c r="K68" i="73"/>
  <c r="J68" i="73"/>
  <c r="I68" i="73"/>
  <c r="H68" i="73"/>
  <c r="K66" i="73"/>
  <c r="J66" i="73"/>
  <c r="I66" i="73"/>
  <c r="H66" i="73"/>
  <c r="K65" i="73"/>
  <c r="J65" i="73"/>
  <c r="I65" i="73"/>
  <c r="H65" i="73"/>
  <c r="K60" i="73"/>
  <c r="J60" i="73"/>
  <c r="I60" i="73"/>
  <c r="H60" i="73"/>
  <c r="K56" i="73"/>
  <c r="J56" i="73"/>
  <c r="I56" i="73"/>
  <c r="H56" i="73"/>
  <c r="K55" i="73"/>
  <c r="J55" i="73"/>
  <c r="I55" i="73"/>
  <c r="H55" i="73"/>
  <c r="K54" i="73"/>
  <c r="J54" i="73"/>
  <c r="I54" i="73"/>
  <c r="H54" i="73"/>
  <c r="K53" i="73"/>
  <c r="J53" i="73"/>
  <c r="I53" i="73"/>
  <c r="H53" i="73"/>
  <c r="K52" i="73"/>
  <c r="J52" i="73"/>
  <c r="I52" i="73"/>
  <c r="H52" i="73"/>
  <c r="K51" i="73"/>
  <c r="J51" i="73"/>
  <c r="I51" i="73"/>
  <c r="H51" i="73"/>
  <c r="K50" i="73"/>
  <c r="J50" i="73"/>
  <c r="I50" i="73"/>
  <c r="H50" i="73"/>
  <c r="K49" i="73"/>
  <c r="J49" i="73"/>
  <c r="I49" i="73"/>
  <c r="H49" i="73"/>
  <c r="K48" i="73"/>
  <c r="J48" i="73"/>
  <c r="I48" i="73"/>
  <c r="H48" i="73"/>
  <c r="K47" i="73"/>
  <c r="J47" i="73"/>
  <c r="I47" i="73"/>
  <c r="H47" i="73"/>
  <c r="K46" i="73"/>
  <c r="J46" i="73"/>
  <c r="I46" i="73"/>
  <c r="H46" i="73"/>
  <c r="K45" i="73"/>
  <c r="J45" i="73"/>
  <c r="I45" i="73"/>
  <c r="H45" i="73"/>
  <c r="K44" i="73"/>
  <c r="J44" i="73"/>
  <c r="I44" i="73"/>
  <c r="H44" i="73"/>
  <c r="K43" i="73"/>
  <c r="J43" i="73"/>
  <c r="I43" i="73"/>
  <c r="H43" i="73"/>
  <c r="K42" i="73"/>
  <c r="J42" i="73"/>
  <c r="I42" i="73"/>
  <c r="H42" i="73"/>
  <c r="K41" i="73"/>
  <c r="J41" i="73"/>
  <c r="I41" i="73"/>
  <c r="H41" i="73"/>
  <c r="K40" i="73"/>
  <c r="J40" i="73"/>
  <c r="I40" i="73"/>
  <c r="H40" i="73"/>
  <c r="K39" i="73"/>
  <c r="J39" i="73"/>
  <c r="I39" i="73"/>
  <c r="H39" i="73"/>
  <c r="K38" i="73"/>
  <c r="J38" i="73"/>
  <c r="I38" i="73"/>
  <c r="H38" i="73"/>
  <c r="K37" i="73"/>
  <c r="J37" i="73"/>
  <c r="I37" i="73"/>
  <c r="H37" i="73"/>
  <c r="K36" i="73"/>
  <c r="J36" i="73"/>
  <c r="I36" i="73"/>
  <c r="H36" i="73"/>
  <c r="K34" i="73"/>
  <c r="J34" i="73"/>
  <c r="I34" i="73"/>
  <c r="H34" i="73"/>
  <c r="K33" i="73"/>
  <c r="J33" i="73"/>
  <c r="I33" i="73"/>
  <c r="H33" i="73"/>
  <c r="K32" i="73"/>
  <c r="J32" i="73"/>
  <c r="I32" i="73"/>
  <c r="H32" i="73"/>
  <c r="K31" i="73"/>
  <c r="J31" i="73"/>
  <c r="I31" i="73"/>
  <c r="H31" i="73"/>
  <c r="K30" i="73"/>
  <c r="J30" i="73"/>
  <c r="I30" i="73"/>
  <c r="H30" i="73"/>
  <c r="K29" i="73"/>
  <c r="J29" i="73"/>
  <c r="I29" i="73"/>
  <c r="H29" i="73"/>
  <c r="K28" i="73"/>
  <c r="J28" i="73"/>
  <c r="I28" i="73"/>
  <c r="H28" i="73"/>
  <c r="K27" i="73"/>
  <c r="J27" i="73"/>
  <c r="I27" i="73"/>
  <c r="H27" i="73"/>
  <c r="K26" i="73"/>
  <c r="J26" i="73"/>
  <c r="I26" i="73"/>
  <c r="H26" i="73"/>
  <c r="K25" i="73"/>
  <c r="J25" i="73"/>
  <c r="I25" i="73"/>
  <c r="H25" i="73"/>
  <c r="K24" i="73"/>
  <c r="J24" i="73"/>
  <c r="I24" i="73"/>
  <c r="H24" i="73"/>
  <c r="K23" i="73"/>
  <c r="J23" i="73"/>
  <c r="I23" i="73"/>
  <c r="H23" i="73"/>
  <c r="K22" i="73"/>
  <c r="J22" i="73"/>
  <c r="I22" i="73"/>
  <c r="H22" i="73"/>
  <c r="K21" i="73"/>
  <c r="J21" i="73"/>
  <c r="I21" i="73"/>
  <c r="H21" i="73"/>
  <c r="K20" i="73"/>
  <c r="J20" i="73"/>
  <c r="I20" i="73"/>
  <c r="H20" i="73"/>
  <c r="K19" i="73"/>
  <c r="J19" i="73"/>
  <c r="I19" i="73"/>
  <c r="H19" i="73"/>
  <c r="K18" i="73"/>
  <c r="J18" i="73"/>
  <c r="I18" i="73"/>
  <c r="H18" i="73"/>
  <c r="K17" i="73"/>
  <c r="J17" i="73"/>
  <c r="I17" i="73"/>
  <c r="H17" i="73"/>
  <c r="K16" i="73"/>
  <c r="J16" i="73"/>
  <c r="I16" i="73"/>
  <c r="H16" i="73"/>
  <c r="K15" i="73"/>
  <c r="J15" i="73"/>
  <c r="I15" i="73"/>
  <c r="H15" i="73"/>
  <c r="K14" i="73"/>
  <c r="J14" i="73"/>
  <c r="I14" i="73"/>
  <c r="H14" i="73"/>
  <c r="K13" i="73"/>
  <c r="J13" i="73"/>
  <c r="I13" i="73"/>
  <c r="H13" i="73"/>
  <c r="K12" i="73"/>
  <c r="J12" i="73"/>
  <c r="I12" i="73"/>
  <c r="H12" i="73"/>
  <c r="K11" i="73"/>
  <c r="J11" i="73"/>
  <c r="I11" i="73"/>
  <c r="H11" i="73"/>
  <c r="K10" i="73"/>
  <c r="J10" i="73"/>
  <c r="I10" i="73"/>
  <c r="H10" i="73"/>
  <c r="K9" i="73"/>
  <c r="J9" i="73"/>
  <c r="I9" i="73"/>
  <c r="H9" i="73"/>
  <c r="K8" i="73"/>
  <c r="J8" i="73"/>
  <c r="I8" i="73"/>
  <c r="H8" i="73"/>
  <c r="T109" i="73" l="1"/>
  <c r="T219" i="73" s="1"/>
  <c r="P107" i="73"/>
  <c r="P217" i="73" s="1"/>
  <c r="P207" i="73"/>
  <c r="P205" i="73"/>
  <c r="V205" i="73"/>
  <c r="W205" i="73"/>
  <c r="T207" i="73"/>
  <c r="R207" i="73"/>
  <c r="U207" i="73"/>
  <c r="P111" i="73"/>
  <c r="P221" i="73" s="1"/>
  <c r="W107" i="73"/>
  <c r="W109" i="73"/>
  <c r="W219" i="73" s="1"/>
  <c r="R111" i="73"/>
  <c r="R221" i="73" s="1"/>
  <c r="W220" i="73"/>
  <c r="W111" i="73"/>
  <c r="W221" i="73" s="1"/>
  <c r="V220" i="73"/>
  <c r="V111" i="73"/>
  <c r="V221" i="73" s="1"/>
  <c r="U220" i="73"/>
  <c r="U111" i="73"/>
  <c r="U221" i="73" s="1"/>
  <c r="Q111" i="73"/>
  <c r="Q221" i="73" s="1"/>
  <c r="T220" i="73"/>
  <c r="T111" i="73"/>
  <c r="T221" i="73" s="1"/>
  <c r="S220" i="73"/>
  <c r="S111" i="73"/>
  <c r="S221" i="73" s="1"/>
  <c r="U218" i="73"/>
  <c r="U109" i="73"/>
  <c r="U219" i="73" s="1"/>
  <c r="P218" i="73"/>
  <c r="P109" i="73"/>
  <c r="P219" i="73" s="1"/>
  <c r="Q218" i="73"/>
  <c r="Q109" i="73"/>
  <c r="Q219" i="73" s="1"/>
  <c r="V218" i="73"/>
  <c r="V109" i="73"/>
  <c r="V219" i="73" s="1"/>
  <c r="R218" i="73"/>
  <c r="R109" i="73"/>
  <c r="R219" i="73" s="1"/>
  <c r="S218" i="73"/>
  <c r="S109" i="73"/>
  <c r="S219" i="73" s="1"/>
  <c r="T216" i="73"/>
  <c r="T107" i="73"/>
  <c r="T217" i="73" s="1"/>
  <c r="V216" i="73"/>
  <c r="V107" i="73"/>
  <c r="U216" i="73"/>
  <c r="U107" i="73"/>
  <c r="Q216" i="73"/>
  <c r="Q107" i="73"/>
  <c r="Q217" i="73" s="1"/>
  <c r="R216" i="73"/>
  <c r="R107" i="73"/>
  <c r="S216" i="73"/>
  <c r="S107" i="73"/>
  <c r="M306" i="73"/>
  <c r="N261" i="73"/>
  <c r="O307" i="73"/>
  <c r="L106" i="73"/>
  <c r="M261" i="73"/>
  <c r="R270" i="73"/>
  <c r="R315" i="73" s="1"/>
  <c r="L93" i="73"/>
  <c r="L203" i="73" s="1"/>
  <c r="M254" i="73"/>
  <c r="N101" i="73"/>
  <c r="N211" i="73" s="1"/>
  <c r="T112" i="73"/>
  <c r="T222" i="73" s="1"/>
  <c r="N253" i="73"/>
  <c r="N304" i="73"/>
  <c r="M297" i="73"/>
  <c r="N262" i="73"/>
  <c r="R298" i="73"/>
  <c r="N298" i="73" s="1"/>
  <c r="L99" i="73"/>
  <c r="L209" i="73" s="1"/>
  <c r="P267" i="73"/>
  <c r="P312" i="73" s="1"/>
  <c r="T270" i="73"/>
  <c r="T315" i="73" s="1"/>
  <c r="O268" i="73"/>
  <c r="O313" i="73" s="1"/>
  <c r="R307" i="73"/>
  <c r="N307" i="73" s="1"/>
  <c r="O253" i="73"/>
  <c r="O254" i="73"/>
  <c r="M106" i="73"/>
  <c r="M252" i="73"/>
  <c r="N106" i="73"/>
  <c r="N252" i="73"/>
  <c r="M256" i="73"/>
  <c r="O262" i="73"/>
  <c r="L100" i="73"/>
  <c r="L210" i="73" s="1"/>
  <c r="M266" i="73"/>
  <c r="M267" i="73" s="1"/>
  <c r="M312" i="73" s="1"/>
  <c r="Q301" i="73"/>
  <c r="M301" i="73" s="1"/>
  <c r="O93" i="73"/>
  <c r="O203" i="73" s="1"/>
  <c r="N299" i="73"/>
  <c r="O266" i="73"/>
  <c r="O311" i="73" s="1"/>
  <c r="O96" i="73"/>
  <c r="O206" i="73" s="1"/>
  <c r="M296" i="73"/>
  <c r="O252" i="73"/>
  <c r="M264" i="73"/>
  <c r="M309" i="73" s="1"/>
  <c r="N103" i="73"/>
  <c r="N213" i="73" s="1"/>
  <c r="L108" i="73"/>
  <c r="L109" i="73" s="1"/>
  <c r="M298" i="73"/>
  <c r="O255" i="73"/>
  <c r="N259" i="73"/>
  <c r="N264" i="73"/>
  <c r="N309" i="73" s="1"/>
  <c r="Q299" i="73"/>
  <c r="M299" i="73" s="1"/>
  <c r="M108" i="73"/>
  <c r="Q112" i="73"/>
  <c r="Q222" i="73" s="1"/>
  <c r="O259" i="73"/>
  <c r="R306" i="73"/>
  <c r="N306" i="73" s="1"/>
  <c r="M302" i="73"/>
  <c r="R112" i="73"/>
  <c r="R222" i="73" s="1"/>
  <c r="M258" i="73"/>
  <c r="O263" i="73"/>
  <c r="O308" i="73" s="1"/>
  <c r="S299" i="73"/>
  <c r="O299" i="73" s="1"/>
  <c r="O102" i="73"/>
  <c r="O212" i="73" s="1"/>
  <c r="N255" i="73"/>
  <c r="N258" i="73"/>
  <c r="M304" i="73"/>
  <c r="M262" i="73"/>
  <c r="U112" i="73"/>
  <c r="U222" i="73" s="1"/>
  <c r="M253" i="73"/>
  <c r="Q270" i="73"/>
  <c r="Q315" i="73" s="1"/>
  <c r="O105" i="73"/>
  <c r="O215" i="73" s="1"/>
  <c r="V112" i="73"/>
  <c r="V222" i="73" s="1"/>
  <c r="M257" i="73"/>
  <c r="O304" i="73"/>
  <c r="R300" i="73"/>
  <c r="N300" i="73" s="1"/>
  <c r="P204" i="73"/>
  <c r="L94" i="73"/>
  <c r="L204" i="73" s="1"/>
  <c r="W218" i="73"/>
  <c r="O108" i="73"/>
  <c r="O109" i="73" s="1"/>
  <c r="W112" i="73"/>
  <c r="W222" i="73" s="1"/>
  <c r="R214" i="73"/>
  <c r="N104" i="73"/>
  <c r="N214" i="73" s="1"/>
  <c r="S214" i="73"/>
  <c r="O104" i="73"/>
  <c r="O214" i="73" s="1"/>
  <c r="P213" i="73"/>
  <c r="L103" i="73"/>
  <c r="L213" i="73" s="1"/>
  <c r="W211" i="73"/>
  <c r="O101" i="73"/>
  <c r="O211" i="73" s="1"/>
  <c r="Q213" i="73"/>
  <c r="M103" i="73"/>
  <c r="M213" i="73" s="1"/>
  <c r="V210" i="73"/>
  <c r="N100" i="73"/>
  <c r="N210" i="73" s="1"/>
  <c r="R205" i="73"/>
  <c r="N95" i="73"/>
  <c r="Q204" i="73"/>
  <c r="M94" i="73"/>
  <c r="M204" i="73" s="1"/>
  <c r="S205" i="73"/>
  <c r="P212" i="73"/>
  <c r="L102" i="73"/>
  <c r="L212" i="73" s="1"/>
  <c r="T208" i="73"/>
  <c r="L98" i="73"/>
  <c r="L208" i="73" s="1"/>
  <c r="S207" i="73"/>
  <c r="O97" i="73"/>
  <c r="W208" i="73"/>
  <c r="O98" i="73"/>
  <c r="O208" i="73" s="1"/>
  <c r="P215" i="73"/>
  <c r="L105" i="73"/>
  <c r="L215" i="73" s="1"/>
  <c r="J268" i="73"/>
  <c r="R267" i="73" s="1"/>
  <c r="R312" i="73" s="1"/>
  <c r="P206" i="73"/>
  <c r="L96" i="73"/>
  <c r="L206" i="73" s="1"/>
  <c r="Q215" i="73"/>
  <c r="M105" i="73"/>
  <c r="M215" i="73" s="1"/>
  <c r="P220" i="73"/>
  <c r="L110" i="73"/>
  <c r="L111" i="73" s="1"/>
  <c r="O95" i="73"/>
  <c r="V207" i="73"/>
  <c r="N97" i="73"/>
  <c r="P216" i="73"/>
  <c r="P112" i="73"/>
  <c r="P222" i="73" s="1"/>
  <c r="W207" i="73"/>
  <c r="T205" i="73"/>
  <c r="L95" i="73"/>
  <c r="N99" i="73"/>
  <c r="N209" i="73" s="1"/>
  <c r="O100" i="73"/>
  <c r="O210" i="73" s="1"/>
  <c r="Q212" i="73"/>
  <c r="M102" i="73"/>
  <c r="M212" i="73" s="1"/>
  <c r="R220" i="73"/>
  <c r="N110" i="73"/>
  <c r="N111" i="73" s="1"/>
  <c r="Q203" i="73"/>
  <c r="M93" i="73"/>
  <c r="M203" i="73" s="1"/>
  <c r="S204" i="73"/>
  <c r="O94" i="73"/>
  <c r="O204" i="73" s="1"/>
  <c r="U205" i="73"/>
  <c r="N98" i="73"/>
  <c r="N208" i="73" s="1"/>
  <c r="O99" i="73"/>
  <c r="O209" i="73" s="1"/>
  <c r="Q211" i="73"/>
  <c r="M101" i="73"/>
  <c r="M211" i="73" s="1"/>
  <c r="R203" i="73"/>
  <c r="N93" i="73"/>
  <c r="N203" i="73" s="1"/>
  <c r="L97" i="73"/>
  <c r="Q210" i="73"/>
  <c r="M100" i="73"/>
  <c r="M210" i="73" s="1"/>
  <c r="T218" i="73"/>
  <c r="Q208" i="73"/>
  <c r="M98" i="73"/>
  <c r="M208" i="73" s="1"/>
  <c r="Q207" i="73"/>
  <c r="M97" i="73"/>
  <c r="S269" i="73"/>
  <c r="S314" i="73" s="1"/>
  <c r="W267" i="73"/>
  <c r="W312" i="73" s="1"/>
  <c r="W269" i="73"/>
  <c r="W314" i="73" s="1"/>
  <c r="W265" i="73"/>
  <c r="W216" i="73"/>
  <c r="R206" i="73"/>
  <c r="N96" i="73"/>
  <c r="N206" i="73" s="1"/>
  <c r="P214" i="73"/>
  <c r="L104" i="73"/>
  <c r="L214" i="73" s="1"/>
  <c r="R215" i="73"/>
  <c r="N105" i="73"/>
  <c r="N215" i="73" s="1"/>
  <c r="N94" i="73"/>
  <c r="N204" i="73" s="1"/>
  <c r="Q205" i="73"/>
  <c r="M95" i="73"/>
  <c r="L101" i="73"/>
  <c r="L211" i="73" s="1"/>
  <c r="N102" i="73"/>
  <c r="N212" i="73" s="1"/>
  <c r="O103" i="73"/>
  <c r="O213" i="73" s="1"/>
  <c r="Q214" i="73"/>
  <c r="M104" i="73"/>
  <c r="M214" i="73" s="1"/>
  <c r="O106" i="73"/>
  <c r="O107" i="73" s="1"/>
  <c r="N108" i="73"/>
  <c r="N109" i="73" s="1"/>
  <c r="O110" i="73"/>
  <c r="O111" i="73" s="1"/>
  <c r="Q209" i="73"/>
  <c r="M99" i="73"/>
  <c r="M209" i="73" s="1"/>
  <c r="Q206" i="73"/>
  <c r="M96" i="73"/>
  <c r="M206" i="73" s="1"/>
  <c r="R265" i="73"/>
  <c r="Q220" i="73"/>
  <c r="M110" i="73"/>
  <c r="M111" i="73" s="1"/>
  <c r="S112" i="73"/>
  <c r="S222" i="73" s="1"/>
  <c r="N303" i="73"/>
  <c r="T313" i="73"/>
  <c r="L268" i="73"/>
  <c r="T269" i="73"/>
  <c r="T314" i="73" s="1"/>
  <c r="U313" i="73"/>
  <c r="U269" i="73"/>
  <c r="U314" i="73" s="1"/>
  <c r="V313" i="73"/>
  <c r="N268" i="73"/>
  <c r="U265" i="73"/>
  <c r="Q265" i="73"/>
  <c r="U270" i="73"/>
  <c r="Q267" i="73"/>
  <c r="Q312" i="73" s="1"/>
  <c r="V270" i="73"/>
  <c r="V315" i="73" s="1"/>
  <c r="M303" i="73"/>
  <c r="T298" i="73"/>
  <c r="L298" i="73" s="1"/>
  <c r="L253" i="73"/>
  <c r="S306" i="73"/>
  <c r="O306" i="73" s="1"/>
  <c r="O261" i="73"/>
  <c r="T307" i="73"/>
  <c r="L307" i="73" s="1"/>
  <c r="L262" i="73"/>
  <c r="R296" i="73"/>
  <c r="N296" i="73" s="1"/>
  <c r="N251" i="73"/>
  <c r="T297" i="73"/>
  <c r="L297" i="73" s="1"/>
  <c r="L252" i="73"/>
  <c r="R301" i="73"/>
  <c r="N301" i="73" s="1"/>
  <c r="N256" i="73"/>
  <c r="Q305" i="73"/>
  <c r="M305" i="73" s="1"/>
  <c r="M260" i="73"/>
  <c r="T306" i="73"/>
  <c r="L306" i="73" s="1"/>
  <c r="L261" i="73"/>
  <c r="O251" i="73"/>
  <c r="O256" i="73"/>
  <c r="N260" i="73"/>
  <c r="R305" i="73"/>
  <c r="N305" i="73" s="1"/>
  <c r="U311" i="73"/>
  <c r="U267" i="73"/>
  <c r="U312" i="73" s="1"/>
  <c r="O300" i="73"/>
  <c r="O305" i="73"/>
  <c r="O260" i="73"/>
  <c r="V311" i="73"/>
  <c r="S296" i="73"/>
  <c r="O296" i="73" s="1"/>
  <c r="N254" i="73"/>
  <c r="Q300" i="73"/>
  <c r="M300" i="73" s="1"/>
  <c r="M255" i="73"/>
  <c r="N263" i="73"/>
  <c r="N308" i="73" s="1"/>
  <c r="T304" i="73"/>
  <c r="L304" i="73" s="1"/>
  <c r="L259" i="73"/>
  <c r="O264" i="73"/>
  <c r="S270" i="73"/>
  <c r="S309" i="73"/>
  <c r="S265" i="73"/>
  <c r="S297" i="73"/>
  <c r="O297" i="73" s="1"/>
  <c r="S303" i="73"/>
  <c r="O303" i="73" s="1"/>
  <c r="O258" i="73"/>
  <c r="T309" i="73"/>
  <c r="T265" i="73"/>
  <c r="P311" i="73"/>
  <c r="L266" i="73"/>
  <c r="M251" i="73"/>
  <c r="R302" i="73"/>
  <c r="N302" i="73" s="1"/>
  <c r="N257" i="73"/>
  <c r="T303" i="73"/>
  <c r="L303" i="73" s="1"/>
  <c r="L258" i="73"/>
  <c r="T308" i="73"/>
  <c r="L263" i="73"/>
  <c r="L308" i="73" s="1"/>
  <c r="S302" i="73"/>
  <c r="O302" i="73" s="1"/>
  <c r="O257" i="73"/>
  <c r="M263" i="73"/>
  <c r="M308" i="73" s="1"/>
  <c r="U308" i="73"/>
  <c r="M307" i="73"/>
  <c r="T302" i="73"/>
  <c r="L302" i="73" s="1"/>
  <c r="L257" i="73"/>
  <c r="P270" i="73"/>
  <c r="L264" i="73"/>
  <c r="P309" i="73"/>
  <c r="P265" i="73"/>
  <c r="Q269" i="73"/>
  <c r="Q314" i="73" s="1"/>
  <c r="W270" i="73"/>
  <c r="W315" i="73" s="1"/>
  <c r="O298" i="73"/>
  <c r="S301" i="73"/>
  <c r="O301" i="73" s="1"/>
  <c r="T301" i="73"/>
  <c r="L301" i="73" s="1"/>
  <c r="L256" i="73"/>
  <c r="N266" i="73"/>
  <c r="R309" i="73"/>
  <c r="T300" i="73"/>
  <c r="L300" i="73" s="1"/>
  <c r="L255" i="73"/>
  <c r="S267" i="73"/>
  <c r="S312" i="73" s="1"/>
  <c r="T296" i="73"/>
  <c r="L296" i="73" s="1"/>
  <c r="L251" i="73"/>
  <c r="M259" i="73"/>
  <c r="V265" i="73"/>
  <c r="T305" i="73"/>
  <c r="L305" i="73" s="1"/>
  <c r="L260" i="73"/>
  <c r="M268" i="73"/>
  <c r="N297" i="73"/>
  <c r="T299" i="73"/>
  <c r="L299" i="73" s="1"/>
  <c r="L254" i="73"/>
  <c r="P269" i="73"/>
  <c r="P314" i="73" s="1"/>
  <c r="T267" i="73"/>
  <c r="T312" i="73" s="1"/>
  <c r="U224" i="73" l="1"/>
  <c r="S224" i="73"/>
  <c r="R224" i="73"/>
  <c r="T224" i="73"/>
  <c r="V224" i="73"/>
  <c r="M218" i="73"/>
  <c r="M109" i="73"/>
  <c r="M219" i="73" s="1"/>
  <c r="N216" i="73"/>
  <c r="N107" i="73"/>
  <c r="N217" i="73" s="1"/>
  <c r="L107" i="73"/>
  <c r="L217" i="73" s="1"/>
  <c r="M107" i="73"/>
  <c r="M217" i="73" s="1"/>
  <c r="L216" i="73"/>
  <c r="O269" i="73"/>
  <c r="O314" i="73" s="1"/>
  <c r="M311" i="73"/>
  <c r="O267" i="73"/>
  <c r="O312" i="73" s="1"/>
  <c r="M216" i="73"/>
  <c r="N265" i="73"/>
  <c r="N310" i="73" s="1"/>
  <c r="P224" i="73"/>
  <c r="M112" i="73"/>
  <c r="M222" i="73" s="1"/>
  <c r="N112" i="73"/>
  <c r="N222" i="73" s="1"/>
  <c r="V267" i="73"/>
  <c r="V312" i="73" s="1"/>
  <c r="W224" i="73"/>
  <c r="M265" i="73"/>
  <c r="M310" i="73" s="1"/>
  <c r="V269" i="73"/>
  <c r="V314" i="73" s="1"/>
  <c r="R269" i="73"/>
  <c r="R314" i="73" s="1"/>
  <c r="L218" i="73"/>
  <c r="L219" i="73"/>
  <c r="Q224" i="73"/>
  <c r="O205" i="73"/>
  <c r="T310" i="73"/>
  <c r="T271" i="73"/>
  <c r="L207" i="73"/>
  <c r="V310" i="73"/>
  <c r="P271" i="73"/>
  <c r="P310" i="73"/>
  <c r="U217" i="73"/>
  <c r="U113" i="73"/>
  <c r="W217" i="73"/>
  <c r="W113" i="73"/>
  <c r="L205" i="73"/>
  <c r="P113" i="73"/>
  <c r="Q271" i="73"/>
  <c r="Q310" i="73"/>
  <c r="M220" i="73"/>
  <c r="M221" i="73"/>
  <c r="O207" i="73"/>
  <c r="M269" i="73"/>
  <c r="M314" i="73" s="1"/>
  <c r="M313" i="73"/>
  <c r="L265" i="73"/>
  <c r="L309" i="73"/>
  <c r="U310" i="73"/>
  <c r="U271" i="73"/>
  <c r="S217" i="73"/>
  <c r="S113" i="73"/>
  <c r="M205" i="73"/>
  <c r="W310" i="73"/>
  <c r="W271" i="73"/>
  <c r="N220" i="73"/>
  <c r="N221" i="73"/>
  <c r="L220" i="73"/>
  <c r="N267" i="73"/>
  <c r="N312" i="73" s="1"/>
  <c r="N311" i="73"/>
  <c r="P315" i="73"/>
  <c r="L270" i="73"/>
  <c r="L315" i="73" s="1"/>
  <c r="N205" i="73"/>
  <c r="N270" i="73"/>
  <c r="N315" i="73" s="1"/>
  <c r="L269" i="73"/>
  <c r="L314" i="73" s="1"/>
  <c r="L313" i="73"/>
  <c r="S271" i="73"/>
  <c r="S310" i="73"/>
  <c r="N269" i="73"/>
  <c r="N314" i="73" s="1"/>
  <c r="N313" i="73"/>
  <c r="R310" i="73"/>
  <c r="O220" i="73"/>
  <c r="O221" i="73"/>
  <c r="Q113" i="73"/>
  <c r="O218" i="73"/>
  <c r="O219" i="73"/>
  <c r="U315" i="73"/>
  <c r="M270" i="73"/>
  <c r="M315" i="73" s="1"/>
  <c r="S315" i="73"/>
  <c r="O270" i="73"/>
  <c r="O315" i="73" s="1"/>
  <c r="O216" i="73"/>
  <c r="O112" i="73"/>
  <c r="O222" i="73" s="1"/>
  <c r="M207" i="73"/>
  <c r="L112" i="73"/>
  <c r="L222" i="73" s="1"/>
  <c r="N218" i="73"/>
  <c r="N219" i="73"/>
  <c r="T113" i="73"/>
  <c r="R217" i="73"/>
  <c r="R113" i="73"/>
  <c r="N207" i="73"/>
  <c r="L267" i="73"/>
  <c r="L312" i="73" s="1"/>
  <c r="L311" i="73"/>
  <c r="O309" i="73"/>
  <c r="O265" i="73"/>
  <c r="V217" i="73"/>
  <c r="V113" i="73"/>
  <c r="N224" i="73" l="1"/>
  <c r="M224" i="73"/>
  <c r="L224" i="73"/>
  <c r="V271" i="73"/>
  <c r="V316" i="73" s="1"/>
  <c r="R271" i="73"/>
  <c r="R316" i="73" s="1"/>
  <c r="O224" i="73"/>
  <c r="R223" i="73"/>
  <c r="U316" i="73"/>
  <c r="N113" i="73"/>
  <c r="Q316" i="73"/>
  <c r="O217" i="73"/>
  <c r="O113" i="73"/>
  <c r="S223" i="73"/>
  <c r="L221" i="73"/>
  <c r="L113" i="73"/>
  <c r="P223" i="73"/>
  <c r="P316" i="73"/>
  <c r="T223" i="73"/>
  <c r="O310" i="73"/>
  <c r="O271" i="73"/>
  <c r="L271" i="73"/>
  <c r="L310" i="73"/>
  <c r="V223" i="73"/>
  <c r="S316" i="73"/>
  <c r="N271" i="73"/>
  <c r="T316" i="73"/>
  <c r="W223" i="73"/>
  <c r="M271" i="73"/>
  <c r="W316" i="73"/>
  <c r="M113" i="73"/>
  <c r="U223" i="73"/>
  <c r="Q223" i="73"/>
  <c r="L223" i="73" l="1"/>
  <c r="N316" i="73"/>
  <c r="O223" i="73"/>
  <c r="L316" i="73"/>
  <c r="M223" i="73"/>
  <c r="N223" i="73"/>
  <c r="M316" i="73"/>
  <c r="O316" i="73"/>
  <c r="AA405" i="72" l="1"/>
  <c r="W405" i="72" s="1"/>
  <c r="Z405" i="72"/>
  <c r="V405" i="72" s="1"/>
  <c r="Y405" i="72"/>
  <c r="U405" i="72" s="1"/>
  <c r="X405" i="72"/>
  <c r="T405" i="72" s="1"/>
  <c r="S405" i="72"/>
  <c r="R405" i="72"/>
  <c r="Q405" i="72"/>
  <c r="P405" i="72"/>
  <c r="AA404" i="72"/>
  <c r="W404" i="72" s="1"/>
  <c r="Z404" i="72"/>
  <c r="V404" i="72" s="1"/>
  <c r="Y404" i="72"/>
  <c r="U404" i="72" s="1"/>
  <c r="X404" i="72"/>
  <c r="T404" i="72" s="1"/>
  <c r="S404" i="72"/>
  <c r="R404" i="72"/>
  <c r="Q404" i="72"/>
  <c r="P404" i="72"/>
  <c r="AA403" i="72"/>
  <c r="W403" i="72" s="1"/>
  <c r="Z403" i="72"/>
  <c r="V403" i="72" s="1"/>
  <c r="Y403" i="72"/>
  <c r="U403" i="72" s="1"/>
  <c r="X403" i="72"/>
  <c r="T403" i="72" s="1"/>
  <c r="S403" i="72"/>
  <c r="R403" i="72"/>
  <c r="Q403" i="72"/>
  <c r="P403" i="72"/>
  <c r="AA402" i="72"/>
  <c r="W402" i="72" s="1"/>
  <c r="Z402" i="72"/>
  <c r="V402" i="72" s="1"/>
  <c r="Y402" i="72"/>
  <c r="U402" i="72" s="1"/>
  <c r="X402" i="72"/>
  <c r="T402" i="72" s="1"/>
  <c r="S402" i="72"/>
  <c r="R402" i="72"/>
  <c r="Q402" i="72"/>
  <c r="P402" i="72"/>
  <c r="AA401" i="72"/>
  <c r="W401" i="72" s="1"/>
  <c r="Z401" i="72"/>
  <c r="V401" i="72" s="1"/>
  <c r="Y401" i="72"/>
  <c r="U401" i="72" s="1"/>
  <c r="X401" i="72"/>
  <c r="T401" i="72" s="1"/>
  <c r="S401" i="72"/>
  <c r="R401" i="72"/>
  <c r="Q401" i="72"/>
  <c r="P401" i="72"/>
  <c r="AA400" i="72"/>
  <c r="W400" i="72" s="1"/>
  <c r="Z400" i="72"/>
  <c r="V400" i="72" s="1"/>
  <c r="Y400" i="72"/>
  <c r="U400" i="72" s="1"/>
  <c r="X400" i="72"/>
  <c r="T400" i="72" s="1"/>
  <c r="S400" i="72"/>
  <c r="R400" i="72"/>
  <c r="Q400" i="72"/>
  <c r="P400" i="72"/>
  <c r="AA399" i="72"/>
  <c r="W399" i="72" s="1"/>
  <c r="Z399" i="72"/>
  <c r="V399" i="72" s="1"/>
  <c r="Y399" i="72"/>
  <c r="U399" i="72" s="1"/>
  <c r="X399" i="72"/>
  <c r="T399" i="72" s="1"/>
  <c r="S399" i="72"/>
  <c r="R399" i="72"/>
  <c r="Q399" i="72"/>
  <c r="P399" i="72"/>
  <c r="AA398" i="72"/>
  <c r="W398" i="72" s="1"/>
  <c r="Z398" i="72"/>
  <c r="V398" i="72" s="1"/>
  <c r="Y398" i="72"/>
  <c r="U398" i="72" s="1"/>
  <c r="X398" i="72"/>
  <c r="T398" i="72" s="1"/>
  <c r="S398" i="72"/>
  <c r="R398" i="72"/>
  <c r="Q398" i="72"/>
  <c r="P398" i="72"/>
  <c r="AA397" i="72"/>
  <c r="W397" i="72" s="1"/>
  <c r="Z397" i="72"/>
  <c r="V397" i="72" s="1"/>
  <c r="Y397" i="72"/>
  <c r="U397" i="72" s="1"/>
  <c r="X397" i="72"/>
  <c r="T397" i="72" s="1"/>
  <c r="S397" i="72"/>
  <c r="R397" i="72"/>
  <c r="Q397" i="72"/>
  <c r="P397" i="72"/>
  <c r="AA396" i="72"/>
  <c r="W396" i="72" s="1"/>
  <c r="Z396" i="72"/>
  <c r="V396" i="72" s="1"/>
  <c r="Y396" i="72"/>
  <c r="U396" i="72" s="1"/>
  <c r="X396" i="72"/>
  <c r="T396" i="72" s="1"/>
  <c r="S396" i="72"/>
  <c r="R396" i="72"/>
  <c r="Q396" i="72"/>
  <c r="P396" i="72"/>
  <c r="AA395" i="72"/>
  <c r="Z395" i="72"/>
  <c r="Y395" i="72"/>
  <c r="X395" i="72"/>
  <c r="S395" i="72"/>
  <c r="R395" i="72"/>
  <c r="Q395" i="72"/>
  <c r="P395" i="72"/>
  <c r="AA337" i="72"/>
  <c r="Z337" i="72"/>
  <c r="Y337" i="72"/>
  <c r="X337" i="72"/>
  <c r="S337" i="72"/>
  <c r="R337" i="72"/>
  <c r="Q337" i="72"/>
  <c r="P337" i="72"/>
  <c r="AA336" i="72"/>
  <c r="Z336" i="72"/>
  <c r="Y336" i="72"/>
  <c r="X336" i="72"/>
  <c r="S336" i="72"/>
  <c r="R336" i="72"/>
  <c r="Q336" i="72"/>
  <c r="P336" i="72"/>
  <c r="AA335" i="72"/>
  <c r="Z335" i="72"/>
  <c r="Y335" i="72"/>
  <c r="X335" i="72"/>
  <c r="S335" i="72"/>
  <c r="R335" i="72"/>
  <c r="Q335" i="72"/>
  <c r="P335" i="72"/>
  <c r="AA334" i="72"/>
  <c r="Z334" i="72"/>
  <c r="Y334" i="72"/>
  <c r="X334" i="72"/>
  <c r="S334" i="72"/>
  <c r="R334" i="72"/>
  <c r="Q334" i="72"/>
  <c r="P334" i="72"/>
  <c r="AA332" i="72"/>
  <c r="Z332" i="72"/>
  <c r="Y332" i="72"/>
  <c r="X332" i="72"/>
  <c r="S332" i="72"/>
  <c r="R332" i="72"/>
  <c r="Q332" i="72"/>
  <c r="P332" i="72"/>
  <c r="AA330" i="72"/>
  <c r="Z330" i="72"/>
  <c r="Y330" i="72"/>
  <c r="X330" i="72"/>
  <c r="S330" i="72"/>
  <c r="R330" i="72"/>
  <c r="Q330" i="72"/>
  <c r="P330" i="72"/>
  <c r="AA328" i="72"/>
  <c r="Z328" i="72"/>
  <c r="Y328" i="72"/>
  <c r="X328" i="72"/>
  <c r="S328" i="72"/>
  <c r="R328" i="72"/>
  <c r="Q328" i="72"/>
  <c r="P328" i="72"/>
  <c r="AA326" i="72"/>
  <c r="Z326" i="72"/>
  <c r="Y326" i="72"/>
  <c r="X326" i="72"/>
  <c r="S326" i="72"/>
  <c r="R326" i="72"/>
  <c r="Q326" i="72"/>
  <c r="P326" i="72"/>
  <c r="AA324" i="72"/>
  <c r="Z324" i="72"/>
  <c r="Y324" i="72"/>
  <c r="X324" i="72"/>
  <c r="S324" i="72"/>
  <c r="R324" i="72"/>
  <c r="Q324" i="72"/>
  <c r="P324" i="72"/>
  <c r="AA322" i="72"/>
  <c r="Z322" i="72"/>
  <c r="Y322" i="72"/>
  <c r="X322" i="72"/>
  <c r="S322" i="72"/>
  <c r="R322" i="72"/>
  <c r="Q322" i="72"/>
  <c r="P322" i="72"/>
  <c r="AA316" i="72"/>
  <c r="Z316" i="72"/>
  <c r="Y316" i="72"/>
  <c r="X316" i="72"/>
  <c r="S316" i="72"/>
  <c r="R316" i="72"/>
  <c r="Q316" i="72"/>
  <c r="P316" i="72"/>
  <c r="AA315" i="72"/>
  <c r="Z315" i="72"/>
  <c r="Y315" i="72"/>
  <c r="X315" i="72"/>
  <c r="S315" i="72"/>
  <c r="R315" i="72"/>
  <c r="Q315" i="72"/>
  <c r="P315" i="72"/>
  <c r="AA314" i="72"/>
  <c r="Z314" i="72"/>
  <c r="Y314" i="72"/>
  <c r="X314" i="72"/>
  <c r="S314" i="72"/>
  <c r="R314" i="72"/>
  <c r="Q314" i="72"/>
  <c r="P314" i="72"/>
  <c r="AA313" i="72"/>
  <c r="Z313" i="72"/>
  <c r="Y313" i="72"/>
  <c r="X313" i="72"/>
  <c r="S313" i="72"/>
  <c r="R313" i="72"/>
  <c r="Q313" i="72"/>
  <c r="P313" i="72"/>
  <c r="AA312" i="72"/>
  <c r="Z312" i="72"/>
  <c r="Y312" i="72"/>
  <c r="X312" i="72"/>
  <c r="S312" i="72"/>
  <c r="R312" i="72"/>
  <c r="Q312" i="72"/>
  <c r="P312" i="72"/>
  <c r="AA311" i="72"/>
  <c r="Z311" i="72"/>
  <c r="Y311" i="72"/>
  <c r="X311" i="72"/>
  <c r="S311" i="72"/>
  <c r="R311" i="72"/>
  <c r="Q311" i="72"/>
  <c r="P311" i="72"/>
  <c r="AA310" i="72"/>
  <c r="Z310" i="72"/>
  <c r="Y310" i="72"/>
  <c r="X310" i="72"/>
  <c r="S310" i="72"/>
  <c r="R310" i="72"/>
  <c r="Q310" i="72"/>
  <c r="P310" i="72"/>
  <c r="AA309" i="72"/>
  <c r="W309" i="72" s="1"/>
  <c r="Z309" i="72"/>
  <c r="V309" i="72" s="1"/>
  <c r="Y309" i="72"/>
  <c r="U309" i="72" s="1"/>
  <c r="X309" i="72"/>
  <c r="T309" i="72" s="1"/>
  <c r="S309" i="72"/>
  <c r="R309" i="72"/>
  <c r="Q309" i="72"/>
  <c r="P309" i="72"/>
  <c r="AA308" i="72"/>
  <c r="W308" i="72" s="1"/>
  <c r="Z308" i="72"/>
  <c r="V308" i="72" s="1"/>
  <c r="Y308" i="72"/>
  <c r="U308" i="72" s="1"/>
  <c r="X308" i="72"/>
  <c r="T308" i="72" s="1"/>
  <c r="S308" i="72"/>
  <c r="R308" i="72"/>
  <c r="Q308" i="72"/>
  <c r="P308" i="72"/>
  <c r="AA307" i="72"/>
  <c r="W307" i="72" s="1"/>
  <c r="Z307" i="72"/>
  <c r="V307" i="72" s="1"/>
  <c r="Y307" i="72"/>
  <c r="U307" i="72" s="1"/>
  <c r="X307" i="72"/>
  <c r="T307" i="72" s="1"/>
  <c r="S307" i="72"/>
  <c r="R307" i="72"/>
  <c r="Q307" i="72"/>
  <c r="P307" i="72"/>
  <c r="AA306" i="72"/>
  <c r="Z306" i="72"/>
  <c r="Y306" i="72"/>
  <c r="X306" i="72"/>
  <c r="S306" i="72"/>
  <c r="R306" i="72"/>
  <c r="Q306" i="72"/>
  <c r="P306" i="72"/>
  <c r="AA305" i="72"/>
  <c r="W305" i="72" s="1"/>
  <c r="Z305" i="72"/>
  <c r="V305" i="72" s="1"/>
  <c r="Y305" i="72"/>
  <c r="U305" i="72" s="1"/>
  <c r="X305" i="72"/>
  <c r="T305" i="72" s="1"/>
  <c r="S305" i="72"/>
  <c r="R305" i="72"/>
  <c r="Q305" i="72"/>
  <c r="P305" i="72"/>
  <c r="AA304" i="72"/>
  <c r="W304" i="72" s="1"/>
  <c r="Z304" i="72"/>
  <c r="V304" i="72" s="1"/>
  <c r="Y304" i="72"/>
  <c r="U304" i="72" s="1"/>
  <c r="X304" i="72"/>
  <c r="T304" i="72" s="1"/>
  <c r="S304" i="72"/>
  <c r="R304" i="72"/>
  <c r="Q304" i="72"/>
  <c r="P304" i="72"/>
  <c r="AA303" i="72"/>
  <c r="W303" i="72" s="1"/>
  <c r="Z303" i="72"/>
  <c r="V303" i="72" s="1"/>
  <c r="Y303" i="72"/>
  <c r="U303" i="72" s="1"/>
  <c r="X303" i="72"/>
  <c r="T303" i="72" s="1"/>
  <c r="S303" i="72"/>
  <c r="R303" i="72"/>
  <c r="Q303" i="72"/>
  <c r="P303" i="72"/>
  <c r="AA302" i="72"/>
  <c r="W302" i="72" s="1"/>
  <c r="Z302" i="72"/>
  <c r="V302" i="72" s="1"/>
  <c r="Y302" i="72"/>
  <c r="U302" i="72" s="1"/>
  <c r="X302" i="72"/>
  <c r="T302" i="72" s="1"/>
  <c r="S302" i="72"/>
  <c r="R302" i="72"/>
  <c r="Q302" i="72"/>
  <c r="P302" i="72"/>
  <c r="AA301" i="72"/>
  <c r="W301" i="72" s="1"/>
  <c r="Z301" i="72"/>
  <c r="V301" i="72" s="1"/>
  <c r="Y301" i="72"/>
  <c r="U301" i="72" s="1"/>
  <c r="X301" i="72"/>
  <c r="T301" i="72" s="1"/>
  <c r="S301" i="72"/>
  <c r="R301" i="72"/>
  <c r="Q301" i="72"/>
  <c r="P301" i="72"/>
  <c r="AA300" i="72"/>
  <c r="W300" i="72" s="1"/>
  <c r="Z300" i="72"/>
  <c r="V300" i="72" s="1"/>
  <c r="Y300" i="72"/>
  <c r="U300" i="72" s="1"/>
  <c r="X300" i="72"/>
  <c r="T300" i="72" s="1"/>
  <c r="S300" i="72"/>
  <c r="R300" i="72"/>
  <c r="Q300" i="72"/>
  <c r="P300" i="72"/>
  <c r="AA299" i="72"/>
  <c r="W299" i="72" s="1"/>
  <c r="Z299" i="72"/>
  <c r="V299" i="72" s="1"/>
  <c r="Y299" i="72"/>
  <c r="U299" i="72" s="1"/>
  <c r="X299" i="72"/>
  <c r="T299" i="72" s="1"/>
  <c r="S299" i="72"/>
  <c r="R299" i="72"/>
  <c r="Q299" i="72"/>
  <c r="P299" i="72"/>
  <c r="AA298" i="72"/>
  <c r="W298" i="72" s="1"/>
  <c r="Z298" i="72"/>
  <c r="V298" i="72" s="1"/>
  <c r="Y298" i="72"/>
  <c r="U298" i="72" s="1"/>
  <c r="X298" i="72"/>
  <c r="T298" i="72" s="1"/>
  <c r="S298" i="72"/>
  <c r="R298" i="72"/>
  <c r="Q298" i="72"/>
  <c r="P298" i="72"/>
  <c r="AA297" i="72"/>
  <c r="W297" i="72" s="1"/>
  <c r="Z297" i="72"/>
  <c r="V297" i="72" s="1"/>
  <c r="Y297" i="72"/>
  <c r="U297" i="72" s="1"/>
  <c r="X297" i="72"/>
  <c r="T297" i="72" s="1"/>
  <c r="S297" i="72"/>
  <c r="R297" i="72"/>
  <c r="Q297" i="72"/>
  <c r="P297" i="72"/>
  <c r="AA296" i="72"/>
  <c r="W296" i="72" s="1"/>
  <c r="Z296" i="72"/>
  <c r="V296" i="72" s="1"/>
  <c r="Y296" i="72"/>
  <c r="U296" i="72" s="1"/>
  <c r="X296" i="72"/>
  <c r="T296" i="72" s="1"/>
  <c r="S296" i="72"/>
  <c r="R296" i="72"/>
  <c r="Q296" i="72"/>
  <c r="P296" i="72"/>
  <c r="AA295" i="72"/>
  <c r="W295" i="72" s="1"/>
  <c r="Z295" i="72"/>
  <c r="V295" i="72" s="1"/>
  <c r="Y295" i="72"/>
  <c r="U295" i="72" s="1"/>
  <c r="X295" i="72"/>
  <c r="T295" i="72" s="1"/>
  <c r="S295" i="72"/>
  <c r="R295" i="72"/>
  <c r="Q295" i="72"/>
  <c r="P295" i="72"/>
  <c r="AA294" i="72"/>
  <c r="W294" i="72" s="1"/>
  <c r="Z294" i="72"/>
  <c r="V294" i="72" s="1"/>
  <c r="Y294" i="72"/>
  <c r="U294" i="72" s="1"/>
  <c r="X294" i="72"/>
  <c r="T294" i="72" s="1"/>
  <c r="S294" i="72"/>
  <c r="R294" i="72"/>
  <c r="Q294" i="72"/>
  <c r="P294" i="72"/>
  <c r="AA293" i="72"/>
  <c r="W293" i="72" s="1"/>
  <c r="Z293" i="72"/>
  <c r="V293" i="72" s="1"/>
  <c r="Y293" i="72"/>
  <c r="U293" i="72" s="1"/>
  <c r="X293" i="72"/>
  <c r="T293" i="72" s="1"/>
  <c r="S293" i="72"/>
  <c r="R293" i="72"/>
  <c r="Q293" i="72"/>
  <c r="P293" i="72"/>
  <c r="AA292" i="72"/>
  <c r="W292" i="72" s="1"/>
  <c r="Z292" i="72"/>
  <c r="V292" i="72" s="1"/>
  <c r="Y292" i="72"/>
  <c r="U292" i="72" s="1"/>
  <c r="X292" i="72"/>
  <c r="T292" i="72" s="1"/>
  <c r="S292" i="72"/>
  <c r="R292" i="72"/>
  <c r="Q292" i="72"/>
  <c r="P292" i="72"/>
  <c r="AA291" i="72"/>
  <c r="W291" i="72" s="1"/>
  <c r="Z291" i="72"/>
  <c r="V291" i="72" s="1"/>
  <c r="Y291" i="72"/>
  <c r="U291" i="72" s="1"/>
  <c r="X291" i="72"/>
  <c r="T291" i="72" s="1"/>
  <c r="S291" i="72"/>
  <c r="R291" i="72"/>
  <c r="Q291" i="72"/>
  <c r="P291" i="72"/>
  <c r="AA290" i="72"/>
  <c r="W290" i="72" s="1"/>
  <c r="Z290" i="72"/>
  <c r="V290" i="72" s="1"/>
  <c r="Y290" i="72"/>
  <c r="U290" i="72" s="1"/>
  <c r="X290" i="72"/>
  <c r="T290" i="72" s="1"/>
  <c r="S290" i="72"/>
  <c r="R290" i="72"/>
  <c r="Q290" i="72"/>
  <c r="P290" i="72"/>
  <c r="AA289" i="72"/>
  <c r="W289" i="72" s="1"/>
  <c r="Z289" i="72"/>
  <c r="V289" i="72" s="1"/>
  <c r="Y289" i="72"/>
  <c r="U289" i="72" s="1"/>
  <c r="X289" i="72"/>
  <c r="T289" i="72" s="1"/>
  <c r="S289" i="72"/>
  <c r="R289" i="72"/>
  <c r="Q289" i="72"/>
  <c r="P289" i="72"/>
  <c r="AA288" i="72"/>
  <c r="W288" i="72" s="1"/>
  <c r="Z288" i="72"/>
  <c r="V288" i="72" s="1"/>
  <c r="Y288" i="72"/>
  <c r="U288" i="72" s="1"/>
  <c r="X288" i="72"/>
  <c r="T288" i="72" s="1"/>
  <c r="S288" i="72"/>
  <c r="R288" i="72"/>
  <c r="Q288" i="72"/>
  <c r="P288" i="72"/>
  <c r="AA287" i="72"/>
  <c r="W287" i="72" s="1"/>
  <c r="Z287" i="72"/>
  <c r="V287" i="72" s="1"/>
  <c r="Y287" i="72"/>
  <c r="U287" i="72" s="1"/>
  <c r="X287" i="72"/>
  <c r="T287" i="72" s="1"/>
  <c r="S287" i="72"/>
  <c r="R287" i="72"/>
  <c r="Q287" i="72"/>
  <c r="P287" i="72"/>
  <c r="AA286" i="72"/>
  <c r="W286" i="72" s="1"/>
  <c r="Z286" i="72"/>
  <c r="V286" i="72" s="1"/>
  <c r="Y286" i="72"/>
  <c r="U286" i="72" s="1"/>
  <c r="X286" i="72"/>
  <c r="T286" i="72" s="1"/>
  <c r="S286" i="72"/>
  <c r="R286" i="72"/>
  <c r="Q286" i="72"/>
  <c r="P286" i="72"/>
  <c r="AA285" i="72"/>
  <c r="W285" i="72" s="1"/>
  <c r="Z285" i="72"/>
  <c r="V285" i="72" s="1"/>
  <c r="Y285" i="72"/>
  <c r="U285" i="72" s="1"/>
  <c r="X285" i="72"/>
  <c r="T285" i="72" s="1"/>
  <c r="S285" i="72"/>
  <c r="R285" i="72"/>
  <c r="Q285" i="72"/>
  <c r="P285" i="72"/>
  <c r="K285" i="72"/>
  <c r="J285" i="72"/>
  <c r="I285" i="72"/>
  <c r="H285" i="72"/>
  <c r="AA284" i="72"/>
  <c r="W284" i="72" s="1"/>
  <c r="Z284" i="72"/>
  <c r="V284" i="72" s="1"/>
  <c r="Y284" i="72"/>
  <c r="U284" i="72" s="1"/>
  <c r="X284" i="72"/>
  <c r="T284" i="72" s="1"/>
  <c r="S284" i="72"/>
  <c r="R284" i="72"/>
  <c r="Q284" i="72"/>
  <c r="P284" i="72"/>
  <c r="AA283" i="72"/>
  <c r="W283" i="72" s="1"/>
  <c r="Z283" i="72"/>
  <c r="V283" i="72" s="1"/>
  <c r="Y283" i="72"/>
  <c r="U283" i="72" s="1"/>
  <c r="X283" i="72"/>
  <c r="T283" i="72" s="1"/>
  <c r="S283" i="72"/>
  <c r="R283" i="72"/>
  <c r="Q283" i="72"/>
  <c r="P283" i="72"/>
  <c r="AA282" i="72"/>
  <c r="W282" i="72" s="1"/>
  <c r="Z282" i="72"/>
  <c r="V282" i="72" s="1"/>
  <c r="Y282" i="72"/>
  <c r="U282" i="72" s="1"/>
  <c r="X282" i="72"/>
  <c r="T282" i="72" s="1"/>
  <c r="S282" i="72"/>
  <c r="R282" i="72"/>
  <c r="Q282" i="72"/>
  <c r="P282" i="72"/>
  <c r="AA281" i="72"/>
  <c r="W281" i="72" s="1"/>
  <c r="Z281" i="72"/>
  <c r="V281" i="72" s="1"/>
  <c r="Y281" i="72"/>
  <c r="U281" i="72" s="1"/>
  <c r="X281" i="72"/>
  <c r="T281" i="72" s="1"/>
  <c r="S281" i="72"/>
  <c r="R281" i="72"/>
  <c r="Q281" i="72"/>
  <c r="P281" i="72"/>
  <c r="AA280" i="72"/>
  <c r="W280" i="72" s="1"/>
  <c r="Z280" i="72"/>
  <c r="V280" i="72" s="1"/>
  <c r="Y280" i="72"/>
  <c r="U280" i="72" s="1"/>
  <c r="X280" i="72"/>
  <c r="T280" i="72" s="1"/>
  <c r="S280" i="72"/>
  <c r="R280" i="72"/>
  <c r="Q280" i="72"/>
  <c r="P280" i="72"/>
  <c r="AA279" i="72"/>
  <c r="W279" i="72" s="1"/>
  <c r="Z279" i="72"/>
  <c r="V279" i="72" s="1"/>
  <c r="Y279" i="72"/>
  <c r="U279" i="72" s="1"/>
  <c r="X279" i="72"/>
  <c r="T279" i="72" s="1"/>
  <c r="S279" i="72"/>
  <c r="R279" i="72"/>
  <c r="Q279" i="72"/>
  <c r="P279" i="72"/>
  <c r="AA278" i="72"/>
  <c r="W278" i="72" s="1"/>
  <c r="Z278" i="72"/>
  <c r="V278" i="72" s="1"/>
  <c r="Y278" i="72"/>
  <c r="U278" i="72" s="1"/>
  <c r="X278" i="72"/>
  <c r="T278" i="72" s="1"/>
  <c r="S278" i="72"/>
  <c r="R278" i="72"/>
  <c r="Q278" i="72"/>
  <c r="P278" i="72"/>
  <c r="AA277" i="72"/>
  <c r="W277" i="72" s="1"/>
  <c r="Z277" i="72"/>
  <c r="V277" i="72" s="1"/>
  <c r="Y277" i="72"/>
  <c r="U277" i="72" s="1"/>
  <c r="X277" i="72"/>
  <c r="T277" i="72" s="1"/>
  <c r="S277" i="72"/>
  <c r="R277" i="72"/>
  <c r="Q277" i="72"/>
  <c r="P277" i="72"/>
  <c r="AA276" i="72"/>
  <c r="W276" i="72" s="1"/>
  <c r="Z276" i="72"/>
  <c r="V276" i="72" s="1"/>
  <c r="Y276" i="72"/>
  <c r="U276" i="72" s="1"/>
  <c r="X276" i="72"/>
  <c r="T276" i="72" s="1"/>
  <c r="S276" i="72"/>
  <c r="R276" i="72"/>
  <c r="Q276" i="72"/>
  <c r="P276" i="72"/>
  <c r="AA275" i="72"/>
  <c r="W275" i="72" s="1"/>
  <c r="Z275" i="72"/>
  <c r="V275" i="72" s="1"/>
  <c r="Y275" i="72"/>
  <c r="U275" i="72" s="1"/>
  <c r="X275" i="72"/>
  <c r="T275" i="72" s="1"/>
  <c r="S275" i="72"/>
  <c r="R275" i="72"/>
  <c r="Q275" i="72"/>
  <c r="P275" i="72"/>
  <c r="AA274" i="72"/>
  <c r="W274" i="72" s="1"/>
  <c r="Z274" i="72"/>
  <c r="V274" i="72" s="1"/>
  <c r="Y274" i="72"/>
  <c r="U274" i="72" s="1"/>
  <c r="X274" i="72"/>
  <c r="T274" i="72" s="1"/>
  <c r="S274" i="72"/>
  <c r="R274" i="72"/>
  <c r="Q274" i="72"/>
  <c r="P274" i="72"/>
  <c r="AA273" i="72"/>
  <c r="W273" i="72" s="1"/>
  <c r="Z273" i="72"/>
  <c r="V273" i="72" s="1"/>
  <c r="Y273" i="72"/>
  <c r="U273" i="72" s="1"/>
  <c r="X273" i="72"/>
  <c r="T273" i="72" s="1"/>
  <c r="S273" i="72"/>
  <c r="R273" i="72"/>
  <c r="Q273" i="72"/>
  <c r="P273" i="72"/>
  <c r="AA272" i="72"/>
  <c r="W272" i="72" s="1"/>
  <c r="Z272" i="72"/>
  <c r="V272" i="72" s="1"/>
  <c r="Y272" i="72"/>
  <c r="U272" i="72" s="1"/>
  <c r="X272" i="72"/>
  <c r="T272" i="72" s="1"/>
  <c r="S272" i="72"/>
  <c r="R272" i="72"/>
  <c r="Q272" i="72"/>
  <c r="P272" i="72"/>
  <c r="AA271" i="72"/>
  <c r="W271" i="72" s="1"/>
  <c r="Z271" i="72"/>
  <c r="V271" i="72" s="1"/>
  <c r="Y271" i="72"/>
  <c r="U271" i="72" s="1"/>
  <c r="X271" i="72"/>
  <c r="T271" i="72" s="1"/>
  <c r="S271" i="72"/>
  <c r="R271" i="72"/>
  <c r="Q271" i="72"/>
  <c r="P271" i="72"/>
  <c r="AA270" i="72"/>
  <c r="W270" i="72" s="1"/>
  <c r="Z270" i="72"/>
  <c r="V270" i="72" s="1"/>
  <c r="Y270" i="72"/>
  <c r="U270" i="72" s="1"/>
  <c r="X270" i="72"/>
  <c r="T270" i="72" s="1"/>
  <c r="S270" i="72"/>
  <c r="R270" i="72"/>
  <c r="Q270" i="72"/>
  <c r="P270" i="72"/>
  <c r="AA269" i="72"/>
  <c r="W269" i="72" s="1"/>
  <c r="Z269" i="72"/>
  <c r="V269" i="72" s="1"/>
  <c r="Y269" i="72"/>
  <c r="U269" i="72" s="1"/>
  <c r="X269" i="72"/>
  <c r="T269" i="72" s="1"/>
  <c r="S269" i="72"/>
  <c r="R269" i="72"/>
  <c r="Q269" i="72"/>
  <c r="P269" i="72"/>
  <c r="AA268" i="72"/>
  <c r="W268" i="72" s="1"/>
  <c r="Z268" i="72"/>
  <c r="V268" i="72" s="1"/>
  <c r="Y268" i="72"/>
  <c r="U268" i="72" s="1"/>
  <c r="X268" i="72"/>
  <c r="T268" i="72" s="1"/>
  <c r="S268" i="72"/>
  <c r="R268" i="72"/>
  <c r="Q268" i="72"/>
  <c r="P268" i="72"/>
  <c r="AA267" i="72"/>
  <c r="W267" i="72" s="1"/>
  <c r="Z267" i="72"/>
  <c r="V267" i="72" s="1"/>
  <c r="Y267" i="72"/>
  <c r="U267" i="72" s="1"/>
  <c r="X267" i="72"/>
  <c r="T267" i="72" s="1"/>
  <c r="S267" i="72"/>
  <c r="R267" i="72"/>
  <c r="Q267" i="72"/>
  <c r="P267" i="72"/>
  <c r="AA266" i="72"/>
  <c r="W266" i="72" s="1"/>
  <c r="Z266" i="72"/>
  <c r="V266" i="72" s="1"/>
  <c r="Y266" i="72"/>
  <c r="U266" i="72" s="1"/>
  <c r="X266" i="72"/>
  <c r="T266" i="72" s="1"/>
  <c r="S266" i="72"/>
  <c r="R266" i="72"/>
  <c r="Q266" i="72"/>
  <c r="P266" i="72"/>
  <c r="AA265" i="72"/>
  <c r="W265" i="72" s="1"/>
  <c r="Z265" i="72"/>
  <c r="V265" i="72" s="1"/>
  <c r="Y265" i="72"/>
  <c r="U265" i="72" s="1"/>
  <c r="X265" i="72"/>
  <c r="T265" i="72" s="1"/>
  <c r="S265" i="72"/>
  <c r="R265" i="72"/>
  <c r="Q265" i="72"/>
  <c r="P265" i="72"/>
  <c r="AA264" i="72"/>
  <c r="W264" i="72" s="1"/>
  <c r="Z264" i="72"/>
  <c r="V264" i="72" s="1"/>
  <c r="Y264" i="72"/>
  <c r="U264" i="72" s="1"/>
  <c r="X264" i="72"/>
  <c r="T264" i="72" s="1"/>
  <c r="S264" i="72"/>
  <c r="R264" i="72"/>
  <c r="Q264" i="72"/>
  <c r="P264" i="72"/>
  <c r="AA263" i="72"/>
  <c r="W263" i="72" s="1"/>
  <c r="Z263" i="72"/>
  <c r="V263" i="72" s="1"/>
  <c r="Y263" i="72"/>
  <c r="U263" i="72" s="1"/>
  <c r="X263" i="72"/>
  <c r="T263" i="72" s="1"/>
  <c r="S263" i="72"/>
  <c r="R263" i="72"/>
  <c r="Q263" i="72"/>
  <c r="P263" i="72"/>
  <c r="AA262" i="72"/>
  <c r="W262" i="72" s="1"/>
  <c r="Z262" i="72"/>
  <c r="V262" i="72" s="1"/>
  <c r="Y262" i="72"/>
  <c r="U262" i="72" s="1"/>
  <c r="X262" i="72"/>
  <c r="T262" i="72" s="1"/>
  <c r="S262" i="72"/>
  <c r="R262" i="72"/>
  <c r="Q262" i="72"/>
  <c r="P262" i="72"/>
  <c r="AA261" i="72"/>
  <c r="W261" i="72" s="1"/>
  <c r="Z261" i="72"/>
  <c r="V261" i="72" s="1"/>
  <c r="Y261" i="72"/>
  <c r="U261" i="72" s="1"/>
  <c r="X261" i="72"/>
  <c r="T261" i="72" s="1"/>
  <c r="S261" i="72"/>
  <c r="R261" i="72"/>
  <c r="Q261" i="72"/>
  <c r="P261" i="72"/>
  <c r="AA260" i="72"/>
  <c r="W260" i="72" s="1"/>
  <c r="Z260" i="72"/>
  <c r="V260" i="72" s="1"/>
  <c r="Y260" i="72"/>
  <c r="U260" i="72" s="1"/>
  <c r="X260" i="72"/>
  <c r="T260" i="72" s="1"/>
  <c r="S260" i="72"/>
  <c r="R260" i="72"/>
  <c r="Q260" i="72"/>
  <c r="P260" i="72"/>
  <c r="AA259" i="72"/>
  <c r="W259" i="72" s="1"/>
  <c r="Z259" i="72"/>
  <c r="V259" i="72" s="1"/>
  <c r="Y259" i="72"/>
  <c r="U259" i="72" s="1"/>
  <c r="X259" i="72"/>
  <c r="T259" i="72" s="1"/>
  <c r="S259" i="72"/>
  <c r="R259" i="72"/>
  <c r="Q259" i="72"/>
  <c r="P259" i="72"/>
  <c r="AA258" i="72"/>
  <c r="Z258" i="72"/>
  <c r="Y258" i="72"/>
  <c r="X258" i="72"/>
  <c r="S258" i="72"/>
  <c r="R258" i="72"/>
  <c r="Q258" i="72"/>
  <c r="P258" i="72"/>
  <c r="AA218" i="72"/>
  <c r="W218" i="72" s="1"/>
  <c r="Z218" i="72"/>
  <c r="V218" i="72" s="1"/>
  <c r="Y218" i="72"/>
  <c r="U218" i="72" s="1"/>
  <c r="X218" i="72"/>
  <c r="T218" i="72" s="1"/>
  <c r="S218" i="72"/>
  <c r="R218" i="72"/>
  <c r="Q218" i="72"/>
  <c r="P218" i="72"/>
  <c r="AA217" i="72"/>
  <c r="W217" i="72" s="1"/>
  <c r="Z217" i="72"/>
  <c r="V217" i="72" s="1"/>
  <c r="Y217" i="72"/>
  <c r="U217" i="72" s="1"/>
  <c r="X217" i="72"/>
  <c r="T217" i="72" s="1"/>
  <c r="S217" i="72"/>
  <c r="R217" i="72"/>
  <c r="Q217" i="72"/>
  <c r="P217" i="72"/>
  <c r="AA216" i="72"/>
  <c r="W216" i="72" s="1"/>
  <c r="Z216" i="72"/>
  <c r="V216" i="72" s="1"/>
  <c r="Y216" i="72"/>
  <c r="U216" i="72" s="1"/>
  <c r="X216" i="72"/>
  <c r="T216" i="72" s="1"/>
  <c r="S216" i="72"/>
  <c r="R216" i="72"/>
  <c r="Q216" i="72"/>
  <c r="P216" i="72"/>
  <c r="AA215" i="72"/>
  <c r="W215" i="72" s="1"/>
  <c r="Z215" i="72"/>
  <c r="V215" i="72" s="1"/>
  <c r="Y215" i="72"/>
  <c r="U215" i="72" s="1"/>
  <c r="X215" i="72"/>
  <c r="T215" i="72" s="1"/>
  <c r="S215" i="72"/>
  <c r="R215" i="72"/>
  <c r="Q215" i="72"/>
  <c r="P215" i="72"/>
  <c r="AA214" i="72"/>
  <c r="W214" i="72" s="1"/>
  <c r="Z214" i="72"/>
  <c r="V214" i="72" s="1"/>
  <c r="Y214" i="72"/>
  <c r="U214" i="72" s="1"/>
  <c r="X214" i="72"/>
  <c r="T214" i="72" s="1"/>
  <c r="S214" i="72"/>
  <c r="R214" i="72"/>
  <c r="Q214" i="72"/>
  <c r="P214" i="72"/>
  <c r="AA213" i="72"/>
  <c r="W213" i="72" s="1"/>
  <c r="Z213" i="72"/>
  <c r="V213" i="72" s="1"/>
  <c r="Y213" i="72"/>
  <c r="U213" i="72" s="1"/>
  <c r="X213" i="72"/>
  <c r="T213" i="72" s="1"/>
  <c r="S213" i="72"/>
  <c r="R213" i="72"/>
  <c r="Q213" i="72"/>
  <c r="P213" i="72"/>
  <c r="AA212" i="72"/>
  <c r="W212" i="72" s="1"/>
  <c r="Z212" i="72"/>
  <c r="V212" i="72" s="1"/>
  <c r="Y212" i="72"/>
  <c r="U212" i="72" s="1"/>
  <c r="X212" i="72"/>
  <c r="T212" i="72" s="1"/>
  <c r="S212" i="72"/>
  <c r="R212" i="72"/>
  <c r="Q212" i="72"/>
  <c r="P212" i="72"/>
  <c r="AA211" i="72"/>
  <c r="W211" i="72" s="1"/>
  <c r="Z211" i="72"/>
  <c r="V211" i="72" s="1"/>
  <c r="Y211" i="72"/>
  <c r="U211" i="72" s="1"/>
  <c r="X211" i="72"/>
  <c r="T211" i="72" s="1"/>
  <c r="S211" i="72"/>
  <c r="R211" i="72"/>
  <c r="Q211" i="72"/>
  <c r="P211" i="72"/>
  <c r="AA210" i="72"/>
  <c r="W210" i="72" s="1"/>
  <c r="Z210" i="72"/>
  <c r="V210" i="72" s="1"/>
  <c r="Y210" i="72"/>
  <c r="U210" i="72" s="1"/>
  <c r="X210" i="72"/>
  <c r="T210" i="72" s="1"/>
  <c r="S210" i="72"/>
  <c r="R210" i="72"/>
  <c r="Q210" i="72"/>
  <c r="P210" i="72"/>
  <c r="AA209" i="72"/>
  <c r="W209" i="72" s="1"/>
  <c r="Z209" i="72"/>
  <c r="V209" i="72" s="1"/>
  <c r="Y209" i="72"/>
  <c r="U209" i="72" s="1"/>
  <c r="X209" i="72"/>
  <c r="T209" i="72" s="1"/>
  <c r="S209" i="72"/>
  <c r="R209" i="72"/>
  <c r="Q209" i="72"/>
  <c r="P209" i="72"/>
  <c r="AA208" i="72"/>
  <c r="W208" i="72" s="1"/>
  <c r="Z208" i="72"/>
  <c r="V208" i="72" s="1"/>
  <c r="Y208" i="72"/>
  <c r="U208" i="72" s="1"/>
  <c r="X208" i="72"/>
  <c r="T208" i="72" s="1"/>
  <c r="S208" i="72"/>
  <c r="R208" i="72"/>
  <c r="Q208" i="72"/>
  <c r="P208" i="72"/>
  <c r="AA207" i="72"/>
  <c r="W207" i="72" s="1"/>
  <c r="Z207" i="72"/>
  <c r="V207" i="72" s="1"/>
  <c r="Y207" i="72"/>
  <c r="U207" i="72" s="1"/>
  <c r="X207" i="72"/>
  <c r="T207" i="72" s="1"/>
  <c r="S207" i="72"/>
  <c r="R207" i="72"/>
  <c r="Q207" i="72"/>
  <c r="P207" i="72"/>
  <c r="AA206" i="72"/>
  <c r="W206" i="72" s="1"/>
  <c r="Z206" i="72"/>
  <c r="V206" i="72" s="1"/>
  <c r="Y206" i="72"/>
  <c r="U206" i="72" s="1"/>
  <c r="X206" i="72"/>
  <c r="T206" i="72" s="1"/>
  <c r="S206" i="72"/>
  <c r="R206" i="72"/>
  <c r="Q206" i="72"/>
  <c r="P206" i="72"/>
  <c r="AA205" i="72"/>
  <c r="W205" i="72" s="1"/>
  <c r="Z205" i="72"/>
  <c r="V205" i="72" s="1"/>
  <c r="Y205" i="72"/>
  <c r="U205" i="72" s="1"/>
  <c r="X205" i="72"/>
  <c r="T205" i="72" s="1"/>
  <c r="S205" i="72"/>
  <c r="R205" i="72"/>
  <c r="Q205" i="72"/>
  <c r="P205" i="72"/>
  <c r="AA204" i="72"/>
  <c r="W204" i="72" s="1"/>
  <c r="Z204" i="72"/>
  <c r="V204" i="72" s="1"/>
  <c r="Y204" i="72"/>
  <c r="U204" i="72" s="1"/>
  <c r="X204" i="72"/>
  <c r="T204" i="72" s="1"/>
  <c r="S204" i="72"/>
  <c r="R204" i="72"/>
  <c r="Q204" i="72"/>
  <c r="P204" i="72"/>
  <c r="AA203" i="72"/>
  <c r="W203" i="72" s="1"/>
  <c r="Z203" i="72"/>
  <c r="V203" i="72" s="1"/>
  <c r="Y203" i="72"/>
  <c r="U203" i="72" s="1"/>
  <c r="X203" i="72"/>
  <c r="T203" i="72" s="1"/>
  <c r="S203" i="72"/>
  <c r="R203" i="72"/>
  <c r="Q203" i="72"/>
  <c r="P203" i="72"/>
  <c r="AA202" i="72"/>
  <c r="W202" i="72" s="1"/>
  <c r="Z202" i="72"/>
  <c r="V202" i="72" s="1"/>
  <c r="Y202" i="72"/>
  <c r="U202" i="72" s="1"/>
  <c r="X202" i="72"/>
  <c r="T202" i="72" s="1"/>
  <c r="S202" i="72"/>
  <c r="R202" i="72"/>
  <c r="Q202" i="72"/>
  <c r="P202" i="72"/>
  <c r="AA201" i="72"/>
  <c r="W201" i="72" s="1"/>
  <c r="Z201" i="72"/>
  <c r="V201" i="72" s="1"/>
  <c r="Y201" i="72"/>
  <c r="U201" i="72" s="1"/>
  <c r="X201" i="72"/>
  <c r="T201" i="72" s="1"/>
  <c r="S201" i="72"/>
  <c r="R201" i="72"/>
  <c r="Q201" i="72"/>
  <c r="P201" i="72"/>
  <c r="AA200" i="72"/>
  <c r="W200" i="72" s="1"/>
  <c r="Z200" i="72"/>
  <c r="V200" i="72" s="1"/>
  <c r="Y200" i="72"/>
  <c r="U200" i="72" s="1"/>
  <c r="X200" i="72"/>
  <c r="T200" i="72" s="1"/>
  <c r="S200" i="72"/>
  <c r="R200" i="72"/>
  <c r="Q200" i="72"/>
  <c r="P200" i="72"/>
  <c r="AA199" i="72"/>
  <c r="W199" i="72" s="1"/>
  <c r="Z199" i="72"/>
  <c r="V199" i="72" s="1"/>
  <c r="Y199" i="72"/>
  <c r="U199" i="72" s="1"/>
  <c r="X199" i="72"/>
  <c r="T199" i="72" s="1"/>
  <c r="S199" i="72"/>
  <c r="R199" i="72"/>
  <c r="Q199" i="72"/>
  <c r="P199" i="72"/>
  <c r="AA198" i="72"/>
  <c r="W198" i="72" s="1"/>
  <c r="Z198" i="72"/>
  <c r="V198" i="72" s="1"/>
  <c r="Y198" i="72"/>
  <c r="U198" i="72" s="1"/>
  <c r="X198" i="72"/>
  <c r="T198" i="72" s="1"/>
  <c r="S198" i="72"/>
  <c r="R198" i="72"/>
  <c r="Q198" i="72"/>
  <c r="P198" i="72"/>
  <c r="K198" i="72"/>
  <c r="J198" i="72"/>
  <c r="I198" i="72"/>
  <c r="H198" i="72"/>
  <c r="AA197" i="72"/>
  <c r="W197" i="72" s="1"/>
  <c r="Z197" i="72"/>
  <c r="V197" i="72" s="1"/>
  <c r="Y197" i="72"/>
  <c r="U197" i="72" s="1"/>
  <c r="X197" i="72"/>
  <c r="T197" i="72" s="1"/>
  <c r="S197" i="72"/>
  <c r="R197" i="72"/>
  <c r="Q197" i="72"/>
  <c r="P197" i="72"/>
  <c r="AA196" i="72"/>
  <c r="W196" i="72" s="1"/>
  <c r="Z196" i="72"/>
  <c r="V196" i="72" s="1"/>
  <c r="Y196" i="72"/>
  <c r="U196" i="72" s="1"/>
  <c r="X196" i="72"/>
  <c r="T196" i="72" s="1"/>
  <c r="S196" i="72"/>
  <c r="R196" i="72"/>
  <c r="Q196" i="72"/>
  <c r="P196" i="72"/>
  <c r="AA195" i="72"/>
  <c r="W195" i="72" s="1"/>
  <c r="Z195" i="72"/>
  <c r="V195" i="72" s="1"/>
  <c r="Y195" i="72"/>
  <c r="U195" i="72" s="1"/>
  <c r="X195" i="72"/>
  <c r="T195" i="72" s="1"/>
  <c r="S195" i="72"/>
  <c r="R195" i="72"/>
  <c r="Q195" i="72"/>
  <c r="P195" i="72"/>
  <c r="AA194" i="72"/>
  <c r="W194" i="72" s="1"/>
  <c r="Z194" i="72"/>
  <c r="V194" i="72" s="1"/>
  <c r="Y194" i="72"/>
  <c r="U194" i="72" s="1"/>
  <c r="X194" i="72"/>
  <c r="T194" i="72" s="1"/>
  <c r="S194" i="72"/>
  <c r="R194" i="72"/>
  <c r="Q194" i="72"/>
  <c r="P194" i="72"/>
  <c r="AA193" i="72"/>
  <c r="W193" i="72" s="1"/>
  <c r="Z193" i="72"/>
  <c r="V193" i="72" s="1"/>
  <c r="Y193" i="72"/>
  <c r="U193" i="72" s="1"/>
  <c r="X193" i="72"/>
  <c r="T193" i="72" s="1"/>
  <c r="S193" i="72"/>
  <c r="R193" i="72"/>
  <c r="Q193" i="72"/>
  <c r="P193" i="72"/>
  <c r="AA192" i="72"/>
  <c r="W192" i="72" s="1"/>
  <c r="Z192" i="72"/>
  <c r="V192" i="72" s="1"/>
  <c r="Y192" i="72"/>
  <c r="U192" i="72" s="1"/>
  <c r="X192" i="72"/>
  <c r="T192" i="72" s="1"/>
  <c r="S192" i="72"/>
  <c r="R192" i="72"/>
  <c r="Q192" i="72"/>
  <c r="P192" i="72"/>
  <c r="AA191" i="72"/>
  <c r="W191" i="72" s="1"/>
  <c r="Z191" i="72"/>
  <c r="V191" i="72" s="1"/>
  <c r="Y191" i="72"/>
  <c r="U191" i="72" s="1"/>
  <c r="X191" i="72"/>
  <c r="T191" i="72" s="1"/>
  <c r="S191" i="72"/>
  <c r="R191" i="72"/>
  <c r="Q191" i="72"/>
  <c r="P191" i="72"/>
  <c r="AA190" i="72"/>
  <c r="W190" i="72" s="1"/>
  <c r="Z190" i="72"/>
  <c r="V190" i="72" s="1"/>
  <c r="Y190" i="72"/>
  <c r="U190" i="72" s="1"/>
  <c r="X190" i="72"/>
  <c r="T190" i="72" s="1"/>
  <c r="S190" i="72"/>
  <c r="R190" i="72"/>
  <c r="Q190" i="72"/>
  <c r="P190" i="72"/>
  <c r="AA189" i="72"/>
  <c r="W189" i="72" s="1"/>
  <c r="Z189" i="72"/>
  <c r="V189" i="72" s="1"/>
  <c r="Y189" i="72"/>
  <c r="U189" i="72" s="1"/>
  <c r="X189" i="72"/>
  <c r="T189" i="72" s="1"/>
  <c r="S189" i="72"/>
  <c r="R189" i="72"/>
  <c r="Q189" i="72"/>
  <c r="P189" i="72"/>
  <c r="AA188" i="72"/>
  <c r="W188" i="72" s="1"/>
  <c r="Z188" i="72"/>
  <c r="V188" i="72" s="1"/>
  <c r="Y188" i="72"/>
  <c r="U188" i="72" s="1"/>
  <c r="X188" i="72"/>
  <c r="T188" i="72" s="1"/>
  <c r="S188" i="72"/>
  <c r="R188" i="72"/>
  <c r="Q188" i="72"/>
  <c r="P188" i="72"/>
  <c r="AA187" i="72"/>
  <c r="W187" i="72" s="1"/>
  <c r="Z187" i="72"/>
  <c r="V187" i="72" s="1"/>
  <c r="Y187" i="72"/>
  <c r="U187" i="72" s="1"/>
  <c r="X187" i="72"/>
  <c r="T187" i="72" s="1"/>
  <c r="S187" i="72"/>
  <c r="R187" i="72"/>
  <c r="Q187" i="72"/>
  <c r="P187" i="72"/>
  <c r="AA186" i="72"/>
  <c r="W186" i="72" s="1"/>
  <c r="Z186" i="72"/>
  <c r="V186" i="72" s="1"/>
  <c r="Y186" i="72"/>
  <c r="U186" i="72" s="1"/>
  <c r="X186" i="72"/>
  <c r="T186" i="72" s="1"/>
  <c r="S186" i="72"/>
  <c r="R186" i="72"/>
  <c r="Q186" i="72"/>
  <c r="P186" i="72"/>
  <c r="AA185" i="72"/>
  <c r="W185" i="72" s="1"/>
  <c r="Z185" i="72"/>
  <c r="V185" i="72" s="1"/>
  <c r="Y185" i="72"/>
  <c r="U185" i="72" s="1"/>
  <c r="X185" i="72"/>
  <c r="T185" i="72" s="1"/>
  <c r="S185" i="72"/>
  <c r="R185" i="72"/>
  <c r="Q185" i="72"/>
  <c r="P185" i="72"/>
  <c r="AA184" i="72"/>
  <c r="W184" i="72" s="1"/>
  <c r="Z184" i="72"/>
  <c r="V184" i="72" s="1"/>
  <c r="Y184" i="72"/>
  <c r="U184" i="72" s="1"/>
  <c r="X184" i="72"/>
  <c r="T184" i="72" s="1"/>
  <c r="S184" i="72"/>
  <c r="R184" i="72"/>
  <c r="Q184" i="72"/>
  <c r="P184" i="72"/>
  <c r="AA183" i="72"/>
  <c r="W183" i="72" s="1"/>
  <c r="Z183" i="72"/>
  <c r="V183" i="72" s="1"/>
  <c r="Y183" i="72"/>
  <c r="U183" i="72" s="1"/>
  <c r="X183" i="72"/>
  <c r="T183" i="72" s="1"/>
  <c r="S183" i="72"/>
  <c r="R183" i="72"/>
  <c r="Q183" i="72"/>
  <c r="P183" i="72"/>
  <c r="AA182" i="72"/>
  <c r="W182" i="72" s="1"/>
  <c r="Z182" i="72"/>
  <c r="V182" i="72" s="1"/>
  <c r="Y182" i="72"/>
  <c r="U182" i="72" s="1"/>
  <c r="X182" i="72"/>
  <c r="T182" i="72" s="1"/>
  <c r="S182" i="72"/>
  <c r="R182" i="72"/>
  <c r="Q182" i="72"/>
  <c r="P182" i="72"/>
  <c r="AA181" i="72"/>
  <c r="W181" i="72" s="1"/>
  <c r="Z181" i="72"/>
  <c r="V181" i="72" s="1"/>
  <c r="Y181" i="72"/>
  <c r="U181" i="72" s="1"/>
  <c r="X181" i="72"/>
  <c r="T181" i="72" s="1"/>
  <c r="S181" i="72"/>
  <c r="R181" i="72"/>
  <c r="Q181" i="72"/>
  <c r="P181" i="72"/>
  <c r="AA180" i="72"/>
  <c r="W180" i="72" s="1"/>
  <c r="Z180" i="72"/>
  <c r="V180" i="72" s="1"/>
  <c r="Y180" i="72"/>
  <c r="U180" i="72" s="1"/>
  <c r="X180" i="72"/>
  <c r="T180" i="72" s="1"/>
  <c r="S180" i="72"/>
  <c r="R180" i="72"/>
  <c r="Q180" i="72"/>
  <c r="P180" i="72"/>
  <c r="AA179" i="72"/>
  <c r="W179" i="72" s="1"/>
  <c r="Z179" i="72"/>
  <c r="V179" i="72" s="1"/>
  <c r="Y179" i="72"/>
  <c r="U179" i="72" s="1"/>
  <c r="X179" i="72"/>
  <c r="T179" i="72" s="1"/>
  <c r="S179" i="72"/>
  <c r="R179" i="72"/>
  <c r="Q179" i="72"/>
  <c r="P179" i="72"/>
  <c r="AA178" i="72"/>
  <c r="W178" i="72" s="1"/>
  <c r="Z178" i="72"/>
  <c r="V178" i="72" s="1"/>
  <c r="Y178" i="72"/>
  <c r="U178" i="72" s="1"/>
  <c r="X178" i="72"/>
  <c r="T178" i="72" s="1"/>
  <c r="S178" i="72"/>
  <c r="R178" i="72"/>
  <c r="Q178" i="72"/>
  <c r="P178" i="72"/>
  <c r="AA177" i="72"/>
  <c r="W177" i="72" s="1"/>
  <c r="Z177" i="72"/>
  <c r="V177" i="72" s="1"/>
  <c r="Y177" i="72"/>
  <c r="U177" i="72" s="1"/>
  <c r="X177" i="72"/>
  <c r="T177" i="72" s="1"/>
  <c r="S177" i="72"/>
  <c r="R177" i="72"/>
  <c r="Q177" i="72"/>
  <c r="P177" i="72"/>
  <c r="AA176" i="72"/>
  <c r="W176" i="72" s="1"/>
  <c r="Z176" i="72"/>
  <c r="V176" i="72" s="1"/>
  <c r="Y176" i="72"/>
  <c r="U176" i="72" s="1"/>
  <c r="X176" i="72"/>
  <c r="T176" i="72" s="1"/>
  <c r="S176" i="72"/>
  <c r="R176" i="72"/>
  <c r="Q176" i="72"/>
  <c r="P176" i="72"/>
  <c r="AA175" i="72"/>
  <c r="W175" i="72" s="1"/>
  <c r="Z175" i="72"/>
  <c r="V175" i="72" s="1"/>
  <c r="Y175" i="72"/>
  <c r="U175" i="72" s="1"/>
  <c r="X175" i="72"/>
  <c r="T175" i="72" s="1"/>
  <c r="S175" i="72"/>
  <c r="R175" i="72"/>
  <c r="Q175" i="72"/>
  <c r="P175" i="72"/>
  <c r="AA174" i="72"/>
  <c r="W174" i="72" s="1"/>
  <c r="Z174" i="72"/>
  <c r="V174" i="72" s="1"/>
  <c r="Y174" i="72"/>
  <c r="U174" i="72" s="1"/>
  <c r="X174" i="72"/>
  <c r="T174" i="72" s="1"/>
  <c r="S174" i="72"/>
  <c r="R174" i="72"/>
  <c r="Q174" i="72"/>
  <c r="P174" i="72"/>
  <c r="AA173" i="72"/>
  <c r="W173" i="72" s="1"/>
  <c r="Z173" i="72"/>
  <c r="V173" i="72" s="1"/>
  <c r="Y173" i="72"/>
  <c r="U173" i="72" s="1"/>
  <c r="X173" i="72"/>
  <c r="T173" i="72" s="1"/>
  <c r="S173" i="72"/>
  <c r="R173" i="72"/>
  <c r="Q173" i="72"/>
  <c r="P173" i="72"/>
  <c r="AA172" i="72"/>
  <c r="W172" i="72" s="1"/>
  <c r="Z172" i="72"/>
  <c r="V172" i="72" s="1"/>
  <c r="Y172" i="72"/>
  <c r="U172" i="72" s="1"/>
  <c r="X172" i="72"/>
  <c r="T172" i="72" s="1"/>
  <c r="S172" i="72"/>
  <c r="R172" i="72"/>
  <c r="Q172" i="72"/>
  <c r="P172" i="72"/>
  <c r="AA171" i="72"/>
  <c r="Z171" i="72"/>
  <c r="Y171" i="72"/>
  <c r="X171" i="72"/>
  <c r="S171" i="72"/>
  <c r="R171" i="72"/>
  <c r="Q171" i="72"/>
  <c r="P171" i="72"/>
  <c r="W165" i="72"/>
  <c r="V165" i="72"/>
  <c r="U165" i="72"/>
  <c r="T165" i="72"/>
  <c r="S165" i="72"/>
  <c r="R165" i="72"/>
  <c r="Q165" i="72"/>
  <c r="P165" i="72"/>
  <c r="W164" i="72"/>
  <c r="O164" i="72" s="1"/>
  <c r="V164" i="72"/>
  <c r="N164" i="72" s="1"/>
  <c r="U164" i="72"/>
  <c r="M164" i="72" s="1"/>
  <c r="T164" i="72"/>
  <c r="L164" i="72" s="1"/>
  <c r="S164" i="72"/>
  <c r="R164" i="72"/>
  <c r="Q164" i="72"/>
  <c r="P164" i="72"/>
  <c r="W163" i="72"/>
  <c r="O163" i="72" s="1"/>
  <c r="V163" i="72"/>
  <c r="N163" i="72" s="1"/>
  <c r="U163" i="72"/>
  <c r="M163" i="72" s="1"/>
  <c r="T163" i="72"/>
  <c r="L163" i="72" s="1"/>
  <c r="S163" i="72"/>
  <c r="R163" i="72"/>
  <c r="Q163" i="72"/>
  <c r="P163" i="72"/>
  <c r="W157" i="72"/>
  <c r="V157" i="72"/>
  <c r="U157" i="72"/>
  <c r="T157" i="72"/>
  <c r="S157" i="72"/>
  <c r="R157" i="72"/>
  <c r="Q157" i="72"/>
  <c r="P157" i="72"/>
  <c r="K157" i="72"/>
  <c r="J157" i="72"/>
  <c r="I157" i="72"/>
  <c r="H157" i="72"/>
  <c r="W156" i="72"/>
  <c r="V156" i="72"/>
  <c r="U156" i="72"/>
  <c r="T156" i="72"/>
  <c r="S156" i="72"/>
  <c r="R156" i="72"/>
  <c r="Q156" i="72"/>
  <c r="P156" i="72"/>
  <c r="K156" i="72"/>
  <c r="J156" i="72"/>
  <c r="I156" i="72"/>
  <c r="H156" i="72"/>
  <c r="W155" i="72"/>
  <c r="V155" i="72"/>
  <c r="U155" i="72"/>
  <c r="T155" i="72"/>
  <c r="S155" i="72"/>
  <c r="R155" i="72"/>
  <c r="Q155" i="72"/>
  <c r="P155" i="72"/>
  <c r="K155" i="72"/>
  <c r="J155" i="72"/>
  <c r="I155" i="72"/>
  <c r="H155" i="72"/>
  <c r="W154" i="72"/>
  <c r="V154" i="72"/>
  <c r="U154" i="72"/>
  <c r="T154" i="72"/>
  <c r="S154" i="72"/>
  <c r="R154" i="72"/>
  <c r="Q154" i="72"/>
  <c r="P154" i="72"/>
  <c r="K154" i="72"/>
  <c r="J154" i="72"/>
  <c r="I154" i="72"/>
  <c r="H154" i="72"/>
  <c r="W153" i="72"/>
  <c r="V153" i="72"/>
  <c r="U153" i="72"/>
  <c r="T153" i="72"/>
  <c r="S153" i="72"/>
  <c r="R153" i="72"/>
  <c r="Q153" i="72"/>
  <c r="P153" i="72"/>
  <c r="W152" i="72"/>
  <c r="V152" i="72"/>
  <c r="U152" i="72"/>
  <c r="T152" i="72"/>
  <c r="S152" i="72"/>
  <c r="R152" i="72"/>
  <c r="Q152" i="72"/>
  <c r="P152" i="72"/>
  <c r="K152" i="72"/>
  <c r="J152" i="72"/>
  <c r="I152" i="72"/>
  <c r="H152" i="72"/>
  <c r="W151" i="72"/>
  <c r="V151" i="72"/>
  <c r="U151" i="72"/>
  <c r="T151" i="72"/>
  <c r="S151" i="72"/>
  <c r="R151" i="72"/>
  <c r="Q151" i="72"/>
  <c r="P151" i="72"/>
  <c r="W150" i="72"/>
  <c r="V150" i="72"/>
  <c r="U150" i="72"/>
  <c r="T150" i="72"/>
  <c r="S150" i="72"/>
  <c r="R150" i="72"/>
  <c r="Q150" i="72"/>
  <c r="P150" i="72"/>
  <c r="K150" i="72"/>
  <c r="J150" i="72"/>
  <c r="I150" i="72"/>
  <c r="H150" i="72"/>
  <c r="W149" i="72"/>
  <c r="V149" i="72"/>
  <c r="U149" i="72"/>
  <c r="T149" i="72"/>
  <c r="S149" i="72"/>
  <c r="R149" i="72"/>
  <c r="Q149" i="72"/>
  <c r="P149" i="72"/>
  <c r="W148" i="72"/>
  <c r="V148" i="72"/>
  <c r="U148" i="72"/>
  <c r="T148" i="72"/>
  <c r="S148" i="72"/>
  <c r="R148" i="72"/>
  <c r="Q148" i="72"/>
  <c r="P148" i="72"/>
  <c r="K148" i="72"/>
  <c r="J148" i="72"/>
  <c r="I148" i="72"/>
  <c r="H148" i="72"/>
  <c r="W147" i="72"/>
  <c r="V147" i="72"/>
  <c r="U147" i="72"/>
  <c r="T147" i="72"/>
  <c r="S147" i="72"/>
  <c r="R147" i="72"/>
  <c r="Q147" i="72"/>
  <c r="P147" i="72"/>
  <c r="W146" i="72"/>
  <c r="V146" i="72"/>
  <c r="U146" i="72"/>
  <c r="T146" i="72"/>
  <c r="S146" i="72"/>
  <c r="R146" i="72"/>
  <c r="Q146" i="72"/>
  <c r="P146" i="72"/>
  <c r="K146" i="72"/>
  <c r="J146" i="72"/>
  <c r="I146" i="72"/>
  <c r="H146" i="72"/>
  <c r="W145" i="72"/>
  <c r="V145" i="72"/>
  <c r="U145" i="72"/>
  <c r="T145" i="72"/>
  <c r="S145" i="72"/>
  <c r="R145" i="72"/>
  <c r="Q145" i="72"/>
  <c r="P145" i="72"/>
  <c r="W144" i="72"/>
  <c r="V144" i="72"/>
  <c r="U144" i="72"/>
  <c r="T144" i="72"/>
  <c r="S144" i="72"/>
  <c r="R144" i="72"/>
  <c r="Q144" i="72"/>
  <c r="P144" i="72"/>
  <c r="K144" i="72"/>
  <c r="J144" i="72"/>
  <c r="I144" i="72"/>
  <c r="H144" i="72"/>
  <c r="W143" i="72"/>
  <c r="V143" i="72"/>
  <c r="U143" i="72"/>
  <c r="T143" i="72"/>
  <c r="S143" i="72"/>
  <c r="R143" i="72"/>
  <c r="Q143" i="72"/>
  <c r="P143" i="72"/>
  <c r="W142" i="72"/>
  <c r="V142" i="72"/>
  <c r="U142" i="72"/>
  <c r="T142" i="72"/>
  <c r="S142" i="72"/>
  <c r="R142" i="72"/>
  <c r="Q142" i="72"/>
  <c r="P142" i="72"/>
  <c r="K142" i="72"/>
  <c r="J142" i="72"/>
  <c r="I142" i="72"/>
  <c r="H142" i="72"/>
  <c r="W141" i="72"/>
  <c r="V141" i="72"/>
  <c r="U141" i="72"/>
  <c r="T141" i="72"/>
  <c r="S141" i="72"/>
  <c r="R141" i="72"/>
  <c r="Q141" i="72"/>
  <c r="P141" i="72"/>
  <c r="K141" i="72"/>
  <c r="J141" i="72"/>
  <c r="I141" i="72"/>
  <c r="H141" i="72"/>
  <c r="W140" i="72"/>
  <c r="V140" i="72"/>
  <c r="U140" i="72"/>
  <c r="T140" i="72"/>
  <c r="S140" i="72"/>
  <c r="R140" i="72"/>
  <c r="Q140" i="72"/>
  <c r="P140" i="72"/>
  <c r="K140" i="72"/>
  <c r="J140" i="72"/>
  <c r="I140" i="72"/>
  <c r="H140" i="72"/>
  <c r="W139" i="72"/>
  <c r="V139" i="72"/>
  <c r="U139" i="72"/>
  <c r="T139" i="72"/>
  <c r="S139" i="72"/>
  <c r="R139" i="72"/>
  <c r="Q139" i="72"/>
  <c r="P139" i="72"/>
  <c r="K139" i="72"/>
  <c r="J139" i="72"/>
  <c r="I139" i="72"/>
  <c r="H139" i="72"/>
  <c r="W138" i="72"/>
  <c r="V138" i="72"/>
  <c r="U138" i="72"/>
  <c r="T138" i="72"/>
  <c r="S138" i="72"/>
  <c r="R138" i="72"/>
  <c r="Q138" i="72"/>
  <c r="P138" i="72"/>
  <c r="K138" i="72"/>
  <c r="J138" i="72"/>
  <c r="I138" i="72"/>
  <c r="H138" i="72"/>
  <c r="W137" i="72"/>
  <c r="V137" i="72"/>
  <c r="U137" i="72"/>
  <c r="T137" i="72"/>
  <c r="S137" i="72"/>
  <c r="R137" i="72"/>
  <c r="Q137" i="72"/>
  <c r="P137" i="72"/>
  <c r="K137" i="72"/>
  <c r="J137" i="72"/>
  <c r="I137" i="72"/>
  <c r="H137" i="72"/>
  <c r="W136" i="72"/>
  <c r="V136" i="72"/>
  <c r="U136" i="72"/>
  <c r="T136" i="72"/>
  <c r="S136" i="72"/>
  <c r="R136" i="72"/>
  <c r="Q136" i="72"/>
  <c r="P136" i="72"/>
  <c r="K136" i="72"/>
  <c r="J136" i="72"/>
  <c r="I136" i="72"/>
  <c r="H136" i="72"/>
  <c r="W135" i="72"/>
  <c r="V135" i="72"/>
  <c r="U135" i="72"/>
  <c r="T135" i="72"/>
  <c r="S135" i="72"/>
  <c r="R135" i="72"/>
  <c r="Q135" i="72"/>
  <c r="P135" i="72"/>
  <c r="K135" i="72"/>
  <c r="J135" i="72"/>
  <c r="I135" i="72"/>
  <c r="H135" i="72"/>
  <c r="W134" i="72"/>
  <c r="V134" i="72"/>
  <c r="U134" i="72"/>
  <c r="T134" i="72"/>
  <c r="S134" i="72"/>
  <c r="R134" i="72"/>
  <c r="Q134" i="72"/>
  <c r="P134" i="72"/>
  <c r="K134" i="72"/>
  <c r="J134" i="72"/>
  <c r="I134" i="72"/>
  <c r="H134" i="72"/>
  <c r="W133" i="72"/>
  <c r="V133" i="72"/>
  <c r="U133" i="72"/>
  <c r="T133" i="72"/>
  <c r="S133" i="72"/>
  <c r="R133" i="72"/>
  <c r="Q133" i="72"/>
  <c r="P133" i="72"/>
  <c r="K133" i="72"/>
  <c r="J133" i="72"/>
  <c r="I133" i="72"/>
  <c r="H133" i="72"/>
  <c r="W132" i="72"/>
  <c r="V132" i="72"/>
  <c r="U132" i="72"/>
  <c r="T132" i="72"/>
  <c r="S132" i="72"/>
  <c r="R132" i="72"/>
  <c r="Q132" i="72"/>
  <c r="P132" i="72"/>
  <c r="K132" i="72"/>
  <c r="J132" i="72"/>
  <c r="I132" i="72"/>
  <c r="H132" i="72"/>
  <c r="W131" i="72"/>
  <c r="V131" i="72"/>
  <c r="U131" i="72"/>
  <c r="T131" i="72"/>
  <c r="S131" i="72"/>
  <c r="R131" i="72"/>
  <c r="Q131" i="72"/>
  <c r="P131" i="72"/>
  <c r="K131" i="72"/>
  <c r="J131" i="72"/>
  <c r="I131" i="72"/>
  <c r="H131" i="72"/>
  <c r="W130" i="72"/>
  <c r="V130" i="72"/>
  <c r="U130" i="72"/>
  <c r="T130" i="72"/>
  <c r="S130" i="72"/>
  <c r="R130" i="72"/>
  <c r="Q130" i="72"/>
  <c r="P130" i="72"/>
  <c r="W129" i="72"/>
  <c r="V129" i="72"/>
  <c r="U129" i="72"/>
  <c r="T129" i="72"/>
  <c r="S129" i="72"/>
  <c r="R129" i="72"/>
  <c r="Q129" i="72"/>
  <c r="P129" i="72"/>
  <c r="K129" i="72"/>
  <c r="J129" i="72"/>
  <c r="I129" i="72"/>
  <c r="H129" i="72"/>
  <c r="W128" i="72"/>
  <c r="V128" i="72"/>
  <c r="U128" i="72"/>
  <c r="T128" i="72"/>
  <c r="S128" i="72"/>
  <c r="R128" i="72"/>
  <c r="Q128" i="72"/>
  <c r="P128" i="72"/>
  <c r="K128" i="72"/>
  <c r="J128" i="72"/>
  <c r="I128" i="72"/>
  <c r="H128" i="72"/>
  <c r="W127" i="72"/>
  <c r="V127" i="72"/>
  <c r="U127" i="72"/>
  <c r="T127" i="72"/>
  <c r="S127" i="72"/>
  <c r="R127" i="72"/>
  <c r="Q127" i="72"/>
  <c r="P127" i="72"/>
  <c r="K127" i="72"/>
  <c r="J127" i="72"/>
  <c r="I127" i="72"/>
  <c r="H127" i="72"/>
  <c r="W126" i="72"/>
  <c r="V126" i="72"/>
  <c r="U126" i="72"/>
  <c r="T126" i="72"/>
  <c r="S126" i="72"/>
  <c r="R126" i="72"/>
  <c r="Q126" i="72"/>
  <c r="P126" i="72"/>
  <c r="K126" i="72"/>
  <c r="J126" i="72"/>
  <c r="I126" i="72"/>
  <c r="H126" i="72"/>
  <c r="W125" i="72"/>
  <c r="V125" i="72"/>
  <c r="U125" i="72"/>
  <c r="T125" i="72"/>
  <c r="S125" i="72"/>
  <c r="R125" i="72"/>
  <c r="Q125" i="72"/>
  <c r="P125" i="72"/>
  <c r="K125" i="72"/>
  <c r="J125" i="72"/>
  <c r="I125" i="72"/>
  <c r="H125" i="72"/>
  <c r="W124" i="72"/>
  <c r="V124" i="72"/>
  <c r="U124" i="72"/>
  <c r="T124" i="72"/>
  <c r="S124" i="72"/>
  <c r="R124" i="72"/>
  <c r="Q124" i="72"/>
  <c r="P124" i="72"/>
  <c r="K124" i="72"/>
  <c r="J124" i="72"/>
  <c r="I124" i="72"/>
  <c r="H124" i="72"/>
  <c r="W123" i="72"/>
  <c r="V123" i="72"/>
  <c r="U123" i="72"/>
  <c r="T123" i="72"/>
  <c r="S123" i="72"/>
  <c r="R123" i="72"/>
  <c r="Q123" i="72"/>
  <c r="P123" i="72"/>
  <c r="K123" i="72"/>
  <c r="J123" i="72"/>
  <c r="I123" i="72"/>
  <c r="H123" i="72"/>
  <c r="W122" i="72"/>
  <c r="V122" i="72"/>
  <c r="U122" i="72"/>
  <c r="T122" i="72"/>
  <c r="S122" i="72"/>
  <c r="R122" i="72"/>
  <c r="Q122" i="72"/>
  <c r="P122" i="72"/>
  <c r="W121" i="72"/>
  <c r="V121" i="72"/>
  <c r="U121" i="72"/>
  <c r="T121" i="72"/>
  <c r="S121" i="72"/>
  <c r="R121" i="72"/>
  <c r="Q121" i="72"/>
  <c r="P121" i="72"/>
  <c r="W120" i="72"/>
  <c r="V120" i="72"/>
  <c r="U120" i="72"/>
  <c r="T120" i="72"/>
  <c r="S120" i="72"/>
  <c r="R120" i="72"/>
  <c r="Q120" i="72"/>
  <c r="P120" i="72"/>
  <c r="W119" i="72"/>
  <c r="V119" i="72"/>
  <c r="U119" i="72"/>
  <c r="T119" i="72"/>
  <c r="S119" i="72"/>
  <c r="R119" i="72"/>
  <c r="Q119" i="72"/>
  <c r="P119" i="72"/>
  <c r="W118" i="72"/>
  <c r="V118" i="72"/>
  <c r="U118" i="72"/>
  <c r="T118" i="72"/>
  <c r="S118" i="72"/>
  <c r="R118" i="72"/>
  <c r="Q118" i="72"/>
  <c r="P118" i="72"/>
  <c r="W110" i="72"/>
  <c r="V110" i="72"/>
  <c r="U110" i="72"/>
  <c r="T110" i="72"/>
  <c r="S110" i="72"/>
  <c r="R110" i="72"/>
  <c r="Q110" i="72"/>
  <c r="P110" i="72"/>
  <c r="O110" i="72"/>
  <c r="N110" i="72"/>
  <c r="M110" i="72"/>
  <c r="L110" i="72"/>
  <c r="AA90" i="72"/>
  <c r="W90" i="72" s="1"/>
  <c r="Z90" i="72"/>
  <c r="V90" i="72" s="1"/>
  <c r="Y90" i="72"/>
  <c r="U90" i="72" s="1"/>
  <c r="X90" i="72"/>
  <c r="T90" i="72" s="1"/>
  <c r="S90" i="72"/>
  <c r="R90" i="72"/>
  <c r="Q90" i="72"/>
  <c r="P90" i="72"/>
  <c r="K90" i="72"/>
  <c r="K337" i="72" s="1"/>
  <c r="J90" i="72"/>
  <c r="J337" i="72" s="1"/>
  <c r="I90" i="72"/>
  <c r="I337" i="72" s="1"/>
  <c r="H90" i="72"/>
  <c r="H337" i="72" s="1"/>
  <c r="AA89" i="72"/>
  <c r="W89" i="72" s="1"/>
  <c r="Z89" i="72"/>
  <c r="V89" i="72" s="1"/>
  <c r="Y89" i="72"/>
  <c r="U89" i="72" s="1"/>
  <c r="X89" i="72"/>
  <c r="T89" i="72" s="1"/>
  <c r="S89" i="72"/>
  <c r="R89" i="72"/>
  <c r="Q89" i="72"/>
  <c r="P89" i="72"/>
  <c r="K89" i="72"/>
  <c r="K336" i="72" s="1"/>
  <c r="J89" i="72"/>
  <c r="J336" i="72" s="1"/>
  <c r="I89" i="72"/>
  <c r="I336" i="72" s="1"/>
  <c r="H89" i="72"/>
  <c r="H336" i="72" s="1"/>
  <c r="AA88" i="72"/>
  <c r="W88" i="72" s="1"/>
  <c r="Z88" i="72"/>
  <c r="V88" i="72" s="1"/>
  <c r="Y88" i="72"/>
  <c r="U88" i="72" s="1"/>
  <c r="X88" i="72"/>
  <c r="T88" i="72" s="1"/>
  <c r="S88" i="72"/>
  <c r="R88" i="72"/>
  <c r="Q88" i="72"/>
  <c r="P88" i="72"/>
  <c r="K88" i="72"/>
  <c r="K335" i="72" s="1"/>
  <c r="J88" i="72"/>
  <c r="J335" i="72" s="1"/>
  <c r="I88" i="72"/>
  <c r="I335" i="72" s="1"/>
  <c r="H88" i="72"/>
  <c r="H335" i="72" s="1"/>
  <c r="AA87" i="72"/>
  <c r="W87" i="72" s="1"/>
  <c r="Z87" i="72"/>
  <c r="V87" i="72" s="1"/>
  <c r="Y87" i="72"/>
  <c r="U87" i="72" s="1"/>
  <c r="X87" i="72"/>
  <c r="T87" i="72" s="1"/>
  <c r="S87" i="72"/>
  <c r="R87" i="72"/>
  <c r="Q87" i="72"/>
  <c r="P87" i="72"/>
  <c r="K87" i="72"/>
  <c r="K334" i="72" s="1"/>
  <c r="J87" i="72"/>
  <c r="J334" i="72" s="1"/>
  <c r="I87" i="72"/>
  <c r="I334" i="72" s="1"/>
  <c r="H87" i="72"/>
  <c r="H334" i="72" s="1"/>
  <c r="AA86" i="72"/>
  <c r="W86" i="72" s="1"/>
  <c r="Z86" i="72"/>
  <c r="V86" i="72" s="1"/>
  <c r="Y86" i="72"/>
  <c r="U86" i="72" s="1"/>
  <c r="X86" i="72"/>
  <c r="T86" i="72" s="1"/>
  <c r="S86" i="72"/>
  <c r="R86" i="72"/>
  <c r="Q86" i="72"/>
  <c r="P86" i="72"/>
  <c r="AA85" i="72"/>
  <c r="W85" i="72" s="1"/>
  <c r="Z85" i="72"/>
  <c r="V85" i="72" s="1"/>
  <c r="Y85" i="72"/>
  <c r="U85" i="72" s="1"/>
  <c r="X85" i="72"/>
  <c r="T85" i="72" s="1"/>
  <c r="S85" i="72"/>
  <c r="R85" i="72"/>
  <c r="Q85" i="72"/>
  <c r="P85" i="72"/>
  <c r="K85" i="72"/>
  <c r="K332" i="72" s="1"/>
  <c r="J85" i="72"/>
  <c r="J332" i="72" s="1"/>
  <c r="I85" i="72"/>
  <c r="I332" i="72" s="1"/>
  <c r="H85" i="72"/>
  <c r="H332" i="72" s="1"/>
  <c r="AA84" i="72"/>
  <c r="W84" i="72" s="1"/>
  <c r="Z84" i="72"/>
  <c r="V84" i="72" s="1"/>
  <c r="Y84" i="72"/>
  <c r="U84" i="72" s="1"/>
  <c r="X84" i="72"/>
  <c r="T84" i="72" s="1"/>
  <c r="S84" i="72"/>
  <c r="R84" i="72"/>
  <c r="Q84" i="72"/>
  <c r="P84" i="72"/>
  <c r="AA83" i="72"/>
  <c r="W83" i="72" s="1"/>
  <c r="Z83" i="72"/>
  <c r="V83" i="72" s="1"/>
  <c r="Y83" i="72"/>
  <c r="U83" i="72" s="1"/>
  <c r="X83" i="72"/>
  <c r="T83" i="72" s="1"/>
  <c r="S83" i="72"/>
  <c r="R83" i="72"/>
  <c r="Q83" i="72"/>
  <c r="P83" i="72"/>
  <c r="K83" i="72"/>
  <c r="K330" i="72" s="1"/>
  <c r="J83" i="72"/>
  <c r="J330" i="72" s="1"/>
  <c r="I83" i="72"/>
  <c r="I330" i="72" s="1"/>
  <c r="H83" i="72"/>
  <c r="H330" i="72" s="1"/>
  <c r="AA82" i="72"/>
  <c r="W82" i="72" s="1"/>
  <c r="Z82" i="72"/>
  <c r="V82" i="72" s="1"/>
  <c r="Y82" i="72"/>
  <c r="U82" i="72" s="1"/>
  <c r="X82" i="72"/>
  <c r="T82" i="72" s="1"/>
  <c r="S82" i="72"/>
  <c r="R82" i="72"/>
  <c r="Q82" i="72"/>
  <c r="P82" i="72"/>
  <c r="AA81" i="72"/>
  <c r="W81" i="72" s="1"/>
  <c r="Z81" i="72"/>
  <c r="V81" i="72" s="1"/>
  <c r="Y81" i="72"/>
  <c r="U81" i="72" s="1"/>
  <c r="X81" i="72"/>
  <c r="T81" i="72" s="1"/>
  <c r="S81" i="72"/>
  <c r="R81" i="72"/>
  <c r="Q81" i="72"/>
  <c r="P81" i="72"/>
  <c r="K81" i="72"/>
  <c r="K328" i="72" s="1"/>
  <c r="J81" i="72"/>
  <c r="J328" i="72" s="1"/>
  <c r="I81" i="72"/>
  <c r="I328" i="72" s="1"/>
  <c r="H81" i="72"/>
  <c r="H328" i="72" s="1"/>
  <c r="AA80" i="72"/>
  <c r="W80" i="72" s="1"/>
  <c r="Z80" i="72"/>
  <c r="V80" i="72" s="1"/>
  <c r="Y80" i="72"/>
  <c r="U80" i="72" s="1"/>
  <c r="X80" i="72"/>
  <c r="T80" i="72" s="1"/>
  <c r="S80" i="72"/>
  <c r="R80" i="72"/>
  <c r="Q80" i="72"/>
  <c r="P80" i="72"/>
  <c r="AA79" i="72"/>
  <c r="W79" i="72" s="1"/>
  <c r="Z79" i="72"/>
  <c r="V79" i="72" s="1"/>
  <c r="Y79" i="72"/>
  <c r="U79" i="72" s="1"/>
  <c r="X79" i="72"/>
  <c r="T79" i="72" s="1"/>
  <c r="S79" i="72"/>
  <c r="R79" i="72"/>
  <c r="Q79" i="72"/>
  <c r="P79" i="72"/>
  <c r="K79" i="72"/>
  <c r="K326" i="72" s="1"/>
  <c r="J79" i="72"/>
  <c r="J326" i="72" s="1"/>
  <c r="I79" i="72"/>
  <c r="I326" i="72" s="1"/>
  <c r="H79" i="72"/>
  <c r="H326" i="72" s="1"/>
  <c r="AA78" i="72"/>
  <c r="W78" i="72" s="1"/>
  <c r="Z78" i="72"/>
  <c r="V78" i="72" s="1"/>
  <c r="Y78" i="72"/>
  <c r="U78" i="72" s="1"/>
  <c r="X78" i="72"/>
  <c r="T78" i="72" s="1"/>
  <c r="S78" i="72"/>
  <c r="R78" i="72"/>
  <c r="Q78" i="72"/>
  <c r="P78" i="72"/>
  <c r="AA77" i="72"/>
  <c r="W77" i="72" s="1"/>
  <c r="Z77" i="72"/>
  <c r="V77" i="72" s="1"/>
  <c r="Y77" i="72"/>
  <c r="U77" i="72" s="1"/>
  <c r="X77" i="72"/>
  <c r="T77" i="72" s="1"/>
  <c r="S77" i="72"/>
  <c r="R77" i="72"/>
  <c r="Q77" i="72"/>
  <c r="P77" i="72"/>
  <c r="K77" i="72"/>
  <c r="K324" i="72" s="1"/>
  <c r="J77" i="72"/>
  <c r="J324" i="72" s="1"/>
  <c r="I77" i="72"/>
  <c r="I324" i="72" s="1"/>
  <c r="H77" i="72"/>
  <c r="H324" i="72" s="1"/>
  <c r="AA76" i="72"/>
  <c r="W76" i="72" s="1"/>
  <c r="Z76" i="72"/>
  <c r="V76" i="72" s="1"/>
  <c r="Y76" i="72"/>
  <c r="U76" i="72" s="1"/>
  <c r="X76" i="72"/>
  <c r="T76" i="72" s="1"/>
  <c r="S76" i="72"/>
  <c r="R76" i="72"/>
  <c r="Q76" i="72"/>
  <c r="P76" i="72"/>
  <c r="AA75" i="72"/>
  <c r="W75" i="72" s="1"/>
  <c r="Z75" i="72"/>
  <c r="V75" i="72" s="1"/>
  <c r="Y75" i="72"/>
  <c r="U75" i="72" s="1"/>
  <c r="X75" i="72"/>
  <c r="T75" i="72" s="1"/>
  <c r="S75" i="72"/>
  <c r="R75" i="72"/>
  <c r="Q75" i="72"/>
  <c r="P75" i="72"/>
  <c r="K75" i="72"/>
  <c r="K322" i="72" s="1"/>
  <c r="J75" i="72"/>
  <c r="J322" i="72" s="1"/>
  <c r="I75" i="72"/>
  <c r="I322" i="72" s="1"/>
  <c r="H75" i="72"/>
  <c r="H322" i="72" s="1"/>
  <c r="AA74" i="72"/>
  <c r="W74" i="72" s="1"/>
  <c r="Z74" i="72"/>
  <c r="V74" i="72" s="1"/>
  <c r="Y74" i="72"/>
  <c r="U74" i="72" s="1"/>
  <c r="X74" i="72"/>
  <c r="T74" i="72" s="1"/>
  <c r="S74" i="72"/>
  <c r="R74" i="72"/>
  <c r="Q74" i="72"/>
  <c r="P74" i="72"/>
  <c r="K74" i="72"/>
  <c r="J74" i="72"/>
  <c r="I74" i="72"/>
  <c r="H74" i="72"/>
  <c r="AA73" i="72"/>
  <c r="Z73" i="72"/>
  <c r="Y73" i="72"/>
  <c r="X73" i="72"/>
  <c r="S73" i="72"/>
  <c r="R73" i="72"/>
  <c r="Q73" i="72"/>
  <c r="P73" i="72"/>
  <c r="K73" i="72"/>
  <c r="J73" i="72"/>
  <c r="I73" i="72"/>
  <c r="H73" i="72"/>
  <c r="AA72" i="72"/>
  <c r="W72" i="72" s="1"/>
  <c r="Z72" i="72"/>
  <c r="V72" i="72" s="1"/>
  <c r="Y72" i="72"/>
  <c r="U72" i="72" s="1"/>
  <c r="X72" i="72"/>
  <c r="T72" i="72" s="1"/>
  <c r="S72" i="72"/>
  <c r="R72" i="72"/>
  <c r="Q72" i="72"/>
  <c r="P72" i="72"/>
  <c r="K72" i="72"/>
  <c r="J72" i="72"/>
  <c r="I72" i="72"/>
  <c r="H72" i="72"/>
  <c r="AA71" i="72"/>
  <c r="Z71" i="72"/>
  <c r="Y71" i="72"/>
  <c r="X71" i="72"/>
  <c r="S71" i="72"/>
  <c r="R71" i="72"/>
  <c r="Q71" i="72"/>
  <c r="P71" i="72"/>
  <c r="K71" i="72"/>
  <c r="J71" i="72"/>
  <c r="I71" i="72"/>
  <c r="H71" i="72"/>
  <c r="AA70" i="72"/>
  <c r="Z70" i="72"/>
  <c r="Y70" i="72"/>
  <c r="X70" i="72"/>
  <c r="S70" i="72"/>
  <c r="R70" i="72"/>
  <c r="Q70" i="72"/>
  <c r="P70" i="72"/>
  <c r="K70" i="72"/>
  <c r="J70" i="72"/>
  <c r="I70" i="72"/>
  <c r="H70" i="72"/>
  <c r="AA69" i="72"/>
  <c r="Z69" i="72"/>
  <c r="Y69" i="72"/>
  <c r="X69" i="72"/>
  <c r="S69" i="72"/>
  <c r="R69" i="72"/>
  <c r="Q69" i="72"/>
  <c r="P69" i="72"/>
  <c r="K69" i="72"/>
  <c r="J69" i="72"/>
  <c r="I69" i="72"/>
  <c r="H69" i="72"/>
  <c r="AA68" i="72"/>
  <c r="Z68" i="72"/>
  <c r="Y68" i="72"/>
  <c r="X68" i="72"/>
  <c r="S68" i="72"/>
  <c r="R68" i="72"/>
  <c r="Q68" i="72"/>
  <c r="P68" i="72"/>
  <c r="K68" i="72"/>
  <c r="J68" i="72"/>
  <c r="I68" i="72"/>
  <c r="H68" i="72"/>
  <c r="AA67" i="72"/>
  <c r="Z67" i="72"/>
  <c r="Y67" i="72"/>
  <c r="X67" i="72"/>
  <c r="S67" i="72"/>
  <c r="R67" i="72"/>
  <c r="Q67" i="72"/>
  <c r="P67" i="72"/>
  <c r="K67" i="72"/>
  <c r="J67" i="72"/>
  <c r="I67" i="72"/>
  <c r="H67" i="72"/>
  <c r="AA66" i="72"/>
  <c r="Z66" i="72"/>
  <c r="Y66" i="72"/>
  <c r="X66" i="72"/>
  <c r="S66" i="72"/>
  <c r="R66" i="72"/>
  <c r="Q66" i="72"/>
  <c r="P66" i="72"/>
  <c r="K66" i="72"/>
  <c r="J66" i="72"/>
  <c r="I66" i="72"/>
  <c r="H66" i="72"/>
  <c r="AA65" i="72"/>
  <c r="W65" i="72" s="1"/>
  <c r="Z65" i="72"/>
  <c r="V65" i="72" s="1"/>
  <c r="Y65" i="72"/>
  <c r="U65" i="72" s="1"/>
  <c r="X65" i="72"/>
  <c r="T65" i="72" s="1"/>
  <c r="S65" i="72"/>
  <c r="R65" i="72"/>
  <c r="Q65" i="72"/>
  <c r="P65" i="72"/>
  <c r="K65" i="72"/>
  <c r="J65" i="72"/>
  <c r="I65" i="72"/>
  <c r="H65" i="72"/>
  <c r="AA64" i="72"/>
  <c r="W64" i="72" s="1"/>
  <c r="Z64" i="72"/>
  <c r="V64" i="72" s="1"/>
  <c r="Y64" i="72"/>
  <c r="U64" i="72" s="1"/>
  <c r="X64" i="72"/>
  <c r="T64" i="72" s="1"/>
  <c r="S64" i="72"/>
  <c r="R64" i="72"/>
  <c r="Q64" i="72"/>
  <c r="P64" i="72"/>
  <c r="K64" i="72"/>
  <c r="J64" i="72"/>
  <c r="I64" i="72"/>
  <c r="H64" i="72"/>
  <c r="AA63" i="72"/>
  <c r="W63" i="72" s="1"/>
  <c r="Z63" i="72"/>
  <c r="V63" i="72" s="1"/>
  <c r="Y63" i="72"/>
  <c r="U63" i="72" s="1"/>
  <c r="X63" i="72"/>
  <c r="T63" i="72" s="1"/>
  <c r="S63" i="72"/>
  <c r="R63" i="72"/>
  <c r="Q63" i="72"/>
  <c r="P63" i="72"/>
  <c r="K63" i="72"/>
  <c r="J63" i="72"/>
  <c r="I63" i="72"/>
  <c r="H63" i="72"/>
  <c r="AA62" i="72"/>
  <c r="W62" i="72" s="1"/>
  <c r="Z62" i="72"/>
  <c r="V62" i="72" s="1"/>
  <c r="Y62" i="72"/>
  <c r="U62" i="72" s="1"/>
  <c r="X62" i="72"/>
  <c r="T62" i="72" s="1"/>
  <c r="S62" i="72"/>
  <c r="R62" i="72"/>
  <c r="Q62" i="72"/>
  <c r="P62" i="72"/>
  <c r="K62" i="72"/>
  <c r="J62" i="72"/>
  <c r="I62" i="72"/>
  <c r="H62" i="72"/>
  <c r="AA61" i="72"/>
  <c r="Z61" i="72"/>
  <c r="Y61" i="72"/>
  <c r="X61" i="72"/>
  <c r="S61" i="72"/>
  <c r="R61" i="72"/>
  <c r="Q61" i="72"/>
  <c r="P61" i="72"/>
  <c r="K61" i="72"/>
  <c r="J61" i="72"/>
  <c r="I61" i="72"/>
  <c r="H61" i="72"/>
  <c r="AA60" i="72"/>
  <c r="W60" i="72" s="1"/>
  <c r="Z60" i="72"/>
  <c r="V60" i="72" s="1"/>
  <c r="Y60" i="72"/>
  <c r="U60" i="72" s="1"/>
  <c r="X60" i="72"/>
  <c r="T60" i="72" s="1"/>
  <c r="S60" i="72"/>
  <c r="R60" i="72"/>
  <c r="Q60" i="72"/>
  <c r="P60" i="72"/>
  <c r="K60" i="72"/>
  <c r="J60" i="72"/>
  <c r="I60" i="72"/>
  <c r="H60" i="72"/>
  <c r="AA59" i="72"/>
  <c r="W59" i="72" s="1"/>
  <c r="Z59" i="72"/>
  <c r="V59" i="72" s="1"/>
  <c r="Y59" i="72"/>
  <c r="U59" i="72" s="1"/>
  <c r="X59" i="72"/>
  <c r="T59" i="72" s="1"/>
  <c r="S59" i="72"/>
  <c r="R59" i="72"/>
  <c r="Q59" i="72"/>
  <c r="P59" i="72"/>
  <c r="K59" i="72"/>
  <c r="J59" i="72"/>
  <c r="I59" i="72"/>
  <c r="H59" i="72"/>
  <c r="AA58" i="72"/>
  <c r="W58" i="72" s="1"/>
  <c r="Z58" i="72"/>
  <c r="V58" i="72" s="1"/>
  <c r="Y58" i="72"/>
  <c r="U58" i="72" s="1"/>
  <c r="X58" i="72"/>
  <c r="T58" i="72" s="1"/>
  <c r="S58" i="72"/>
  <c r="R58" i="72"/>
  <c r="Q58" i="72"/>
  <c r="P58" i="72"/>
  <c r="K58" i="72"/>
  <c r="J58" i="72"/>
  <c r="I58" i="72"/>
  <c r="H58" i="72"/>
  <c r="AA57" i="72"/>
  <c r="Z57" i="72"/>
  <c r="Y57" i="72"/>
  <c r="X57" i="72"/>
  <c r="S57" i="72"/>
  <c r="R57" i="72"/>
  <c r="Q57" i="72"/>
  <c r="P57" i="72"/>
  <c r="K57" i="72"/>
  <c r="J57" i="72"/>
  <c r="I57" i="72"/>
  <c r="H57" i="72"/>
  <c r="AA56" i="72"/>
  <c r="Z56" i="72"/>
  <c r="Y56" i="72"/>
  <c r="X56" i="72"/>
  <c r="S56" i="72"/>
  <c r="R56" i="72"/>
  <c r="Q56" i="72"/>
  <c r="P56" i="72"/>
  <c r="K56" i="72"/>
  <c r="J56" i="72"/>
  <c r="I56" i="72"/>
  <c r="H56" i="72"/>
  <c r="AA55" i="72"/>
  <c r="Z55" i="72"/>
  <c r="Y55" i="72"/>
  <c r="X55" i="72"/>
  <c r="S55" i="72"/>
  <c r="R55" i="72"/>
  <c r="Q55" i="72"/>
  <c r="P55" i="72"/>
  <c r="K55" i="72"/>
  <c r="J55" i="72"/>
  <c r="I55" i="72"/>
  <c r="H55" i="72"/>
  <c r="AA54" i="72"/>
  <c r="Z54" i="72"/>
  <c r="Y54" i="72"/>
  <c r="X54" i="72"/>
  <c r="S54" i="72"/>
  <c r="R54" i="72"/>
  <c r="Q54" i="72"/>
  <c r="P54" i="72"/>
  <c r="K54" i="72"/>
  <c r="J54" i="72"/>
  <c r="J303" i="72" s="1"/>
  <c r="I54" i="72"/>
  <c r="H54" i="72"/>
  <c r="AA53" i="72"/>
  <c r="Z53" i="72"/>
  <c r="Y53" i="72"/>
  <c r="X53" i="72"/>
  <c r="S53" i="72"/>
  <c r="R53" i="72"/>
  <c r="Q53" i="72"/>
  <c r="P53" i="72"/>
  <c r="K53" i="72"/>
  <c r="J53" i="72"/>
  <c r="I53" i="72"/>
  <c r="H53" i="72"/>
  <c r="AA52" i="72"/>
  <c r="Z52" i="72"/>
  <c r="Y52" i="72"/>
  <c r="X52" i="72"/>
  <c r="S52" i="72"/>
  <c r="R52" i="72"/>
  <c r="Q52" i="72"/>
  <c r="P52" i="72"/>
  <c r="K52" i="72"/>
  <c r="J52" i="72"/>
  <c r="I52" i="72"/>
  <c r="H52" i="72"/>
  <c r="AA51" i="72"/>
  <c r="Z51" i="72"/>
  <c r="Y51" i="72"/>
  <c r="X51" i="72"/>
  <c r="S51" i="72"/>
  <c r="R51" i="72"/>
  <c r="Q51" i="72"/>
  <c r="P51" i="72"/>
  <c r="K51" i="72"/>
  <c r="J51" i="72"/>
  <c r="J300" i="72" s="1"/>
  <c r="I51" i="72"/>
  <c r="H51" i="72"/>
  <c r="AA50" i="72"/>
  <c r="Z50" i="72"/>
  <c r="Y50" i="72"/>
  <c r="X50" i="72"/>
  <c r="S50" i="72"/>
  <c r="R50" i="72"/>
  <c r="Q50" i="72"/>
  <c r="P50" i="72"/>
  <c r="K50" i="72"/>
  <c r="J50" i="72"/>
  <c r="I50" i="72"/>
  <c r="H50" i="72"/>
  <c r="AA49" i="72"/>
  <c r="Z49" i="72"/>
  <c r="Y49" i="72"/>
  <c r="X49" i="72"/>
  <c r="S49" i="72"/>
  <c r="R49" i="72"/>
  <c r="Q49" i="72"/>
  <c r="P49" i="72"/>
  <c r="K49" i="72"/>
  <c r="J49" i="72"/>
  <c r="I49" i="72"/>
  <c r="H49" i="72"/>
  <c r="H298" i="72" s="1"/>
  <c r="AA48" i="72"/>
  <c r="Z48" i="72"/>
  <c r="Y48" i="72"/>
  <c r="X48" i="72"/>
  <c r="S48" i="72"/>
  <c r="R48" i="72"/>
  <c r="Q48" i="72"/>
  <c r="P48" i="72"/>
  <c r="K48" i="72"/>
  <c r="J48" i="72"/>
  <c r="I48" i="72"/>
  <c r="H48" i="72"/>
  <c r="AA47" i="72"/>
  <c r="Z47" i="72"/>
  <c r="Y47" i="72"/>
  <c r="X47" i="72"/>
  <c r="S47" i="72"/>
  <c r="R47" i="72"/>
  <c r="Q47" i="72"/>
  <c r="P47" i="72"/>
  <c r="K47" i="72"/>
  <c r="J47" i="72"/>
  <c r="I47" i="72"/>
  <c r="H47" i="72"/>
  <c r="AA46" i="72"/>
  <c r="Z46" i="72"/>
  <c r="Y46" i="72"/>
  <c r="X46" i="72"/>
  <c r="S46" i="72"/>
  <c r="R46" i="72"/>
  <c r="Q46" i="72"/>
  <c r="P46" i="72"/>
  <c r="K46" i="72"/>
  <c r="J46" i="72"/>
  <c r="I46" i="72"/>
  <c r="H46" i="72"/>
  <c r="AA45" i="72"/>
  <c r="Z45" i="72"/>
  <c r="Y45" i="72"/>
  <c r="X45" i="72"/>
  <c r="S45" i="72"/>
  <c r="R45" i="72"/>
  <c r="Q45" i="72"/>
  <c r="P45" i="72"/>
  <c r="K45" i="72"/>
  <c r="J45" i="72"/>
  <c r="I45" i="72"/>
  <c r="H45" i="72"/>
  <c r="AA44" i="72"/>
  <c r="Z44" i="72"/>
  <c r="Y44" i="72"/>
  <c r="X44" i="72"/>
  <c r="S44" i="72"/>
  <c r="R44" i="72"/>
  <c r="Q44" i="72"/>
  <c r="P44" i="72"/>
  <c r="K44" i="72"/>
  <c r="J44" i="72"/>
  <c r="I44" i="72"/>
  <c r="H44" i="72"/>
  <c r="AA43" i="72"/>
  <c r="Z43" i="72"/>
  <c r="Y43" i="72"/>
  <c r="X43" i="72"/>
  <c r="S43" i="72"/>
  <c r="R43" i="72"/>
  <c r="Q43" i="72"/>
  <c r="P43" i="72"/>
  <c r="K43" i="72"/>
  <c r="J43" i="72"/>
  <c r="I43" i="72"/>
  <c r="H43" i="72"/>
  <c r="AA42" i="72"/>
  <c r="Z42" i="72"/>
  <c r="Y42" i="72"/>
  <c r="X42" i="72"/>
  <c r="S42" i="72"/>
  <c r="R42" i="72"/>
  <c r="Q42" i="72"/>
  <c r="P42" i="72"/>
  <c r="K42" i="72"/>
  <c r="J42" i="72"/>
  <c r="J291" i="72" s="1"/>
  <c r="I42" i="72"/>
  <c r="H42" i="72"/>
  <c r="AA41" i="72"/>
  <c r="Z41" i="72"/>
  <c r="Y41" i="72"/>
  <c r="X41" i="72"/>
  <c r="S41" i="72"/>
  <c r="R41" i="72"/>
  <c r="Q41" i="72"/>
  <c r="P41" i="72"/>
  <c r="K41" i="72"/>
  <c r="J41" i="72"/>
  <c r="I41" i="72"/>
  <c r="H41" i="72"/>
  <c r="AA40" i="72"/>
  <c r="Z40" i="72"/>
  <c r="Y40" i="72"/>
  <c r="X40" i="72"/>
  <c r="S40" i="72"/>
  <c r="R40" i="72"/>
  <c r="Q40" i="72"/>
  <c r="P40" i="72"/>
  <c r="K40" i="72"/>
  <c r="J40" i="72"/>
  <c r="I40" i="72"/>
  <c r="H40" i="72"/>
  <c r="H289" i="72" s="1"/>
  <c r="AA39" i="72"/>
  <c r="Z39" i="72"/>
  <c r="Y39" i="72"/>
  <c r="X39" i="72"/>
  <c r="S39" i="72"/>
  <c r="R39" i="72"/>
  <c r="Q39" i="72"/>
  <c r="P39" i="72"/>
  <c r="K39" i="72"/>
  <c r="J39" i="72"/>
  <c r="I39" i="72"/>
  <c r="H39" i="72"/>
  <c r="AA38" i="72"/>
  <c r="Z38" i="72"/>
  <c r="Y38" i="72"/>
  <c r="X38" i="72"/>
  <c r="S38" i="72"/>
  <c r="R38" i="72"/>
  <c r="Q38" i="72"/>
  <c r="P38" i="72"/>
  <c r="K38" i="72"/>
  <c r="J38" i="72"/>
  <c r="I38" i="72"/>
  <c r="H38" i="72"/>
  <c r="AA37" i="72"/>
  <c r="Z37" i="72"/>
  <c r="Y37" i="72"/>
  <c r="X37" i="72"/>
  <c r="S37" i="72"/>
  <c r="R37" i="72"/>
  <c r="Q37" i="72"/>
  <c r="P37" i="72"/>
  <c r="K37" i="72"/>
  <c r="J37" i="72"/>
  <c r="I37" i="72"/>
  <c r="H37" i="72"/>
  <c r="H286" i="72" s="1"/>
  <c r="AA36" i="72"/>
  <c r="W36" i="72" s="1"/>
  <c r="Z36" i="72"/>
  <c r="V36" i="72" s="1"/>
  <c r="Y36" i="72"/>
  <c r="U36" i="72" s="1"/>
  <c r="X36" i="72"/>
  <c r="T36" i="72" s="1"/>
  <c r="S36" i="72"/>
  <c r="R36" i="72"/>
  <c r="Q36" i="72"/>
  <c r="P36" i="72"/>
  <c r="AA35" i="72"/>
  <c r="Z35" i="72"/>
  <c r="Y35" i="72"/>
  <c r="X35" i="72"/>
  <c r="S35" i="72"/>
  <c r="R35" i="72"/>
  <c r="Q35" i="72"/>
  <c r="P35" i="72"/>
  <c r="K35" i="72"/>
  <c r="J35" i="72"/>
  <c r="I35" i="72"/>
  <c r="H35" i="72"/>
  <c r="AA34" i="72"/>
  <c r="Z34" i="72"/>
  <c r="Y34" i="72"/>
  <c r="X34" i="72"/>
  <c r="S34" i="72"/>
  <c r="R34" i="72"/>
  <c r="Q34" i="72"/>
  <c r="P34" i="72"/>
  <c r="K34" i="72"/>
  <c r="J34" i="72"/>
  <c r="I34" i="72"/>
  <c r="H34" i="72"/>
  <c r="AA33" i="72"/>
  <c r="Z33" i="72"/>
  <c r="Y33" i="72"/>
  <c r="X33" i="72"/>
  <c r="S33" i="72"/>
  <c r="R33" i="72"/>
  <c r="Q33" i="72"/>
  <c r="P33" i="72"/>
  <c r="K33" i="72"/>
  <c r="J33" i="72"/>
  <c r="I33" i="72"/>
  <c r="H33" i="72"/>
  <c r="AA32" i="72"/>
  <c r="Z32" i="72"/>
  <c r="Y32" i="72"/>
  <c r="X32" i="72"/>
  <c r="S32" i="72"/>
  <c r="R32" i="72"/>
  <c r="Q32" i="72"/>
  <c r="P32" i="72"/>
  <c r="K32" i="72"/>
  <c r="J32" i="72"/>
  <c r="I32" i="72"/>
  <c r="H32" i="72"/>
  <c r="AA31" i="72"/>
  <c r="Z31" i="72"/>
  <c r="Y31" i="72"/>
  <c r="X31" i="72"/>
  <c r="S31" i="72"/>
  <c r="R31" i="72"/>
  <c r="Q31" i="72"/>
  <c r="P31" i="72"/>
  <c r="K31" i="72"/>
  <c r="J31" i="72"/>
  <c r="J280" i="72" s="1"/>
  <c r="I31" i="72"/>
  <c r="H31" i="72"/>
  <c r="AA30" i="72"/>
  <c r="Z30" i="72"/>
  <c r="Y30" i="72"/>
  <c r="X30" i="72"/>
  <c r="S30" i="72"/>
  <c r="R30" i="72"/>
  <c r="Q30" i="72"/>
  <c r="P30" i="72"/>
  <c r="K30" i="72"/>
  <c r="J30" i="72"/>
  <c r="I30" i="72"/>
  <c r="H30" i="72"/>
  <c r="AA29" i="72"/>
  <c r="Z29" i="72"/>
  <c r="Y29" i="72"/>
  <c r="X29" i="72"/>
  <c r="S29" i="72"/>
  <c r="R29" i="72"/>
  <c r="Q29" i="72"/>
  <c r="P29" i="72"/>
  <c r="K29" i="72"/>
  <c r="J29" i="72"/>
  <c r="I29" i="72"/>
  <c r="H29" i="72"/>
  <c r="H278" i="72" s="1"/>
  <c r="AA28" i="72"/>
  <c r="Z28" i="72"/>
  <c r="Y28" i="72"/>
  <c r="X28" i="72"/>
  <c r="S28" i="72"/>
  <c r="R28" i="72"/>
  <c r="Q28" i="72"/>
  <c r="P28" i="72"/>
  <c r="K28" i="72"/>
  <c r="J28" i="72"/>
  <c r="J277" i="72" s="1"/>
  <c r="I28" i="72"/>
  <c r="H28" i="72"/>
  <c r="AA27" i="72"/>
  <c r="Z27" i="72"/>
  <c r="Y27" i="72"/>
  <c r="X27" i="72"/>
  <c r="S27" i="72"/>
  <c r="R27" i="72"/>
  <c r="Q27" i="72"/>
  <c r="P27" i="72"/>
  <c r="K27" i="72"/>
  <c r="J27" i="72"/>
  <c r="I27" i="72"/>
  <c r="H27" i="72"/>
  <c r="AA26" i="72"/>
  <c r="Z26" i="72"/>
  <c r="Y26" i="72"/>
  <c r="X26" i="72"/>
  <c r="S26" i="72"/>
  <c r="R26" i="72"/>
  <c r="Q26" i="72"/>
  <c r="P26" i="72"/>
  <c r="K26" i="72"/>
  <c r="J26" i="72"/>
  <c r="I26" i="72"/>
  <c r="H26" i="72"/>
  <c r="AA25" i="72"/>
  <c r="Z25" i="72"/>
  <c r="Y25" i="72"/>
  <c r="X25" i="72"/>
  <c r="S25" i="72"/>
  <c r="R25" i="72"/>
  <c r="Q25" i="72"/>
  <c r="P25" i="72"/>
  <c r="K25" i="72"/>
  <c r="J25" i="72"/>
  <c r="J274" i="72" s="1"/>
  <c r="I25" i="72"/>
  <c r="H25" i="72"/>
  <c r="AA24" i="72"/>
  <c r="Z24" i="72"/>
  <c r="Y24" i="72"/>
  <c r="X24" i="72"/>
  <c r="S24" i="72"/>
  <c r="R24" i="72"/>
  <c r="Q24" i="72"/>
  <c r="P24" i="72"/>
  <c r="K24" i="72"/>
  <c r="J24" i="72"/>
  <c r="I24" i="72"/>
  <c r="H24" i="72"/>
  <c r="AA23" i="72"/>
  <c r="Z23" i="72"/>
  <c r="Y23" i="72"/>
  <c r="X23" i="72"/>
  <c r="S23" i="72"/>
  <c r="R23" i="72"/>
  <c r="Q23" i="72"/>
  <c r="P23" i="72"/>
  <c r="K23" i="72"/>
  <c r="J23" i="72"/>
  <c r="I23" i="72"/>
  <c r="H23" i="72"/>
  <c r="AA22" i="72"/>
  <c r="Z22" i="72"/>
  <c r="Y22" i="72"/>
  <c r="X22" i="72"/>
  <c r="S22" i="72"/>
  <c r="R22" i="72"/>
  <c r="Q22" i="72"/>
  <c r="P22" i="72"/>
  <c r="K22" i="72"/>
  <c r="J22" i="72"/>
  <c r="J271" i="72" s="1"/>
  <c r="I22" i="72"/>
  <c r="H22" i="72"/>
  <c r="AA21" i="72"/>
  <c r="Z21" i="72"/>
  <c r="Y21" i="72"/>
  <c r="X21" i="72"/>
  <c r="S21" i="72"/>
  <c r="R21" i="72"/>
  <c r="Q21" i="72"/>
  <c r="P21" i="72"/>
  <c r="K21" i="72"/>
  <c r="J21" i="72"/>
  <c r="I21" i="72"/>
  <c r="H21" i="72"/>
  <c r="AA20" i="72"/>
  <c r="Z20" i="72"/>
  <c r="Y20" i="72"/>
  <c r="X20" i="72"/>
  <c r="S20" i="72"/>
  <c r="R20" i="72"/>
  <c r="Q20" i="72"/>
  <c r="P20" i="72"/>
  <c r="K20" i="72"/>
  <c r="J20" i="72"/>
  <c r="I20" i="72"/>
  <c r="H20" i="72"/>
  <c r="H269" i="72" s="1"/>
  <c r="AA19" i="72"/>
  <c r="Z19" i="72"/>
  <c r="Y19" i="72"/>
  <c r="X19" i="72"/>
  <c r="S19" i="72"/>
  <c r="R19" i="72"/>
  <c r="Q19" i="72"/>
  <c r="P19" i="72"/>
  <c r="K19" i="72"/>
  <c r="K268" i="72" s="1"/>
  <c r="J19" i="72"/>
  <c r="J268" i="72" s="1"/>
  <c r="I19" i="72"/>
  <c r="H19" i="72"/>
  <c r="AA18" i="72"/>
  <c r="Z18" i="72"/>
  <c r="Y18" i="72"/>
  <c r="X18" i="72"/>
  <c r="S18" i="72"/>
  <c r="R18" i="72"/>
  <c r="Q18" i="72"/>
  <c r="P18" i="72"/>
  <c r="K18" i="72"/>
  <c r="J18" i="72"/>
  <c r="I18" i="72"/>
  <c r="H18" i="72"/>
  <c r="AA17" i="72"/>
  <c r="Z17" i="72"/>
  <c r="Y17" i="72"/>
  <c r="X17" i="72"/>
  <c r="S17" i="72"/>
  <c r="R17" i="72"/>
  <c r="Q17" i="72"/>
  <c r="P17" i="72"/>
  <c r="K17" i="72"/>
  <c r="J17" i="72"/>
  <c r="I17" i="72"/>
  <c r="H17" i="72"/>
  <c r="AA16" i="72"/>
  <c r="Z16" i="72"/>
  <c r="Y16" i="72"/>
  <c r="X16" i="72"/>
  <c r="S16" i="72"/>
  <c r="R16" i="72"/>
  <c r="Q16" i="72"/>
  <c r="P16" i="72"/>
  <c r="K16" i="72"/>
  <c r="K265" i="72" s="1"/>
  <c r="J16" i="72"/>
  <c r="J265" i="72" s="1"/>
  <c r="I16" i="72"/>
  <c r="H16" i="72"/>
  <c r="AA15" i="72"/>
  <c r="Z15" i="72"/>
  <c r="Y15" i="72"/>
  <c r="X15" i="72"/>
  <c r="S15" i="72"/>
  <c r="R15" i="72"/>
  <c r="Q15" i="72"/>
  <c r="P15" i="72"/>
  <c r="K15" i="72"/>
  <c r="J15" i="72"/>
  <c r="I15" i="72"/>
  <c r="H15" i="72"/>
  <c r="AA14" i="72"/>
  <c r="Z14" i="72"/>
  <c r="Y14" i="72"/>
  <c r="X14" i="72"/>
  <c r="S14" i="72"/>
  <c r="R14" i="72"/>
  <c r="Q14" i="72"/>
  <c r="P14" i="72"/>
  <c r="K14" i="72"/>
  <c r="J14" i="72"/>
  <c r="I14" i="72"/>
  <c r="I263" i="72" s="1"/>
  <c r="H14" i="72"/>
  <c r="AA13" i="72"/>
  <c r="Z13" i="72"/>
  <c r="Y13" i="72"/>
  <c r="X13" i="72"/>
  <c r="S13" i="72"/>
  <c r="R13" i="72"/>
  <c r="Q13" i="72"/>
  <c r="P13" i="72"/>
  <c r="K13" i="72"/>
  <c r="J13" i="72"/>
  <c r="J262" i="72" s="1"/>
  <c r="I13" i="72"/>
  <c r="H13" i="72"/>
  <c r="AA12" i="72"/>
  <c r="Z12" i="72"/>
  <c r="Y12" i="72"/>
  <c r="X12" i="72"/>
  <c r="S12" i="72"/>
  <c r="R12" i="72"/>
  <c r="Q12" i="72"/>
  <c r="P12" i="72"/>
  <c r="K12" i="72"/>
  <c r="J12" i="72"/>
  <c r="I12" i="72"/>
  <c r="H12" i="72"/>
  <c r="AA11" i="72"/>
  <c r="Z11" i="72"/>
  <c r="Y11" i="72"/>
  <c r="X11" i="72"/>
  <c r="S11" i="72"/>
  <c r="R11" i="72"/>
  <c r="Q11" i="72"/>
  <c r="P11" i="72"/>
  <c r="K11" i="72"/>
  <c r="J11" i="72"/>
  <c r="J260" i="72" s="1"/>
  <c r="I11" i="72"/>
  <c r="H11" i="72"/>
  <c r="AA10" i="72"/>
  <c r="Z10" i="72"/>
  <c r="Y10" i="72"/>
  <c r="X10" i="72"/>
  <c r="S10" i="72"/>
  <c r="R10" i="72"/>
  <c r="Q10" i="72"/>
  <c r="P10" i="72"/>
  <c r="K10" i="72"/>
  <c r="J10" i="72"/>
  <c r="J172" i="72" s="1"/>
  <c r="I10" i="72"/>
  <c r="H10" i="72"/>
  <c r="AA9" i="72"/>
  <c r="Z9" i="72"/>
  <c r="Y9" i="72"/>
  <c r="X9" i="72"/>
  <c r="S9" i="72"/>
  <c r="R9" i="72"/>
  <c r="Q9" i="72"/>
  <c r="P9" i="72"/>
  <c r="K9" i="72"/>
  <c r="J9" i="72"/>
  <c r="I9" i="72"/>
  <c r="H9" i="72"/>
  <c r="T245" i="73" l="1"/>
  <c r="T290" i="73" s="1"/>
  <c r="P246" i="73"/>
  <c r="P291" i="73" s="1"/>
  <c r="T247" i="73"/>
  <c r="T292" i="73" s="1"/>
  <c r="P248" i="73"/>
  <c r="P293" i="73" s="1"/>
  <c r="P373" i="73"/>
  <c r="P374" i="73"/>
  <c r="P375" i="73"/>
  <c r="P376" i="73"/>
  <c r="P377" i="73"/>
  <c r="P378" i="73"/>
  <c r="P379" i="73"/>
  <c r="P387" i="73"/>
  <c r="P389" i="73"/>
  <c r="P391" i="73"/>
  <c r="P393" i="73"/>
  <c r="P395" i="73"/>
  <c r="P397" i="73"/>
  <c r="P398" i="73"/>
  <c r="P399" i="73"/>
  <c r="P400" i="73"/>
  <c r="U245" i="73"/>
  <c r="U290" i="73" s="1"/>
  <c r="Q246" i="73"/>
  <c r="Q291" i="73" s="1"/>
  <c r="U247" i="73"/>
  <c r="U292" i="73" s="1"/>
  <c r="Q248" i="73"/>
  <c r="Q293" i="73" s="1"/>
  <c r="Q373" i="73"/>
  <c r="Q374" i="73"/>
  <c r="Q375" i="73"/>
  <c r="Q376" i="73"/>
  <c r="Q377" i="73"/>
  <c r="Q378" i="73"/>
  <c r="Q379" i="73"/>
  <c r="Q387" i="73"/>
  <c r="Q389" i="73"/>
  <c r="Q391" i="73"/>
  <c r="Q393" i="73"/>
  <c r="Q395" i="73"/>
  <c r="Q397" i="73"/>
  <c r="Q398" i="73"/>
  <c r="Q399" i="73"/>
  <c r="Q400" i="73"/>
  <c r="T33" i="72"/>
  <c r="T32" i="73" s="1"/>
  <c r="T142" i="73" s="1"/>
  <c r="V245" i="73"/>
  <c r="V290" i="73" s="1"/>
  <c r="R246" i="73"/>
  <c r="R291" i="73" s="1"/>
  <c r="V247" i="73"/>
  <c r="V292" i="73" s="1"/>
  <c r="R248" i="73"/>
  <c r="R293" i="73" s="1"/>
  <c r="R373" i="73"/>
  <c r="R374" i="73"/>
  <c r="R375" i="73"/>
  <c r="R376" i="73"/>
  <c r="R377" i="73"/>
  <c r="R378" i="73"/>
  <c r="R379" i="73"/>
  <c r="R387" i="73"/>
  <c r="R389" i="73"/>
  <c r="R391" i="73"/>
  <c r="R393" i="73"/>
  <c r="R395" i="73"/>
  <c r="R397" i="73"/>
  <c r="R398" i="73"/>
  <c r="R399" i="73"/>
  <c r="R400" i="73"/>
  <c r="W245" i="73"/>
  <c r="W290" i="73" s="1"/>
  <c r="S246" i="73"/>
  <c r="S291" i="73" s="1"/>
  <c r="W247" i="73"/>
  <c r="W292" i="73" s="1"/>
  <c r="S248" i="73"/>
  <c r="S293" i="73" s="1"/>
  <c r="S373" i="73"/>
  <c r="S374" i="73"/>
  <c r="S375" i="73"/>
  <c r="S376" i="73"/>
  <c r="S377" i="73"/>
  <c r="S378" i="73"/>
  <c r="S379" i="73"/>
  <c r="S387" i="73"/>
  <c r="S389" i="73"/>
  <c r="S391" i="73"/>
  <c r="S393" i="73"/>
  <c r="S395" i="73"/>
  <c r="S397" i="73"/>
  <c r="S398" i="73"/>
  <c r="S399" i="73"/>
  <c r="S400" i="73"/>
  <c r="P245" i="73"/>
  <c r="P290" i="73" s="1"/>
  <c r="T246" i="73"/>
  <c r="T291" i="73" s="1"/>
  <c r="P247" i="73"/>
  <c r="P292" i="73" s="1"/>
  <c r="T248" i="73"/>
  <c r="T293" i="73" s="1"/>
  <c r="Q245" i="73"/>
  <c r="Q290" i="73" s="1"/>
  <c r="U246" i="73"/>
  <c r="U291" i="73" s="1"/>
  <c r="Q247" i="73"/>
  <c r="Q292" i="73" s="1"/>
  <c r="U248" i="73"/>
  <c r="U293" i="73" s="1"/>
  <c r="T41" i="72"/>
  <c r="L41" i="72" s="1"/>
  <c r="R245" i="73"/>
  <c r="R290" i="73" s="1"/>
  <c r="V246" i="73"/>
  <c r="V291" i="73" s="1"/>
  <c r="R247" i="73"/>
  <c r="R292" i="73" s="1"/>
  <c r="V248" i="73"/>
  <c r="V293" i="73" s="1"/>
  <c r="S245" i="73"/>
  <c r="S290" i="73" s="1"/>
  <c r="W246" i="73"/>
  <c r="W291" i="73" s="1"/>
  <c r="S247" i="73"/>
  <c r="S292" i="73" s="1"/>
  <c r="W248" i="73"/>
  <c r="W293" i="73" s="1"/>
  <c r="T395" i="72"/>
  <c r="L395" i="72" s="1"/>
  <c r="U395" i="72"/>
  <c r="M395" i="72" s="1"/>
  <c r="V395" i="72"/>
  <c r="N395" i="72" s="1"/>
  <c r="W395" i="72"/>
  <c r="O395" i="72" s="1"/>
  <c r="P385" i="73"/>
  <c r="P342" i="72"/>
  <c r="Q385" i="73"/>
  <c r="Q342" i="72"/>
  <c r="R385" i="73"/>
  <c r="R342" i="72"/>
  <c r="S385" i="73"/>
  <c r="S342" i="72"/>
  <c r="X385" i="73"/>
  <c r="X342" i="72"/>
  <c r="Y385" i="73"/>
  <c r="Y342" i="72"/>
  <c r="Z342" i="72"/>
  <c r="AA385" i="73"/>
  <c r="AA342" i="72"/>
  <c r="T258" i="72"/>
  <c r="L258" i="72" s="1"/>
  <c r="P369" i="73"/>
  <c r="Q369" i="73"/>
  <c r="V258" i="72"/>
  <c r="N258" i="72" s="1"/>
  <c r="R369" i="73"/>
  <c r="S369" i="73"/>
  <c r="W171" i="72"/>
  <c r="O171" i="72" s="1"/>
  <c r="L165" i="72"/>
  <c r="M165" i="72"/>
  <c r="N165" i="72"/>
  <c r="O165" i="72"/>
  <c r="P159" i="72"/>
  <c r="Q159" i="72"/>
  <c r="R159" i="72"/>
  <c r="S159" i="72"/>
  <c r="T159" i="72"/>
  <c r="U159" i="72"/>
  <c r="V159" i="72"/>
  <c r="W159" i="72"/>
  <c r="Q92" i="72"/>
  <c r="Y92" i="72"/>
  <c r="R92" i="72"/>
  <c r="R93" i="72"/>
  <c r="V68" i="72"/>
  <c r="N68" i="72" s="1"/>
  <c r="Z93" i="72"/>
  <c r="AA92" i="72"/>
  <c r="AA93" i="72"/>
  <c r="T68" i="72"/>
  <c r="L68" i="72" s="1"/>
  <c r="X93" i="72"/>
  <c r="S92" i="72"/>
  <c r="Z92" i="72"/>
  <c r="P92" i="72"/>
  <c r="X92" i="72"/>
  <c r="U68" i="72"/>
  <c r="M68" i="72" s="1"/>
  <c r="Y93" i="72"/>
  <c r="P93" i="72"/>
  <c r="Q93" i="72"/>
  <c r="S93" i="72"/>
  <c r="X32" i="73"/>
  <c r="X142" i="73" s="1"/>
  <c r="L404" i="72"/>
  <c r="M404" i="72"/>
  <c r="S34" i="73"/>
  <c r="S144" i="73" s="1"/>
  <c r="S33" i="73"/>
  <c r="S143" i="73" s="1"/>
  <c r="O402" i="72"/>
  <c r="T27" i="72"/>
  <c r="X26" i="73"/>
  <c r="X136" i="73" s="1"/>
  <c r="V54" i="72"/>
  <c r="Z53" i="73"/>
  <c r="Z163" i="73" s="1"/>
  <c r="V306" i="72"/>
  <c r="Z369" i="73"/>
  <c r="V312" i="72"/>
  <c r="Z375" i="73"/>
  <c r="V315" i="72"/>
  <c r="Z378" i="73"/>
  <c r="V324" i="72"/>
  <c r="Z387" i="73"/>
  <c r="V330" i="72"/>
  <c r="Z393" i="73"/>
  <c r="V335" i="72"/>
  <c r="Z398" i="73"/>
  <c r="T9" i="72"/>
  <c r="X8" i="73"/>
  <c r="X118" i="73" s="1"/>
  <c r="V67" i="72"/>
  <c r="Z176" i="73"/>
  <c r="Z66" i="73"/>
  <c r="U19" i="72"/>
  <c r="Y18" i="73"/>
  <c r="Y128" i="73" s="1"/>
  <c r="W46" i="72"/>
  <c r="AA45" i="73"/>
  <c r="AA155" i="73" s="1"/>
  <c r="W71" i="72"/>
  <c r="AA180" i="73"/>
  <c r="AA70" i="73"/>
  <c r="W306" i="72"/>
  <c r="AA369" i="73"/>
  <c r="W312" i="72"/>
  <c r="AA375" i="73"/>
  <c r="W315" i="72"/>
  <c r="AA378" i="73"/>
  <c r="W324" i="72"/>
  <c r="AA387" i="73"/>
  <c r="W330" i="72"/>
  <c r="AA393" i="73"/>
  <c r="W335" i="72"/>
  <c r="AA398" i="73"/>
  <c r="T23" i="72"/>
  <c r="X22" i="73"/>
  <c r="X132" i="73" s="1"/>
  <c r="V47" i="72"/>
  <c r="Z46" i="73"/>
  <c r="Z156" i="73" s="1"/>
  <c r="U13" i="72"/>
  <c r="Y12" i="73"/>
  <c r="Y122" i="73" s="1"/>
  <c r="W56" i="72"/>
  <c r="AA55" i="73"/>
  <c r="AA165" i="73" s="1"/>
  <c r="V15" i="72"/>
  <c r="Z14" i="73"/>
  <c r="Z124" i="73" s="1"/>
  <c r="U33" i="72"/>
  <c r="Y32" i="73"/>
  <c r="Y142" i="73" s="1"/>
  <c r="T311" i="72"/>
  <c r="X374" i="73"/>
  <c r="T314" i="72"/>
  <c r="X377" i="73"/>
  <c r="T328" i="72"/>
  <c r="X391" i="73"/>
  <c r="T334" i="72"/>
  <c r="X397" i="73"/>
  <c r="T337" i="72"/>
  <c r="X400" i="73"/>
  <c r="T17" i="72"/>
  <c r="X16" i="73"/>
  <c r="X126" i="73" s="1"/>
  <c r="V42" i="72"/>
  <c r="Z41" i="73"/>
  <c r="Z151" i="73" s="1"/>
  <c r="U10" i="72"/>
  <c r="Y9" i="73"/>
  <c r="Y119" i="73" s="1"/>
  <c r="U32" i="72"/>
  <c r="Y31" i="73"/>
  <c r="Y141" i="73" s="1"/>
  <c r="V22" i="72"/>
  <c r="Z21" i="73"/>
  <c r="Z131" i="73" s="1"/>
  <c r="W10" i="72"/>
  <c r="AA9" i="73"/>
  <c r="AA119" i="73" s="1"/>
  <c r="U311" i="72"/>
  <c r="Y374" i="73"/>
  <c r="U314" i="72"/>
  <c r="Y377" i="73"/>
  <c r="U328" i="72"/>
  <c r="Y391" i="73"/>
  <c r="U334" i="72"/>
  <c r="Y397" i="73"/>
  <c r="U337" i="72"/>
  <c r="Y400" i="73"/>
  <c r="T25" i="72"/>
  <c r="X24" i="73"/>
  <c r="X134" i="73" s="1"/>
  <c r="V46" i="72"/>
  <c r="Z45" i="73"/>
  <c r="Z155" i="73" s="1"/>
  <c r="U15" i="72"/>
  <c r="Y14" i="73"/>
  <c r="Y124" i="73" s="1"/>
  <c r="W42" i="72"/>
  <c r="AA41" i="73"/>
  <c r="AA151" i="73" s="1"/>
  <c r="V30" i="72"/>
  <c r="Z29" i="73"/>
  <c r="Z139" i="73" s="1"/>
  <c r="W16" i="72"/>
  <c r="AA15" i="73"/>
  <c r="AA125" i="73" s="1"/>
  <c r="W33" i="72"/>
  <c r="AA32" i="73"/>
  <c r="AA142" i="73" s="1"/>
  <c r="V311" i="72"/>
  <c r="Z374" i="73"/>
  <c r="V314" i="72"/>
  <c r="Z377" i="73"/>
  <c r="V322" i="72"/>
  <c r="Z385" i="73"/>
  <c r="V328" i="72"/>
  <c r="Z391" i="73"/>
  <c r="V334" i="72"/>
  <c r="Z397" i="73"/>
  <c r="V337" i="72"/>
  <c r="Z400" i="73"/>
  <c r="T13" i="72"/>
  <c r="X12" i="73"/>
  <c r="X122" i="73" s="1"/>
  <c r="T18" i="72"/>
  <c r="X17" i="73"/>
  <c r="X127" i="73" s="1"/>
  <c r="T26" i="72"/>
  <c r="X25" i="73"/>
  <c r="X135" i="73" s="1"/>
  <c r="T31" i="72"/>
  <c r="X30" i="73"/>
  <c r="X140" i="73" s="1"/>
  <c r="W40" i="72"/>
  <c r="AA39" i="73"/>
  <c r="AA149" i="73" s="1"/>
  <c r="V44" i="72"/>
  <c r="Z43" i="73"/>
  <c r="Z153" i="73" s="1"/>
  <c r="V50" i="72"/>
  <c r="Z49" i="73"/>
  <c r="Z159" i="73" s="1"/>
  <c r="Z56" i="73"/>
  <c r="Z166" i="73"/>
  <c r="V66" i="72"/>
  <c r="Z65" i="73"/>
  <c r="Z175" i="73"/>
  <c r="V71" i="72"/>
  <c r="Z180" i="73"/>
  <c r="Z70" i="73"/>
  <c r="U11" i="72"/>
  <c r="Y10" i="73"/>
  <c r="Y120" i="73" s="1"/>
  <c r="U17" i="72"/>
  <c r="Y16" i="73"/>
  <c r="Y126" i="73" s="1"/>
  <c r="U24" i="72"/>
  <c r="Y23" i="73"/>
  <c r="Y133" i="73" s="1"/>
  <c r="U28" i="72"/>
  <c r="Y27" i="73"/>
  <c r="Y137" i="73" s="1"/>
  <c r="T34" i="72"/>
  <c r="X33" i="73"/>
  <c r="X143" i="73" s="1"/>
  <c r="W44" i="72"/>
  <c r="AA43" i="73"/>
  <c r="AA153" i="73" s="1"/>
  <c r="W50" i="72"/>
  <c r="AA49" i="73"/>
  <c r="AA159" i="73" s="1"/>
  <c r="W55" i="72"/>
  <c r="AA54" i="73"/>
  <c r="AA164" i="73" s="1"/>
  <c r="W67" i="72"/>
  <c r="AA66" i="73"/>
  <c r="AA176" i="73"/>
  <c r="V12" i="72"/>
  <c r="Z11" i="73"/>
  <c r="Z121" i="73" s="1"/>
  <c r="V18" i="72"/>
  <c r="Z17" i="73"/>
  <c r="Z127" i="73" s="1"/>
  <c r="V26" i="72"/>
  <c r="Z25" i="73"/>
  <c r="Z135" i="73" s="1"/>
  <c r="V31" i="72"/>
  <c r="Z30" i="73"/>
  <c r="Z140" i="73" s="1"/>
  <c r="W13" i="72"/>
  <c r="AA12" i="73"/>
  <c r="AA122" i="73" s="1"/>
  <c r="W18" i="72"/>
  <c r="AA17" i="73"/>
  <c r="AA127" i="73" s="1"/>
  <c r="W22" i="72"/>
  <c r="AA21" i="73"/>
  <c r="AA131" i="73" s="1"/>
  <c r="W27" i="72"/>
  <c r="AA26" i="73"/>
  <c r="AA136" i="73" s="1"/>
  <c r="W32" i="72"/>
  <c r="AA31" i="73"/>
  <c r="AA141" i="73" s="1"/>
  <c r="V34" i="72"/>
  <c r="Z33" i="73"/>
  <c r="Z143" i="73" s="1"/>
  <c r="U230" i="73"/>
  <c r="Q230" i="73"/>
  <c r="Q231" i="73"/>
  <c r="Q276" i="73" s="1"/>
  <c r="U231" i="73"/>
  <c r="U276" i="73" s="1"/>
  <c r="Q232" i="73"/>
  <c r="Q277" i="73" s="1"/>
  <c r="U232" i="73"/>
  <c r="U277" i="73" s="1"/>
  <c r="U233" i="73"/>
  <c r="U278" i="73" s="1"/>
  <c r="Q233" i="73"/>
  <c r="Q278" i="73" s="1"/>
  <c r="Q234" i="73"/>
  <c r="Q279" i="73" s="1"/>
  <c r="U234" i="73"/>
  <c r="U279" i="73" s="1"/>
  <c r="U235" i="73"/>
  <c r="U280" i="73" s="1"/>
  <c r="Q235" i="73"/>
  <c r="Q280" i="73" s="1"/>
  <c r="U236" i="73"/>
  <c r="U281" i="73" s="1"/>
  <c r="Q236" i="73"/>
  <c r="Q281" i="73" s="1"/>
  <c r="W34" i="72"/>
  <c r="AA33" i="73"/>
  <c r="AA143" i="73" s="1"/>
  <c r="W35" i="72"/>
  <c r="AA34" i="73"/>
  <c r="AA144" i="73" s="1"/>
  <c r="V230" i="73"/>
  <c r="R230" i="73"/>
  <c r="R231" i="73"/>
  <c r="R276" i="73" s="1"/>
  <c r="V231" i="73"/>
  <c r="V276" i="73" s="1"/>
  <c r="R232" i="73"/>
  <c r="R277" i="73" s="1"/>
  <c r="V232" i="73"/>
  <c r="V277" i="73" s="1"/>
  <c r="V233" i="73"/>
  <c r="V278" i="73" s="1"/>
  <c r="R233" i="73"/>
  <c r="R278" i="73" s="1"/>
  <c r="R234" i="73"/>
  <c r="R279" i="73" s="1"/>
  <c r="V234" i="73"/>
  <c r="V279" i="73" s="1"/>
  <c r="V235" i="73"/>
  <c r="V280" i="73" s="1"/>
  <c r="R235" i="73"/>
  <c r="R280" i="73" s="1"/>
  <c r="V236" i="73"/>
  <c r="V281" i="73" s="1"/>
  <c r="R236" i="73"/>
  <c r="R281" i="73" s="1"/>
  <c r="P36" i="73"/>
  <c r="P146" i="73" s="1"/>
  <c r="P37" i="73"/>
  <c r="P147" i="73" s="1"/>
  <c r="P38" i="73"/>
  <c r="P148" i="73" s="1"/>
  <c r="P39" i="73"/>
  <c r="P149" i="73" s="1"/>
  <c r="P40" i="73"/>
  <c r="P150" i="73" s="1"/>
  <c r="S230" i="73"/>
  <c r="W230" i="73"/>
  <c r="W231" i="73"/>
  <c r="W276" i="73" s="1"/>
  <c r="S231" i="73"/>
  <c r="S276" i="73" s="1"/>
  <c r="S232" i="73"/>
  <c r="S277" i="73" s="1"/>
  <c r="W232" i="73"/>
  <c r="W277" i="73" s="1"/>
  <c r="W233" i="73"/>
  <c r="W278" i="73" s="1"/>
  <c r="S233" i="73"/>
  <c r="S278" i="73" s="1"/>
  <c r="S234" i="73"/>
  <c r="S279" i="73" s="1"/>
  <c r="W234" i="73"/>
  <c r="W279" i="73" s="1"/>
  <c r="W235" i="73"/>
  <c r="W280" i="73" s="1"/>
  <c r="S235" i="73"/>
  <c r="S280" i="73" s="1"/>
  <c r="S236" i="73"/>
  <c r="S281" i="73" s="1"/>
  <c r="W236" i="73"/>
  <c r="W281" i="73" s="1"/>
  <c r="W311" i="72"/>
  <c r="AA374" i="73"/>
  <c r="W314" i="72"/>
  <c r="AA377" i="73"/>
  <c r="W328" i="72"/>
  <c r="AA391" i="73"/>
  <c r="W334" i="72"/>
  <c r="AA397" i="73"/>
  <c r="W337" i="72"/>
  <c r="AA400" i="73"/>
  <c r="U18" i="72"/>
  <c r="Y17" i="73"/>
  <c r="Y127" i="73" s="1"/>
  <c r="W53" i="72"/>
  <c r="AA52" i="73"/>
  <c r="AA162" i="73" s="1"/>
  <c r="V24" i="72"/>
  <c r="Z23" i="73"/>
  <c r="Z133" i="73" s="1"/>
  <c r="P230" i="73"/>
  <c r="T230" i="73"/>
  <c r="T231" i="73"/>
  <c r="T276" i="73" s="1"/>
  <c r="P231" i="73"/>
  <c r="P276" i="73" s="1"/>
  <c r="T232" i="73"/>
  <c r="T277" i="73" s="1"/>
  <c r="P232" i="73"/>
  <c r="P277" i="73" s="1"/>
  <c r="P233" i="73"/>
  <c r="P278" i="73" s="1"/>
  <c r="T233" i="73"/>
  <c r="T278" i="73" s="1"/>
  <c r="T234" i="73"/>
  <c r="T279" i="73" s="1"/>
  <c r="P234" i="73"/>
  <c r="P279" i="73" s="1"/>
  <c r="T235" i="73"/>
  <c r="T280" i="73" s="1"/>
  <c r="P235" i="73"/>
  <c r="P280" i="73" s="1"/>
  <c r="P236" i="73"/>
  <c r="P281" i="73" s="1"/>
  <c r="T236" i="73"/>
  <c r="T281" i="73" s="1"/>
  <c r="W11" i="72"/>
  <c r="AA10" i="73"/>
  <c r="AA120" i="73" s="1"/>
  <c r="Q39" i="73"/>
  <c r="Q149" i="73" s="1"/>
  <c r="P51" i="73"/>
  <c r="P161" i="73" s="1"/>
  <c r="T310" i="72"/>
  <c r="X373" i="73"/>
  <c r="T313" i="72"/>
  <c r="X376" i="73"/>
  <c r="T316" i="72"/>
  <c r="X379" i="73"/>
  <c r="T326" i="72"/>
  <c r="X389" i="73"/>
  <c r="T332" i="72"/>
  <c r="X395" i="73"/>
  <c r="T336" i="72"/>
  <c r="X399" i="73"/>
  <c r="T10" i="72"/>
  <c r="X9" i="73"/>
  <c r="X119" i="73" s="1"/>
  <c r="T14" i="72"/>
  <c r="X13" i="73"/>
  <c r="X123" i="73" s="1"/>
  <c r="T19" i="72"/>
  <c r="X18" i="73"/>
  <c r="X128" i="73" s="1"/>
  <c r="T24" i="72"/>
  <c r="X23" i="73"/>
  <c r="X133" i="73" s="1"/>
  <c r="W39" i="72"/>
  <c r="AA38" i="73"/>
  <c r="AA148" i="73" s="1"/>
  <c r="V45" i="72"/>
  <c r="Z44" i="73"/>
  <c r="V51" i="72"/>
  <c r="Z50" i="73"/>
  <c r="Z160" i="73" s="1"/>
  <c r="V55" i="72"/>
  <c r="Z54" i="73"/>
  <c r="Z164" i="73" s="1"/>
  <c r="V61" i="72"/>
  <c r="Z170" i="73"/>
  <c r="Z60" i="73"/>
  <c r="U14" i="72"/>
  <c r="Y13" i="73"/>
  <c r="Y123" i="73" s="1"/>
  <c r="U20" i="72"/>
  <c r="Y19" i="73"/>
  <c r="Y129" i="73" s="1"/>
  <c r="U26" i="72"/>
  <c r="Y25" i="73"/>
  <c r="Y135" i="73" s="1"/>
  <c r="U31" i="72"/>
  <c r="Y30" i="73"/>
  <c r="Y140" i="73" s="1"/>
  <c r="W41" i="72"/>
  <c r="AA40" i="73"/>
  <c r="AA150" i="73" s="1"/>
  <c r="W45" i="72"/>
  <c r="AA44" i="73"/>
  <c r="W52" i="72"/>
  <c r="AA51" i="73"/>
  <c r="AA161" i="73" s="1"/>
  <c r="W57" i="72"/>
  <c r="AA56" i="73"/>
  <c r="AA166" i="73"/>
  <c r="W61" i="72"/>
  <c r="AA60" i="73"/>
  <c r="AA170" i="73"/>
  <c r="W73" i="72"/>
  <c r="AA181" i="73"/>
  <c r="AA71" i="73"/>
  <c r="V23" i="72"/>
  <c r="Z22" i="73"/>
  <c r="Z132" i="73" s="1"/>
  <c r="U34" i="72"/>
  <c r="Y33" i="73"/>
  <c r="Y143" i="73" s="1"/>
  <c r="W26" i="72"/>
  <c r="AA25" i="73"/>
  <c r="AA135" i="73" s="1"/>
  <c r="P43" i="73"/>
  <c r="P153" i="73" s="1"/>
  <c r="P70" i="73"/>
  <c r="P180" i="73"/>
  <c r="R36" i="73"/>
  <c r="R146" i="73" s="1"/>
  <c r="Q49" i="73"/>
  <c r="Q159" i="73" s="1"/>
  <c r="U310" i="72"/>
  <c r="Y373" i="73"/>
  <c r="U313" i="72"/>
  <c r="Y376" i="73"/>
  <c r="U316" i="72"/>
  <c r="Y379" i="73"/>
  <c r="U326" i="72"/>
  <c r="Y389" i="73"/>
  <c r="U332" i="72"/>
  <c r="Y395" i="73"/>
  <c r="U336" i="72"/>
  <c r="Y399" i="73"/>
  <c r="T30" i="72"/>
  <c r="X29" i="73"/>
  <c r="X139" i="73" s="1"/>
  <c r="U22" i="72"/>
  <c r="Y21" i="73"/>
  <c r="Y131" i="73" s="1"/>
  <c r="W48" i="72"/>
  <c r="AA47" i="73"/>
  <c r="AA157" i="73" s="1"/>
  <c r="W66" i="72"/>
  <c r="AA175" i="73"/>
  <c r="AA65" i="73"/>
  <c r="W23" i="72"/>
  <c r="AA22" i="73"/>
  <c r="AA132" i="73" s="1"/>
  <c r="V35" i="72"/>
  <c r="Z34" i="73"/>
  <c r="Z144" i="73" s="1"/>
  <c r="P50" i="73"/>
  <c r="P160" i="73" s="1"/>
  <c r="P65" i="73"/>
  <c r="P175" i="73"/>
  <c r="R40" i="73"/>
  <c r="R150" i="73" s="1"/>
  <c r="Q53" i="73"/>
  <c r="Q163" i="73" s="1"/>
  <c r="Q176" i="73"/>
  <c r="Q66" i="73"/>
  <c r="P19" i="73"/>
  <c r="P129" i="73" s="1"/>
  <c r="P27" i="73"/>
  <c r="P137" i="73" s="1"/>
  <c r="S40" i="73"/>
  <c r="S150" i="73" s="1"/>
  <c r="R53" i="73"/>
  <c r="R163" i="73" s="1"/>
  <c r="V310" i="72"/>
  <c r="Z373" i="73"/>
  <c r="V313" i="72"/>
  <c r="Z376" i="73"/>
  <c r="V316" i="72"/>
  <c r="Z379" i="73"/>
  <c r="V326" i="72"/>
  <c r="Z389" i="73"/>
  <c r="V332" i="72"/>
  <c r="Z395" i="73"/>
  <c r="V336" i="72"/>
  <c r="Z399" i="73"/>
  <c r="T12" i="72"/>
  <c r="X11" i="73"/>
  <c r="X121" i="73" s="1"/>
  <c r="T15" i="72"/>
  <c r="X14" i="73"/>
  <c r="X124" i="73" s="1"/>
  <c r="T20" i="72"/>
  <c r="X19" i="73"/>
  <c r="X129" i="73" s="1"/>
  <c r="T28" i="72"/>
  <c r="X27" i="73"/>
  <c r="X137" i="73" s="1"/>
  <c r="T32" i="72"/>
  <c r="X31" i="73"/>
  <c r="X141" i="73" s="1"/>
  <c r="W38" i="72"/>
  <c r="AA37" i="73"/>
  <c r="AA147" i="73" s="1"/>
  <c r="V43" i="72"/>
  <c r="Z42" i="73"/>
  <c r="Z152" i="73" s="1"/>
  <c r="V52" i="72"/>
  <c r="Z51" i="73"/>
  <c r="Z161" i="73" s="1"/>
  <c r="V56" i="72"/>
  <c r="Z55" i="73"/>
  <c r="Z165" i="73" s="1"/>
  <c r="V70" i="72"/>
  <c r="Z69" i="73"/>
  <c r="Z179" i="73"/>
  <c r="U9" i="72"/>
  <c r="Y8" i="73"/>
  <c r="Y118" i="73" s="1"/>
  <c r="U16" i="72"/>
  <c r="Y15" i="73"/>
  <c r="Y125" i="73" s="1"/>
  <c r="U23" i="72"/>
  <c r="Y22" i="73"/>
  <c r="Y132" i="73" s="1"/>
  <c r="U29" i="72"/>
  <c r="Y28" i="73"/>
  <c r="Y138" i="73" s="1"/>
  <c r="T35" i="72"/>
  <c r="X34" i="73"/>
  <c r="X144" i="73" s="1"/>
  <c r="W47" i="72"/>
  <c r="AA46" i="73"/>
  <c r="AA156" i="73" s="1"/>
  <c r="W51" i="72"/>
  <c r="AA50" i="73"/>
  <c r="AA160" i="73" s="1"/>
  <c r="W69" i="72"/>
  <c r="AA178" i="73"/>
  <c r="AA68" i="73"/>
  <c r="V9" i="72"/>
  <c r="Z8" i="73"/>
  <c r="Z118" i="73" s="1"/>
  <c r="V14" i="72"/>
  <c r="Z13" i="73"/>
  <c r="Z123" i="73" s="1"/>
  <c r="V19" i="72"/>
  <c r="Z18" i="73"/>
  <c r="Z128" i="73" s="1"/>
  <c r="V25" i="72"/>
  <c r="Z24" i="73"/>
  <c r="Z134" i="73" s="1"/>
  <c r="V29" i="72"/>
  <c r="Z28" i="73"/>
  <c r="Z138" i="73" s="1"/>
  <c r="V32" i="72"/>
  <c r="Z31" i="73"/>
  <c r="Z141" i="73" s="1"/>
  <c r="U35" i="72"/>
  <c r="Y34" i="73"/>
  <c r="Y144" i="73" s="1"/>
  <c r="W15" i="72"/>
  <c r="AA14" i="73"/>
  <c r="AA124" i="73" s="1"/>
  <c r="W19" i="72"/>
  <c r="AA18" i="73"/>
  <c r="AA128" i="73" s="1"/>
  <c r="W24" i="72"/>
  <c r="AA23" i="73"/>
  <c r="AA133" i="73" s="1"/>
  <c r="W30" i="72"/>
  <c r="AA29" i="73"/>
  <c r="AA139" i="73" s="1"/>
  <c r="Q36" i="73"/>
  <c r="Q146" i="73" s="1"/>
  <c r="P42" i="73"/>
  <c r="P152" i="73" s="1"/>
  <c r="P45" i="73"/>
  <c r="P155" i="73" s="1"/>
  <c r="P47" i="73"/>
  <c r="P157" i="73" s="1"/>
  <c r="P53" i="73"/>
  <c r="P163" i="73" s="1"/>
  <c r="P166" i="73"/>
  <c r="P56" i="73"/>
  <c r="P170" i="73"/>
  <c r="P60" i="73"/>
  <c r="P176" i="73"/>
  <c r="P66" i="73"/>
  <c r="R38" i="73"/>
  <c r="R148" i="73" s="1"/>
  <c r="Q42" i="73"/>
  <c r="Q152" i="73" s="1"/>
  <c r="Q46" i="73"/>
  <c r="Q156" i="73" s="1"/>
  <c r="Q47" i="73"/>
  <c r="Q157" i="73" s="1"/>
  <c r="Q52" i="73"/>
  <c r="Q162" i="73" s="1"/>
  <c r="Q166" i="73"/>
  <c r="Q56" i="73"/>
  <c r="Q69" i="73"/>
  <c r="Q179" i="73"/>
  <c r="P9" i="73"/>
  <c r="P119" i="73" s="1"/>
  <c r="P11" i="73"/>
  <c r="P121" i="73" s="1"/>
  <c r="P15" i="73"/>
  <c r="P125" i="73" s="1"/>
  <c r="P16" i="73"/>
  <c r="P126" i="73" s="1"/>
  <c r="P21" i="73"/>
  <c r="P131" i="73" s="1"/>
  <c r="P24" i="73"/>
  <c r="P134" i="73" s="1"/>
  <c r="P26" i="73"/>
  <c r="P136" i="73" s="1"/>
  <c r="P30" i="73"/>
  <c r="P140" i="73" s="1"/>
  <c r="S39" i="73"/>
  <c r="S149" i="73" s="1"/>
  <c r="R43" i="73"/>
  <c r="R153" i="73" s="1"/>
  <c r="R46" i="73"/>
  <c r="R156" i="73" s="1"/>
  <c r="R49" i="73"/>
  <c r="R159" i="73" s="1"/>
  <c r="R51" i="73"/>
  <c r="R161" i="73" s="1"/>
  <c r="R55" i="73"/>
  <c r="R165" i="73" s="1"/>
  <c r="R60" i="73"/>
  <c r="R170" i="73"/>
  <c r="R65" i="73"/>
  <c r="R175" i="73"/>
  <c r="R176" i="73"/>
  <c r="R66" i="73"/>
  <c r="R178" i="73"/>
  <c r="R68" i="73"/>
  <c r="R69" i="73"/>
  <c r="R179" i="73"/>
  <c r="R180" i="73"/>
  <c r="R70" i="73"/>
  <c r="R181" i="73"/>
  <c r="R71" i="73"/>
  <c r="Q8" i="73"/>
  <c r="Q118" i="73" s="1"/>
  <c r="Q9" i="73"/>
  <c r="Q119" i="73" s="1"/>
  <c r="Q10" i="73"/>
  <c r="Q120" i="73" s="1"/>
  <c r="Q11" i="73"/>
  <c r="Q121" i="73" s="1"/>
  <c r="Q12" i="73"/>
  <c r="Q122" i="73" s="1"/>
  <c r="Q13" i="73"/>
  <c r="Q123" i="73" s="1"/>
  <c r="Q14" i="73"/>
  <c r="Q124" i="73" s="1"/>
  <c r="Q15" i="73"/>
  <c r="Q125" i="73" s="1"/>
  <c r="Q16" i="73"/>
  <c r="Q126" i="73" s="1"/>
  <c r="Q17" i="73"/>
  <c r="Q127" i="73" s="1"/>
  <c r="Q18" i="73"/>
  <c r="Q128" i="73" s="1"/>
  <c r="Q19" i="73"/>
  <c r="Q129" i="73" s="1"/>
  <c r="Q20" i="73"/>
  <c r="Q130" i="73" s="1"/>
  <c r="Q21" i="73"/>
  <c r="Q131" i="73" s="1"/>
  <c r="Q22" i="73"/>
  <c r="Q132" i="73" s="1"/>
  <c r="Q23" i="73"/>
  <c r="Q133" i="73" s="1"/>
  <c r="Q24" i="73"/>
  <c r="Q134" i="73" s="1"/>
  <c r="Q25" i="73"/>
  <c r="Q135" i="73" s="1"/>
  <c r="Q26" i="73"/>
  <c r="Q136" i="73" s="1"/>
  <c r="Q27" i="73"/>
  <c r="Q137" i="73" s="1"/>
  <c r="Q28" i="73"/>
  <c r="Q138" i="73" s="1"/>
  <c r="Q29" i="73"/>
  <c r="Q139" i="73" s="1"/>
  <c r="Q30" i="73"/>
  <c r="Q140" i="73" s="1"/>
  <c r="Q31" i="73"/>
  <c r="Q141" i="73" s="1"/>
  <c r="Q32" i="73"/>
  <c r="Q142" i="73" s="1"/>
  <c r="P33" i="73"/>
  <c r="P143" i="73" s="1"/>
  <c r="P34" i="73"/>
  <c r="P144" i="73" s="1"/>
  <c r="T37" i="72"/>
  <c r="X36" i="73"/>
  <c r="X146" i="73" s="1"/>
  <c r="T38" i="72"/>
  <c r="X37" i="73"/>
  <c r="X147" i="73" s="1"/>
  <c r="T39" i="72"/>
  <c r="X38" i="73"/>
  <c r="X148" i="73" s="1"/>
  <c r="T40" i="72"/>
  <c r="X39" i="73"/>
  <c r="X149" i="73" s="1"/>
  <c r="S41" i="73"/>
  <c r="S151" i="73" s="1"/>
  <c r="S42" i="73"/>
  <c r="S152" i="73" s="1"/>
  <c r="S43" i="73"/>
  <c r="S153" i="73" s="1"/>
  <c r="S44" i="73"/>
  <c r="S45" i="73"/>
  <c r="S155" i="73" s="1"/>
  <c r="S46" i="73"/>
  <c r="S156" i="73" s="1"/>
  <c r="S47" i="73"/>
  <c r="S157" i="73" s="1"/>
  <c r="S48" i="73"/>
  <c r="S158" i="73" s="1"/>
  <c r="S49" i="73"/>
  <c r="S159" i="73" s="1"/>
  <c r="S50" i="73"/>
  <c r="S160" i="73" s="1"/>
  <c r="S51" i="73"/>
  <c r="S161" i="73" s="1"/>
  <c r="S52" i="73"/>
  <c r="S162" i="73" s="1"/>
  <c r="S53" i="73"/>
  <c r="S163" i="73" s="1"/>
  <c r="S54" i="73"/>
  <c r="S164" i="73" s="1"/>
  <c r="S55" i="73"/>
  <c r="S165" i="73" s="1"/>
  <c r="S56" i="73"/>
  <c r="S166" i="73"/>
  <c r="S170" i="73"/>
  <c r="S60" i="73"/>
  <c r="S175" i="73"/>
  <c r="S65" i="73"/>
  <c r="S66" i="73"/>
  <c r="S176" i="73"/>
  <c r="S178" i="73"/>
  <c r="S68" i="73"/>
  <c r="S179" i="73"/>
  <c r="S69" i="73"/>
  <c r="S180" i="73"/>
  <c r="S70" i="73"/>
  <c r="S181" i="73"/>
  <c r="S71" i="73"/>
  <c r="W310" i="72"/>
  <c r="AA373" i="73"/>
  <c r="W313" i="72"/>
  <c r="AA376" i="73"/>
  <c r="W316" i="72"/>
  <c r="AA379" i="73"/>
  <c r="W326" i="72"/>
  <c r="AA389" i="73"/>
  <c r="W332" i="72"/>
  <c r="AA395" i="73"/>
  <c r="W336" i="72"/>
  <c r="AA399" i="73"/>
  <c r="T11" i="72"/>
  <c r="X10" i="73"/>
  <c r="X120" i="73" s="1"/>
  <c r="T16" i="72"/>
  <c r="X15" i="73"/>
  <c r="X125" i="73" s="1"/>
  <c r="T21" i="72"/>
  <c r="X20" i="73"/>
  <c r="X130" i="73" s="1"/>
  <c r="T29" i="72"/>
  <c r="X28" i="73"/>
  <c r="X138" i="73" s="1"/>
  <c r="W37" i="72"/>
  <c r="AA36" i="73"/>
  <c r="AA146" i="73" s="1"/>
  <c r="V41" i="72"/>
  <c r="Z40" i="73"/>
  <c r="Z150" i="73" s="1"/>
  <c r="V48" i="72"/>
  <c r="Z47" i="73"/>
  <c r="Z157" i="73" s="1"/>
  <c r="V53" i="72"/>
  <c r="Z52" i="73"/>
  <c r="Z162" i="73" s="1"/>
  <c r="V69" i="72"/>
  <c r="Z68" i="73"/>
  <c r="Z178" i="73"/>
  <c r="V73" i="72"/>
  <c r="Z181" i="73"/>
  <c r="Z71" i="73"/>
  <c r="V238" i="73"/>
  <c r="V283" i="73" s="1"/>
  <c r="R238" i="73"/>
  <c r="R283" i="73" s="1"/>
  <c r="V239" i="73"/>
  <c r="V284" i="73" s="1"/>
  <c r="R239" i="73"/>
  <c r="R284" i="73" s="1"/>
  <c r="R240" i="73"/>
  <c r="R285" i="73" s="1"/>
  <c r="V240" i="73"/>
  <c r="V285" i="73" s="1"/>
  <c r="R241" i="73"/>
  <c r="R286" i="73" s="1"/>
  <c r="V241" i="73"/>
  <c r="V286" i="73" s="1"/>
  <c r="V242" i="73"/>
  <c r="V287" i="73" s="1"/>
  <c r="R242" i="73"/>
  <c r="R287" i="73" s="1"/>
  <c r="V243" i="73"/>
  <c r="V288" i="73" s="1"/>
  <c r="R243" i="73"/>
  <c r="R288" i="73" s="1"/>
  <c r="U12" i="72"/>
  <c r="Y11" i="73"/>
  <c r="Y121" i="73" s="1"/>
  <c r="U21" i="72"/>
  <c r="Y20" i="73"/>
  <c r="Y130" i="73" s="1"/>
  <c r="U25" i="72"/>
  <c r="Y24" i="73"/>
  <c r="Y134" i="73" s="1"/>
  <c r="U30" i="72"/>
  <c r="Y29" i="73"/>
  <c r="Y139" i="73" s="1"/>
  <c r="W43" i="72"/>
  <c r="AA42" i="73"/>
  <c r="AA152" i="73" s="1"/>
  <c r="W49" i="72"/>
  <c r="AA48" i="73"/>
  <c r="AA158" i="73" s="1"/>
  <c r="W54" i="72"/>
  <c r="AA53" i="73"/>
  <c r="AA163" i="73" s="1"/>
  <c r="W70" i="72"/>
  <c r="AA179" i="73"/>
  <c r="AA69" i="73"/>
  <c r="W238" i="73"/>
  <c r="W283" i="73" s="1"/>
  <c r="S238" i="73"/>
  <c r="S283" i="73" s="1"/>
  <c r="S239" i="73"/>
  <c r="S284" i="73" s="1"/>
  <c r="W239" i="73"/>
  <c r="W284" i="73" s="1"/>
  <c r="W240" i="73"/>
  <c r="W285" i="73" s="1"/>
  <c r="S240" i="73"/>
  <c r="S285" i="73" s="1"/>
  <c r="W241" i="73"/>
  <c r="W286" i="73" s="1"/>
  <c r="S241" i="73"/>
  <c r="S286" i="73" s="1"/>
  <c r="S242" i="73"/>
  <c r="S287" i="73" s="1"/>
  <c r="W242" i="73"/>
  <c r="W287" i="73" s="1"/>
  <c r="S243" i="73"/>
  <c r="S288" i="73" s="1"/>
  <c r="W243" i="73"/>
  <c r="W288" i="73" s="1"/>
  <c r="V10" i="72"/>
  <c r="Z9" i="73"/>
  <c r="Z119" i="73" s="1"/>
  <c r="V13" i="72"/>
  <c r="Z12" i="73"/>
  <c r="Z122" i="73" s="1"/>
  <c r="V17" i="72"/>
  <c r="Z16" i="73"/>
  <c r="Z126" i="73" s="1"/>
  <c r="V20" i="72"/>
  <c r="Z19" i="73"/>
  <c r="Z129" i="73" s="1"/>
  <c r="V27" i="72"/>
  <c r="Z26" i="73"/>
  <c r="Z136" i="73" s="1"/>
  <c r="W12" i="72"/>
  <c r="AA11" i="73"/>
  <c r="AA121" i="73" s="1"/>
  <c r="W17" i="72"/>
  <c r="AA16" i="73"/>
  <c r="AA126" i="73" s="1"/>
  <c r="W21" i="72"/>
  <c r="AA20" i="73"/>
  <c r="AA130" i="73" s="1"/>
  <c r="W28" i="72"/>
  <c r="AA27" i="73"/>
  <c r="AA137" i="73" s="1"/>
  <c r="W31" i="72"/>
  <c r="AA30" i="73"/>
  <c r="AA140" i="73" s="1"/>
  <c r="Z322" i="73"/>
  <c r="R322" i="73"/>
  <c r="V322" i="73"/>
  <c r="Q38" i="73"/>
  <c r="Q148" i="73" s="1"/>
  <c r="P41" i="73"/>
  <c r="P151" i="73" s="1"/>
  <c r="P46" i="73"/>
  <c r="P156" i="73" s="1"/>
  <c r="P49" i="73"/>
  <c r="P159" i="73" s="1"/>
  <c r="P54" i="73"/>
  <c r="P164" i="73" s="1"/>
  <c r="P179" i="73"/>
  <c r="P69" i="73"/>
  <c r="P71" i="73"/>
  <c r="P181" i="73"/>
  <c r="R39" i="73"/>
  <c r="R149" i="73" s="1"/>
  <c r="Q43" i="73"/>
  <c r="Q153" i="73" s="1"/>
  <c r="Q44" i="73"/>
  <c r="Q48" i="73"/>
  <c r="Q158" i="73" s="1"/>
  <c r="Q51" i="73"/>
  <c r="Q161" i="73" s="1"/>
  <c r="Q55" i="73"/>
  <c r="Q165" i="73" s="1"/>
  <c r="Q68" i="73"/>
  <c r="Q178" i="73"/>
  <c r="Q181" i="73"/>
  <c r="Q71" i="73"/>
  <c r="P10" i="73"/>
  <c r="P120" i="73" s="1"/>
  <c r="P13" i="73"/>
  <c r="P123" i="73" s="1"/>
  <c r="P18" i="73"/>
  <c r="P128" i="73" s="1"/>
  <c r="P22" i="73"/>
  <c r="P132" i="73" s="1"/>
  <c r="P25" i="73"/>
  <c r="P135" i="73" s="1"/>
  <c r="P29" i="73"/>
  <c r="P139" i="73" s="1"/>
  <c r="P32" i="73"/>
  <c r="P142" i="73" s="1"/>
  <c r="S37" i="73"/>
  <c r="S147" i="73" s="1"/>
  <c r="R41" i="73"/>
  <c r="R151" i="73" s="1"/>
  <c r="R44" i="73"/>
  <c r="R47" i="73"/>
  <c r="R157" i="73" s="1"/>
  <c r="R52" i="73"/>
  <c r="R162" i="73" s="1"/>
  <c r="R56" i="73"/>
  <c r="R166" i="73"/>
  <c r="R9" i="73"/>
  <c r="R119" i="73" s="1"/>
  <c r="R11" i="73"/>
  <c r="R121" i="73" s="1"/>
  <c r="R14" i="73"/>
  <c r="R124" i="73" s="1"/>
  <c r="R16" i="73"/>
  <c r="R126" i="73" s="1"/>
  <c r="R18" i="73"/>
  <c r="R128" i="73" s="1"/>
  <c r="R20" i="73"/>
  <c r="R130" i="73" s="1"/>
  <c r="R22" i="73"/>
  <c r="R132" i="73" s="1"/>
  <c r="R24" i="73"/>
  <c r="R134" i="73" s="1"/>
  <c r="R26" i="73"/>
  <c r="R136" i="73" s="1"/>
  <c r="R28" i="73"/>
  <c r="R138" i="73" s="1"/>
  <c r="R30" i="73"/>
  <c r="R140" i="73" s="1"/>
  <c r="R32" i="73"/>
  <c r="R142" i="73" s="1"/>
  <c r="Q33" i="73"/>
  <c r="Q143" i="73" s="1"/>
  <c r="U37" i="72"/>
  <c r="Y36" i="73"/>
  <c r="Y146" i="73" s="1"/>
  <c r="U39" i="72"/>
  <c r="Y38" i="73"/>
  <c r="Y148" i="73" s="1"/>
  <c r="U40" i="72"/>
  <c r="Y39" i="73"/>
  <c r="Y149" i="73" s="1"/>
  <c r="T42" i="72"/>
  <c r="X41" i="73"/>
  <c r="X151" i="73" s="1"/>
  <c r="T43" i="72"/>
  <c r="X42" i="73"/>
  <c r="X152" i="73" s="1"/>
  <c r="T45" i="72"/>
  <c r="X44" i="73"/>
  <c r="T47" i="72"/>
  <c r="X46" i="73"/>
  <c r="X156" i="73" s="1"/>
  <c r="T49" i="72"/>
  <c r="X48" i="73"/>
  <c r="X158" i="73" s="1"/>
  <c r="T51" i="72"/>
  <c r="X50" i="73"/>
  <c r="X160" i="73" s="1"/>
  <c r="T53" i="72"/>
  <c r="X52" i="73"/>
  <c r="X162" i="73" s="1"/>
  <c r="T55" i="72"/>
  <c r="X54" i="73"/>
  <c r="X164" i="73" s="1"/>
  <c r="X166" i="73"/>
  <c r="X56" i="73"/>
  <c r="T61" i="72"/>
  <c r="X60" i="73"/>
  <c r="X170" i="73"/>
  <c r="T67" i="72"/>
  <c r="X66" i="73"/>
  <c r="X176" i="73"/>
  <c r="T69" i="72"/>
  <c r="X68" i="73"/>
  <c r="X178" i="73"/>
  <c r="T71" i="72"/>
  <c r="X70" i="73"/>
  <c r="X180" i="73"/>
  <c r="T73" i="72"/>
  <c r="X181" i="73"/>
  <c r="X71" i="73"/>
  <c r="T306" i="72"/>
  <c r="X369" i="73"/>
  <c r="T312" i="72"/>
  <c r="X375" i="73"/>
  <c r="T315" i="72"/>
  <c r="X378" i="73"/>
  <c r="T324" i="72"/>
  <c r="X387" i="73"/>
  <c r="T330" i="72"/>
  <c r="X393" i="73"/>
  <c r="T335" i="72"/>
  <c r="X398" i="73"/>
  <c r="T22" i="72"/>
  <c r="X21" i="73"/>
  <c r="X131" i="73" s="1"/>
  <c r="V49" i="72"/>
  <c r="Z48" i="73"/>
  <c r="Z158" i="73" s="1"/>
  <c r="U27" i="72"/>
  <c r="Y26" i="73"/>
  <c r="Y136" i="73" s="1"/>
  <c r="V11" i="72"/>
  <c r="Z10" i="73"/>
  <c r="Z120" i="73" s="1"/>
  <c r="V16" i="72"/>
  <c r="Z15" i="73"/>
  <c r="Z125" i="73" s="1"/>
  <c r="V21" i="72"/>
  <c r="Z20" i="73"/>
  <c r="Z130" i="73" s="1"/>
  <c r="V28" i="72"/>
  <c r="Z27" i="73"/>
  <c r="Z137" i="73" s="1"/>
  <c r="W9" i="72"/>
  <c r="AA8" i="73"/>
  <c r="AA118" i="73" s="1"/>
  <c r="W14" i="72"/>
  <c r="AA13" i="73"/>
  <c r="AA123" i="73" s="1"/>
  <c r="W20" i="72"/>
  <c r="AA19" i="73"/>
  <c r="AA129" i="73" s="1"/>
  <c r="W25" i="72"/>
  <c r="AA24" i="73"/>
  <c r="AA134" i="73" s="1"/>
  <c r="W29" i="72"/>
  <c r="AA28" i="73"/>
  <c r="AA138" i="73" s="1"/>
  <c r="V33" i="72"/>
  <c r="Z32" i="73"/>
  <c r="Z142" i="73" s="1"/>
  <c r="Q37" i="73"/>
  <c r="Q147" i="73" s="1"/>
  <c r="Q40" i="73"/>
  <c r="Q150" i="73" s="1"/>
  <c r="P44" i="73"/>
  <c r="P48" i="73"/>
  <c r="P158" i="73" s="1"/>
  <c r="P52" i="73"/>
  <c r="P162" i="73" s="1"/>
  <c r="P55" i="73"/>
  <c r="P165" i="73" s="1"/>
  <c r="P68" i="73"/>
  <c r="P178" i="73"/>
  <c r="R37" i="73"/>
  <c r="R147" i="73" s="1"/>
  <c r="Q41" i="73"/>
  <c r="Q151" i="73" s="1"/>
  <c r="Q45" i="73"/>
  <c r="Q155" i="73" s="1"/>
  <c r="Q50" i="73"/>
  <c r="Q160" i="73" s="1"/>
  <c r="Q54" i="73"/>
  <c r="Q164" i="73" s="1"/>
  <c r="Q60" i="73"/>
  <c r="Q170" i="73"/>
  <c r="Q65" i="73"/>
  <c r="Q175" i="73"/>
  <c r="Q70" i="73"/>
  <c r="Q180" i="73"/>
  <c r="P8" i="73"/>
  <c r="P118" i="73" s="1"/>
  <c r="P12" i="73"/>
  <c r="P122" i="73" s="1"/>
  <c r="P14" i="73"/>
  <c r="P124" i="73" s="1"/>
  <c r="P17" i="73"/>
  <c r="P127" i="73" s="1"/>
  <c r="P20" i="73"/>
  <c r="P130" i="73" s="1"/>
  <c r="P23" i="73"/>
  <c r="P133" i="73" s="1"/>
  <c r="P28" i="73"/>
  <c r="P138" i="73" s="1"/>
  <c r="P31" i="73"/>
  <c r="P141" i="73" s="1"/>
  <c r="S36" i="73"/>
  <c r="S146" i="73" s="1"/>
  <c r="S38" i="73"/>
  <c r="S148" i="73" s="1"/>
  <c r="R42" i="73"/>
  <c r="R152" i="73" s="1"/>
  <c r="R45" i="73"/>
  <c r="R155" i="73" s="1"/>
  <c r="R48" i="73"/>
  <c r="R158" i="73" s="1"/>
  <c r="R50" i="73"/>
  <c r="R160" i="73" s="1"/>
  <c r="R54" i="73"/>
  <c r="R164" i="73" s="1"/>
  <c r="R8" i="73"/>
  <c r="R118" i="73" s="1"/>
  <c r="R10" i="73"/>
  <c r="R120" i="73" s="1"/>
  <c r="R12" i="73"/>
  <c r="R122" i="73" s="1"/>
  <c r="R13" i="73"/>
  <c r="R123" i="73" s="1"/>
  <c r="R15" i="73"/>
  <c r="R125" i="73" s="1"/>
  <c r="R17" i="73"/>
  <c r="R127" i="73" s="1"/>
  <c r="R19" i="73"/>
  <c r="R129" i="73" s="1"/>
  <c r="R21" i="73"/>
  <c r="R131" i="73" s="1"/>
  <c r="R23" i="73"/>
  <c r="R133" i="73" s="1"/>
  <c r="R25" i="73"/>
  <c r="R135" i="73" s="1"/>
  <c r="R27" i="73"/>
  <c r="R137" i="73" s="1"/>
  <c r="R29" i="73"/>
  <c r="R139" i="73" s="1"/>
  <c r="R31" i="73"/>
  <c r="R141" i="73" s="1"/>
  <c r="Q34" i="73"/>
  <c r="Q144" i="73" s="1"/>
  <c r="U38" i="72"/>
  <c r="Y37" i="73"/>
  <c r="Y147" i="73" s="1"/>
  <c r="X40" i="73"/>
  <c r="X150" i="73" s="1"/>
  <c r="T44" i="72"/>
  <c r="X43" i="73"/>
  <c r="X153" i="73" s="1"/>
  <c r="T46" i="72"/>
  <c r="X45" i="73"/>
  <c r="X155" i="73" s="1"/>
  <c r="T48" i="72"/>
  <c r="X47" i="73"/>
  <c r="X157" i="73" s="1"/>
  <c r="T50" i="72"/>
  <c r="X49" i="73"/>
  <c r="X159" i="73" s="1"/>
  <c r="T52" i="72"/>
  <c r="X51" i="73"/>
  <c r="X161" i="73" s="1"/>
  <c r="T54" i="72"/>
  <c r="X53" i="73"/>
  <c r="X163" i="73" s="1"/>
  <c r="T56" i="72"/>
  <c r="X55" i="73"/>
  <c r="X165" i="73" s="1"/>
  <c r="T66" i="72"/>
  <c r="X175" i="73"/>
  <c r="X65" i="73"/>
  <c r="T70" i="72"/>
  <c r="X179" i="73"/>
  <c r="X69" i="73"/>
  <c r="T238" i="73"/>
  <c r="T283" i="73" s="1"/>
  <c r="P238" i="73"/>
  <c r="P283" i="73" s="1"/>
  <c r="T239" i="73"/>
  <c r="T284" i="73" s="1"/>
  <c r="P239" i="73"/>
  <c r="P284" i="73" s="1"/>
  <c r="P240" i="73"/>
  <c r="P285" i="73" s="1"/>
  <c r="T240" i="73"/>
  <c r="T285" i="73" s="1"/>
  <c r="T241" i="73"/>
  <c r="T286" i="73" s="1"/>
  <c r="P241" i="73"/>
  <c r="P286" i="73" s="1"/>
  <c r="P242" i="73"/>
  <c r="P287" i="73" s="1"/>
  <c r="T242" i="73"/>
  <c r="T287" i="73" s="1"/>
  <c r="P243" i="73"/>
  <c r="P288" i="73" s="1"/>
  <c r="T243" i="73"/>
  <c r="T288" i="73" s="1"/>
  <c r="S8" i="73"/>
  <c r="S118" i="73" s="1"/>
  <c r="S9" i="73"/>
  <c r="S119" i="73" s="1"/>
  <c r="S10" i="73"/>
  <c r="S120" i="73" s="1"/>
  <c r="S11" i="73"/>
  <c r="S121" i="73" s="1"/>
  <c r="S12" i="73"/>
  <c r="S122" i="73" s="1"/>
  <c r="S13" i="73"/>
  <c r="S123" i="73" s="1"/>
  <c r="S14" i="73"/>
  <c r="S124" i="73" s="1"/>
  <c r="S15" i="73"/>
  <c r="S125" i="73" s="1"/>
  <c r="S16" i="73"/>
  <c r="S126" i="73" s="1"/>
  <c r="S17" i="73"/>
  <c r="S127" i="73" s="1"/>
  <c r="S18" i="73"/>
  <c r="S128" i="73" s="1"/>
  <c r="S19" i="73"/>
  <c r="S129" i="73" s="1"/>
  <c r="S20" i="73"/>
  <c r="S130" i="73" s="1"/>
  <c r="S21" i="73"/>
  <c r="S131" i="73" s="1"/>
  <c r="S22" i="73"/>
  <c r="S132" i="73" s="1"/>
  <c r="S23" i="73"/>
  <c r="S133" i="73" s="1"/>
  <c r="S24" i="73"/>
  <c r="S134" i="73" s="1"/>
  <c r="S25" i="73"/>
  <c r="S135" i="73" s="1"/>
  <c r="S26" i="73"/>
  <c r="S136" i="73" s="1"/>
  <c r="S27" i="73"/>
  <c r="S137" i="73" s="1"/>
  <c r="S28" i="73"/>
  <c r="S138" i="73" s="1"/>
  <c r="S29" i="73"/>
  <c r="S139" i="73" s="1"/>
  <c r="S30" i="73"/>
  <c r="S140" i="73" s="1"/>
  <c r="S31" i="73"/>
  <c r="S141" i="73" s="1"/>
  <c r="S32" i="73"/>
  <c r="S142" i="73" s="1"/>
  <c r="R33" i="73"/>
  <c r="R143" i="73" s="1"/>
  <c r="R34" i="73"/>
  <c r="R144" i="73" s="1"/>
  <c r="V37" i="72"/>
  <c r="Z36" i="73"/>
  <c r="Z146" i="73" s="1"/>
  <c r="V38" i="72"/>
  <c r="Z37" i="73"/>
  <c r="Z147" i="73" s="1"/>
  <c r="V39" i="72"/>
  <c r="Z38" i="73"/>
  <c r="Z148" i="73" s="1"/>
  <c r="V40" i="72"/>
  <c r="Z39" i="73"/>
  <c r="Z149" i="73" s="1"/>
  <c r="U41" i="72"/>
  <c r="Y40" i="73"/>
  <c r="Y150" i="73" s="1"/>
  <c r="U42" i="72"/>
  <c r="Y41" i="73"/>
  <c r="Y151" i="73" s="1"/>
  <c r="U43" i="72"/>
  <c r="Y42" i="73"/>
  <c r="Y152" i="73" s="1"/>
  <c r="U44" i="72"/>
  <c r="Y43" i="73"/>
  <c r="Y153" i="73" s="1"/>
  <c r="U45" i="72"/>
  <c r="Y44" i="73"/>
  <c r="U46" i="72"/>
  <c r="Y45" i="73"/>
  <c r="Y155" i="73" s="1"/>
  <c r="U47" i="72"/>
  <c r="Y46" i="73"/>
  <c r="Y156" i="73" s="1"/>
  <c r="U48" i="72"/>
  <c r="Y47" i="73"/>
  <c r="Y157" i="73" s="1"/>
  <c r="U49" i="72"/>
  <c r="Y48" i="73"/>
  <c r="Y158" i="73" s="1"/>
  <c r="U50" i="72"/>
  <c r="Y49" i="73"/>
  <c r="Y159" i="73" s="1"/>
  <c r="U51" i="72"/>
  <c r="Y50" i="73"/>
  <c r="Y160" i="73" s="1"/>
  <c r="U52" i="72"/>
  <c r="Y51" i="73"/>
  <c r="Y161" i="73" s="1"/>
  <c r="U53" i="72"/>
  <c r="Y52" i="73"/>
  <c r="Y162" i="73" s="1"/>
  <c r="U54" i="72"/>
  <c r="Y53" i="73"/>
  <c r="Y163" i="73" s="1"/>
  <c r="U55" i="72"/>
  <c r="Y54" i="73"/>
  <c r="Y164" i="73" s="1"/>
  <c r="U56" i="72"/>
  <c r="Y55" i="73"/>
  <c r="Y165" i="73" s="1"/>
  <c r="U57" i="72"/>
  <c r="Y166" i="73"/>
  <c r="Y56" i="73"/>
  <c r="U61" i="72"/>
  <c r="Y60" i="73"/>
  <c r="Y170" i="73"/>
  <c r="U66" i="72"/>
  <c r="Y65" i="73"/>
  <c r="Y175" i="73"/>
  <c r="U67" i="72"/>
  <c r="Y176" i="73"/>
  <c r="Y66" i="73"/>
  <c r="U69" i="72"/>
  <c r="Y178" i="73"/>
  <c r="Y68" i="73"/>
  <c r="U70" i="72"/>
  <c r="Y69" i="73"/>
  <c r="Y179" i="73"/>
  <c r="U71" i="72"/>
  <c r="Y180" i="73"/>
  <c r="Y70" i="73"/>
  <c r="U73" i="72"/>
  <c r="Y181" i="73"/>
  <c r="Y71" i="73"/>
  <c r="U238" i="73"/>
  <c r="U283" i="73" s="1"/>
  <c r="Q238" i="73"/>
  <c r="Q283" i="73" s="1"/>
  <c r="Q239" i="73"/>
  <c r="Q284" i="73" s="1"/>
  <c r="U239" i="73"/>
  <c r="U284" i="73" s="1"/>
  <c r="U240" i="73"/>
  <c r="U285" i="73" s="1"/>
  <c r="Q240" i="73"/>
  <c r="Q285" i="73" s="1"/>
  <c r="U241" i="73"/>
  <c r="U286" i="73" s="1"/>
  <c r="Q241" i="73"/>
  <c r="Q286" i="73" s="1"/>
  <c r="Q242" i="73"/>
  <c r="Q287" i="73" s="1"/>
  <c r="U242" i="73"/>
  <c r="U287" i="73" s="1"/>
  <c r="Q243" i="73"/>
  <c r="Q288" i="73" s="1"/>
  <c r="U243" i="73"/>
  <c r="U288" i="73" s="1"/>
  <c r="U306" i="72"/>
  <c r="Y369" i="73"/>
  <c r="U312" i="72"/>
  <c r="Y375" i="73"/>
  <c r="U315" i="72"/>
  <c r="Y378" i="73"/>
  <c r="U324" i="72"/>
  <c r="Y387" i="73"/>
  <c r="U330" i="72"/>
  <c r="Y393" i="73"/>
  <c r="U335" i="72"/>
  <c r="Y398" i="73"/>
  <c r="O121" i="72"/>
  <c r="O118" i="72"/>
  <c r="M172" i="72"/>
  <c r="O296" i="72"/>
  <c r="M179" i="72"/>
  <c r="M136" i="72"/>
  <c r="M243" i="73" s="1"/>
  <c r="M288" i="73" s="1"/>
  <c r="O288" i="72"/>
  <c r="N147" i="72"/>
  <c r="N148" i="72"/>
  <c r="L283" i="72"/>
  <c r="N276" i="72"/>
  <c r="L405" i="72"/>
  <c r="L149" i="72"/>
  <c r="L150" i="72"/>
  <c r="L174" i="72"/>
  <c r="L215" i="72"/>
  <c r="M403" i="72"/>
  <c r="M405" i="72"/>
  <c r="N85" i="72"/>
  <c r="M149" i="72"/>
  <c r="M150" i="72"/>
  <c r="M201" i="72"/>
  <c r="N399" i="72"/>
  <c r="N402" i="72"/>
  <c r="O396" i="72"/>
  <c r="L154" i="72"/>
  <c r="L211" i="72"/>
  <c r="O147" i="72"/>
  <c r="N152" i="72"/>
  <c r="N154" i="72"/>
  <c r="N302" i="72"/>
  <c r="M400" i="72"/>
  <c r="M89" i="72"/>
  <c r="M119" i="72"/>
  <c r="M122" i="72"/>
  <c r="O152" i="72"/>
  <c r="M197" i="72"/>
  <c r="L289" i="72"/>
  <c r="L301" i="72"/>
  <c r="L307" i="72"/>
  <c r="O400" i="72"/>
  <c r="O87" i="72"/>
  <c r="M214" i="72"/>
  <c r="L268" i="72"/>
  <c r="O275" i="72"/>
  <c r="L281" i="72"/>
  <c r="L293" i="72"/>
  <c r="O298" i="72"/>
  <c r="N398" i="72"/>
  <c r="N404" i="72"/>
  <c r="N90" i="72"/>
  <c r="M145" i="72"/>
  <c r="N78" i="72"/>
  <c r="O86" i="72"/>
  <c r="O90" i="72"/>
  <c r="N146" i="72"/>
  <c r="L138" i="72"/>
  <c r="L147" i="72"/>
  <c r="N198" i="72"/>
  <c r="L302" i="72"/>
  <c r="L305" i="72"/>
  <c r="L308" i="72"/>
  <c r="O65" i="72"/>
  <c r="M137" i="72"/>
  <c r="M141" i="72"/>
  <c r="L157" i="72"/>
  <c r="N290" i="72"/>
  <c r="N294" i="72"/>
  <c r="M305" i="72"/>
  <c r="L398" i="72"/>
  <c r="N79" i="72"/>
  <c r="M402" i="72"/>
  <c r="M303" i="72"/>
  <c r="L191" i="72"/>
  <c r="M277" i="72"/>
  <c r="O79" i="72"/>
  <c r="N84" i="72"/>
  <c r="L144" i="72"/>
  <c r="N271" i="72"/>
  <c r="N274" i="72"/>
  <c r="N197" i="72"/>
  <c r="M36" i="72"/>
  <c r="N36" i="72"/>
  <c r="O36" i="72"/>
  <c r="N81" i="72"/>
  <c r="M82" i="72"/>
  <c r="L83" i="72"/>
  <c r="N141" i="72"/>
  <c r="M283" i="72"/>
  <c r="M84" i="72"/>
  <c r="M143" i="72"/>
  <c r="O271" i="72"/>
  <c r="N82" i="72"/>
  <c r="L126" i="72"/>
  <c r="L233" i="73" s="1"/>
  <c r="L278" i="73" s="1"/>
  <c r="O136" i="72"/>
  <c r="O243" i="73" s="1"/>
  <c r="O288" i="73" s="1"/>
  <c r="O137" i="72"/>
  <c r="O140" i="72"/>
  <c r="O142" i="72"/>
  <c r="L192" i="72"/>
  <c r="O261" i="72"/>
  <c r="M290" i="72"/>
  <c r="M190" i="72"/>
  <c r="L259" i="72"/>
  <c r="N273" i="72"/>
  <c r="M299" i="72"/>
  <c r="N183" i="72"/>
  <c r="L195" i="72"/>
  <c r="O279" i="72"/>
  <c r="N173" i="72"/>
  <c r="L183" i="72"/>
  <c r="M75" i="72"/>
  <c r="N118" i="72"/>
  <c r="N121" i="72"/>
  <c r="M183" i="72"/>
  <c r="N200" i="72"/>
  <c r="M199" i="72"/>
  <c r="O197" i="72"/>
  <c r="N216" i="72"/>
  <c r="L286" i="72"/>
  <c r="O403" i="72"/>
  <c r="N143" i="72"/>
  <c r="N190" i="72"/>
  <c r="L213" i="72"/>
  <c r="M270" i="72"/>
  <c r="N284" i="72"/>
  <c r="O292" i="72"/>
  <c r="L296" i="72"/>
  <c r="O307" i="72"/>
  <c r="O405" i="72"/>
  <c r="N213" i="72"/>
  <c r="N288" i="72"/>
  <c r="N296" i="72"/>
  <c r="N59" i="72"/>
  <c r="N65" i="72"/>
  <c r="L131" i="72"/>
  <c r="L238" i="73" s="1"/>
  <c r="L283" i="73" s="1"/>
  <c r="L132" i="72"/>
  <c r="L239" i="73" s="1"/>
  <c r="L284" i="73" s="1"/>
  <c r="L135" i="72"/>
  <c r="L242" i="73" s="1"/>
  <c r="L287" i="73" s="1"/>
  <c r="O143" i="72"/>
  <c r="L217" i="72"/>
  <c r="M126" i="72"/>
  <c r="M233" i="73" s="1"/>
  <c r="M278" i="73" s="1"/>
  <c r="M131" i="72"/>
  <c r="M238" i="73" s="1"/>
  <c r="M283" i="73" s="1"/>
  <c r="L156" i="72"/>
  <c r="N125" i="72"/>
  <c r="N232" i="73" s="1"/>
  <c r="N277" i="73" s="1"/>
  <c r="N126" i="72"/>
  <c r="N233" i="73" s="1"/>
  <c r="N278" i="73" s="1"/>
  <c r="M155" i="72"/>
  <c r="M156" i="72"/>
  <c r="O172" i="72"/>
  <c r="N174" i="72"/>
  <c r="N195" i="72"/>
  <c r="L207" i="72"/>
  <c r="L271" i="72"/>
  <c r="O187" i="72"/>
  <c r="O190" i="72"/>
  <c r="O203" i="72"/>
  <c r="O59" i="72"/>
  <c r="M72" i="72"/>
  <c r="O81" i="72"/>
  <c r="O124" i="72"/>
  <c r="O231" i="73" s="1"/>
  <c r="O276" i="73" s="1"/>
  <c r="O125" i="72"/>
  <c r="O232" i="73" s="1"/>
  <c r="O277" i="73" s="1"/>
  <c r="O130" i="72"/>
  <c r="O131" i="72"/>
  <c r="O238" i="73" s="1"/>
  <c r="O283" i="73" s="1"/>
  <c r="O148" i="72"/>
  <c r="O209" i="72"/>
  <c r="N267" i="72"/>
  <c r="L182" i="72"/>
  <c r="L119" i="72"/>
  <c r="L121" i="72"/>
  <c r="L122" i="72"/>
  <c r="L124" i="72"/>
  <c r="L231" i="73" s="1"/>
  <c r="L276" i="73" s="1"/>
  <c r="L148" i="72"/>
  <c r="O184" i="72"/>
  <c r="O202" i="72"/>
  <c r="O262" i="72"/>
  <c r="O281" i="72"/>
  <c r="M297" i="72"/>
  <c r="L203" i="72"/>
  <c r="M210" i="72"/>
  <c r="L266" i="72"/>
  <c r="M288" i="72"/>
  <c r="N76" i="72"/>
  <c r="N87" i="72"/>
  <c r="N123" i="72"/>
  <c r="M124" i="72"/>
  <c r="M231" i="73" s="1"/>
  <c r="M276" i="73" s="1"/>
  <c r="L125" i="72"/>
  <c r="L232" i="73" s="1"/>
  <c r="L277" i="73" s="1"/>
  <c r="N132" i="72"/>
  <c r="N239" i="73" s="1"/>
  <c r="N284" i="73" s="1"/>
  <c r="N133" i="72"/>
  <c r="N240" i="73" s="1"/>
  <c r="N285" i="73" s="1"/>
  <c r="N135" i="72"/>
  <c r="N242" i="73" s="1"/>
  <c r="N287" i="73" s="1"/>
  <c r="L277" i="72"/>
  <c r="M133" i="72"/>
  <c r="M240" i="73" s="1"/>
  <c r="M285" i="73" s="1"/>
  <c r="M134" i="72"/>
  <c r="M241" i="73" s="1"/>
  <c r="M286" i="73" s="1"/>
  <c r="M135" i="72"/>
  <c r="M242" i="73" s="1"/>
  <c r="M287" i="73" s="1"/>
  <c r="L136" i="72"/>
  <c r="L243" i="73" s="1"/>
  <c r="L288" i="73" s="1"/>
  <c r="O155" i="72"/>
  <c r="L181" i="72"/>
  <c r="M74" i="72"/>
  <c r="O122" i="72"/>
  <c r="O123" i="72"/>
  <c r="N124" i="72"/>
  <c r="N231" i="73" s="1"/>
  <c r="N276" i="73" s="1"/>
  <c r="O135" i="72"/>
  <c r="O242" i="73" s="1"/>
  <c r="O287" i="73" s="1"/>
  <c r="N136" i="72"/>
  <c r="N243" i="73" s="1"/>
  <c r="N288" i="73" s="1"/>
  <c r="L137" i="72"/>
  <c r="M152" i="72"/>
  <c r="N179" i="72"/>
  <c r="M181" i="72"/>
  <c r="N207" i="72"/>
  <c r="N181" i="72"/>
  <c r="L197" i="72"/>
  <c r="O213" i="72"/>
  <c r="L58" i="72"/>
  <c r="O83" i="72"/>
  <c r="M185" i="72"/>
  <c r="O207" i="72"/>
  <c r="O268" i="72"/>
  <c r="L127" i="72"/>
  <c r="L234" i="73" s="1"/>
  <c r="L279" i="73" s="1"/>
  <c r="L129" i="72"/>
  <c r="L236" i="73" s="1"/>
  <c r="L281" i="73" s="1"/>
  <c r="M175" i="72"/>
  <c r="O176" i="72"/>
  <c r="L188" i="72"/>
  <c r="H191" i="72"/>
  <c r="O196" i="72"/>
  <c r="M200" i="72"/>
  <c r="L205" i="72"/>
  <c r="N74" i="72"/>
  <c r="M80" i="72"/>
  <c r="L81" i="72"/>
  <c r="O173" i="72"/>
  <c r="N175" i="72"/>
  <c r="L210" i="72"/>
  <c r="L260" i="72"/>
  <c r="N185" i="72"/>
  <c r="N80" i="72"/>
  <c r="O60" i="72"/>
  <c r="O76" i="72"/>
  <c r="M78" i="72"/>
  <c r="L79" i="72"/>
  <c r="H182" i="72"/>
  <c r="N196" i="72"/>
  <c r="N206" i="72"/>
  <c r="L89" i="72"/>
  <c r="L130" i="72"/>
  <c r="N155" i="72"/>
  <c r="N156" i="72"/>
  <c r="M174" i="72"/>
  <c r="L185" i="72"/>
  <c r="M212" i="72"/>
  <c r="N282" i="72"/>
  <c r="O285" i="72"/>
  <c r="N287" i="72"/>
  <c r="O305" i="72"/>
  <c r="M308" i="72"/>
  <c r="O267" i="72"/>
  <c r="M269" i="72"/>
  <c r="M275" i="72"/>
  <c r="M289" i="72"/>
  <c r="O304" i="72"/>
  <c r="N305" i="72"/>
  <c r="M401" i="72"/>
  <c r="N293" i="72"/>
  <c r="M295" i="72"/>
  <c r="O300" i="72"/>
  <c r="L304" i="72"/>
  <c r="N309" i="72"/>
  <c r="N297" i="72"/>
  <c r="N264" i="72"/>
  <c r="N62" i="72"/>
  <c r="N63" i="72"/>
  <c r="M65" i="72"/>
  <c r="M127" i="72"/>
  <c r="M234" i="73" s="1"/>
  <c r="M279" i="73" s="1"/>
  <c r="M128" i="72"/>
  <c r="M235" i="73" s="1"/>
  <c r="M280" i="73" s="1"/>
  <c r="M140" i="72"/>
  <c r="L146" i="72"/>
  <c r="O149" i="72"/>
  <c r="O150" i="72"/>
  <c r="M178" i="72"/>
  <c r="L180" i="72"/>
  <c r="M191" i="72"/>
  <c r="L193" i="72"/>
  <c r="N194" i="72"/>
  <c r="L204" i="72"/>
  <c r="O211" i="72"/>
  <c r="M259" i="72"/>
  <c r="O264" i="72"/>
  <c r="L278" i="72"/>
  <c r="L280" i="72"/>
  <c r="M286" i="72"/>
  <c r="O299" i="72"/>
  <c r="N307" i="72"/>
  <c r="M279" i="72"/>
  <c r="M180" i="72"/>
  <c r="N199" i="72"/>
  <c r="L265" i="72"/>
  <c r="L284" i="72"/>
  <c r="L262" i="72"/>
  <c r="L292" i="72"/>
  <c r="O62" i="72"/>
  <c r="O64" i="72"/>
  <c r="L77" i="72"/>
  <c r="M85" i="72"/>
  <c r="N138" i="72"/>
  <c r="N139" i="72"/>
  <c r="N145" i="72"/>
  <c r="M146" i="72"/>
  <c r="M148" i="72"/>
  <c r="O182" i="72"/>
  <c r="O188" i="72"/>
  <c r="M193" i="72"/>
  <c r="L209" i="72"/>
  <c r="L263" i="72"/>
  <c r="L75" i="72"/>
  <c r="M83" i="72"/>
  <c r="L87" i="72"/>
  <c r="L88" i="72"/>
  <c r="O126" i="72"/>
  <c r="O233" i="73" s="1"/>
  <c r="O278" i="73" s="1"/>
  <c r="O127" i="72"/>
  <c r="O234" i="73" s="1"/>
  <c r="O279" i="73" s="1"/>
  <c r="O139" i="72"/>
  <c r="M154" i="72"/>
  <c r="O177" i="72"/>
  <c r="O178" i="72"/>
  <c r="O191" i="72"/>
  <c r="N193" i="72"/>
  <c r="O201" i="72"/>
  <c r="N202" i="72"/>
  <c r="O206" i="72"/>
  <c r="O210" i="72"/>
  <c r="L273" i="72"/>
  <c r="O276" i="72"/>
  <c r="M298" i="72"/>
  <c r="N300" i="72"/>
  <c r="N401" i="72"/>
  <c r="N403" i="72"/>
  <c r="N298" i="72"/>
  <c r="M396" i="72"/>
  <c r="O398" i="72"/>
  <c r="O401" i="72"/>
  <c r="M260" i="72"/>
  <c r="L269" i="72"/>
  <c r="M282" i="72"/>
  <c r="O283" i="72"/>
  <c r="O284" i="72"/>
  <c r="N285" i="72"/>
  <c r="M291" i="72"/>
  <c r="O302" i="72"/>
  <c r="L402" i="72"/>
  <c r="M173" i="72"/>
  <c r="H284" i="72"/>
  <c r="H197" i="72"/>
  <c r="O132" i="72"/>
  <c r="O239" i="73" s="1"/>
  <c r="O284" i="73" s="1"/>
  <c r="M58" i="72"/>
  <c r="O78" i="72"/>
  <c r="L118" i="72"/>
  <c r="L151" i="72"/>
  <c r="N153" i="72"/>
  <c r="L155" i="72"/>
  <c r="M187" i="72"/>
  <c r="M76" i="72"/>
  <c r="L60" i="72"/>
  <c r="N129" i="72"/>
  <c r="N236" i="73" s="1"/>
  <c r="N281" i="73" s="1"/>
  <c r="L141" i="72"/>
  <c r="M151" i="72"/>
  <c r="N177" i="72"/>
  <c r="L190" i="72"/>
  <c r="M60" i="72"/>
  <c r="O85" i="72"/>
  <c r="M153" i="72"/>
  <c r="M81" i="72"/>
  <c r="N176" i="72"/>
  <c r="M184" i="72"/>
  <c r="O195" i="72"/>
  <c r="H263" i="72"/>
  <c r="H176" i="72"/>
  <c r="O129" i="72"/>
  <c r="O236" i="73" s="1"/>
  <c r="O281" i="73" s="1"/>
  <c r="M142" i="72"/>
  <c r="O185" i="72"/>
  <c r="O119" i="72"/>
  <c r="N122" i="72"/>
  <c r="L134" i="72"/>
  <c r="L241" i="73" s="1"/>
  <c r="L286" i="73" s="1"/>
  <c r="M216" i="72"/>
  <c r="N217" i="72"/>
  <c r="O263" i="72"/>
  <c r="N275" i="72"/>
  <c r="L285" i="72"/>
  <c r="O287" i="72"/>
  <c r="L279" i="72"/>
  <c r="N291" i="72"/>
  <c r="M296" i="72"/>
  <c r="O301" i="72"/>
  <c r="O199" i="72"/>
  <c r="L294" i="72"/>
  <c r="L194" i="72"/>
  <c r="L206" i="72"/>
  <c r="O208" i="72"/>
  <c r="O215" i="72"/>
  <c r="N218" i="72"/>
  <c r="M261" i="72"/>
  <c r="L272" i="72"/>
  <c r="M278" i="72"/>
  <c r="M281" i="72"/>
  <c r="O286" i="72"/>
  <c r="O309" i="72"/>
  <c r="N58" i="72"/>
  <c r="N60" i="72"/>
  <c r="L63" i="72"/>
  <c r="N75" i="72"/>
  <c r="N83" i="72"/>
  <c r="L85" i="72"/>
  <c r="N88" i="72"/>
  <c r="M118" i="72"/>
  <c r="O141" i="72"/>
  <c r="N172" i="72"/>
  <c r="O174" i="72"/>
  <c r="L176" i="72"/>
  <c r="M182" i="72"/>
  <c r="M195" i="72"/>
  <c r="L200" i="72"/>
  <c r="M207" i="72"/>
  <c r="N214" i="72"/>
  <c r="O216" i="72"/>
  <c r="O269" i="72"/>
  <c r="O273" i="72"/>
  <c r="N278" i="72"/>
  <c r="N281" i="72"/>
  <c r="N283" i="72"/>
  <c r="L72" i="72"/>
  <c r="L74" i="72"/>
  <c r="N77" i="72"/>
  <c r="N120" i="72"/>
  <c r="M121" i="72"/>
  <c r="O134" i="72"/>
  <c r="O241" i="73" s="1"/>
  <c r="O286" i="73" s="1"/>
  <c r="L139" i="72"/>
  <c r="O145" i="72"/>
  <c r="O151" i="72"/>
  <c r="O157" i="72"/>
  <c r="N182" i="72"/>
  <c r="O198" i="72"/>
  <c r="N211" i="72"/>
  <c r="N212" i="72"/>
  <c r="M262" i="72"/>
  <c r="M267" i="72"/>
  <c r="N272" i="72"/>
  <c r="L274" i="72"/>
  <c r="O278" i="72"/>
  <c r="L36" i="72"/>
  <c r="M64" i="72"/>
  <c r="L65" i="72"/>
  <c r="Q112" i="72"/>
  <c r="L80" i="72"/>
  <c r="L82" i="72"/>
  <c r="L84" i="72"/>
  <c r="L128" i="72"/>
  <c r="L235" i="73" s="1"/>
  <c r="L280" i="73" s="1"/>
  <c r="M130" i="72"/>
  <c r="M139" i="72"/>
  <c r="L145" i="72"/>
  <c r="O146" i="72"/>
  <c r="O179" i="72"/>
  <c r="M188" i="72"/>
  <c r="N189" i="72"/>
  <c r="O192" i="72"/>
  <c r="M198" i="72"/>
  <c r="M202" i="72"/>
  <c r="M203" i="72"/>
  <c r="N205" i="72"/>
  <c r="M209" i="72"/>
  <c r="O259" i="72"/>
  <c r="N262" i="72"/>
  <c r="L264" i="72"/>
  <c r="O265" i="72"/>
  <c r="N64" i="72"/>
  <c r="N72" i="72"/>
  <c r="L78" i="72"/>
  <c r="L120" i="72"/>
  <c r="N127" i="72"/>
  <c r="N234" i="73" s="1"/>
  <c r="N279" i="73" s="1"/>
  <c r="N130" i="72"/>
  <c r="N131" i="72"/>
  <c r="N238" i="73" s="1"/>
  <c r="N283" i="73" s="1"/>
  <c r="O138" i="72"/>
  <c r="L140" i="72"/>
  <c r="M144" i="72"/>
  <c r="N149" i="72"/>
  <c r="M157" i="72"/>
  <c r="O175" i="72"/>
  <c r="L186" i="72"/>
  <c r="N187" i="72"/>
  <c r="N188" i="72"/>
  <c r="O189" i="72"/>
  <c r="L198" i="72"/>
  <c r="O200" i="72"/>
  <c r="O205" i="72"/>
  <c r="N209" i="72"/>
  <c r="L214" i="72"/>
  <c r="L218" i="72"/>
  <c r="L290" i="72"/>
  <c r="O291" i="72"/>
  <c r="O74" i="72"/>
  <c r="L76" i="72"/>
  <c r="L86" i="72"/>
  <c r="M120" i="72"/>
  <c r="N128" i="72"/>
  <c r="N235" i="73" s="1"/>
  <c r="N280" i="73" s="1"/>
  <c r="M132" i="72"/>
  <c r="M239" i="73" s="1"/>
  <c r="M284" i="73" s="1"/>
  <c r="O156" i="72"/>
  <c r="N157" i="72"/>
  <c r="L173" i="72"/>
  <c r="L177" i="72"/>
  <c r="L179" i="72"/>
  <c r="M186" i="72"/>
  <c r="L196" i="72"/>
  <c r="M208" i="72"/>
  <c r="N215" i="72"/>
  <c r="M218" i="72"/>
  <c r="N270" i="72"/>
  <c r="O274" i="72"/>
  <c r="L276" i="72"/>
  <c r="O277" i="72"/>
  <c r="L288" i="72"/>
  <c r="O80" i="72"/>
  <c r="O82" i="72"/>
  <c r="O84" i="72"/>
  <c r="M86" i="72"/>
  <c r="N119" i="72"/>
  <c r="O128" i="72"/>
  <c r="O235" i="73" s="1"/>
  <c r="O280" i="73" s="1"/>
  <c r="M129" i="72"/>
  <c r="M236" i="73" s="1"/>
  <c r="M281" i="73" s="1"/>
  <c r="O144" i="72"/>
  <c r="L153" i="72"/>
  <c r="M177" i="72"/>
  <c r="N186" i="72"/>
  <c r="N208" i="72"/>
  <c r="M268" i="72"/>
  <c r="M276" i="72"/>
  <c r="O280" i="72"/>
  <c r="O282" i="72"/>
  <c r="M287" i="72"/>
  <c r="M292" i="72"/>
  <c r="O186" i="72"/>
  <c r="L261" i="72"/>
  <c r="N263" i="72"/>
  <c r="N268" i="72"/>
  <c r="N396" i="72"/>
  <c r="M398" i="72"/>
  <c r="L400" i="72"/>
  <c r="O397" i="72"/>
  <c r="N400" i="72"/>
  <c r="L399" i="72"/>
  <c r="O404" i="72"/>
  <c r="M399" i="72"/>
  <c r="L298" i="72"/>
  <c r="L401" i="72"/>
  <c r="L403" i="72"/>
  <c r="O217" i="72"/>
  <c r="N259" i="72"/>
  <c r="N261" i="72"/>
  <c r="M263" i="72"/>
  <c r="O266" i="72"/>
  <c r="N269" i="72"/>
  <c r="M273" i="72"/>
  <c r="M285" i="72"/>
  <c r="N286" i="72"/>
  <c r="N295" i="72"/>
  <c r="M302" i="72"/>
  <c r="N308" i="72"/>
  <c r="L397" i="72"/>
  <c r="O399" i="72"/>
  <c r="N405" i="72"/>
  <c r="N279" i="72"/>
  <c r="O290" i="72"/>
  <c r="N301" i="72"/>
  <c r="O308" i="72"/>
  <c r="M397" i="72"/>
  <c r="N397" i="72"/>
  <c r="M300" i="72"/>
  <c r="M309" i="72"/>
  <c r="O58" i="72"/>
  <c r="M77" i="72"/>
  <c r="M79" i="72"/>
  <c r="M87" i="72"/>
  <c r="O89" i="72"/>
  <c r="M90" i="72"/>
  <c r="O120" i="72"/>
  <c r="M125" i="72"/>
  <c r="M232" i="73" s="1"/>
  <c r="M277" i="73" s="1"/>
  <c r="O133" i="72"/>
  <c r="O240" i="73" s="1"/>
  <c r="O285" i="73" s="1"/>
  <c r="N142" i="72"/>
  <c r="N151" i="72"/>
  <c r="L152" i="72"/>
  <c r="O153" i="72"/>
  <c r="O154" i="72"/>
  <c r="O183" i="72"/>
  <c r="L189" i="72"/>
  <c r="M192" i="72"/>
  <c r="N203" i="72"/>
  <c r="M205" i="72"/>
  <c r="O214" i="72"/>
  <c r="L216" i="72"/>
  <c r="M264" i="72"/>
  <c r="N266" i="72"/>
  <c r="M271" i="72"/>
  <c r="O272" i="72"/>
  <c r="N277" i="72"/>
  <c r="L282" i="72"/>
  <c r="M284" i="72"/>
  <c r="M293" i="72"/>
  <c r="L295" i="72"/>
  <c r="N303" i="72"/>
  <c r="L396" i="72"/>
  <c r="M63" i="72"/>
  <c r="M62" i="72"/>
  <c r="M59" i="72"/>
  <c r="H283" i="72"/>
  <c r="H196" i="72"/>
  <c r="K294" i="72"/>
  <c r="K207" i="72"/>
  <c r="J296" i="72"/>
  <c r="J209" i="72"/>
  <c r="K303" i="72"/>
  <c r="K216" i="72"/>
  <c r="J305" i="72"/>
  <c r="J218" i="72"/>
  <c r="L59" i="72"/>
  <c r="I400" i="72"/>
  <c r="I311" i="72"/>
  <c r="K402" i="72"/>
  <c r="K313" i="72"/>
  <c r="I405" i="72"/>
  <c r="I316" i="72"/>
  <c r="S114" i="72"/>
  <c r="L123" i="72"/>
  <c r="K181" i="72"/>
  <c r="H265" i="72"/>
  <c r="H178" i="72"/>
  <c r="K287" i="72"/>
  <c r="K200" i="72"/>
  <c r="I289" i="72"/>
  <c r="I202" i="72"/>
  <c r="K305" i="72"/>
  <c r="K218" i="72"/>
  <c r="I396" i="72"/>
  <c r="I307" i="72"/>
  <c r="J186" i="72"/>
  <c r="J273" i="72"/>
  <c r="K279" i="72"/>
  <c r="K192" i="72"/>
  <c r="I281" i="72"/>
  <c r="I194" i="72"/>
  <c r="J263" i="72"/>
  <c r="J176" i="72"/>
  <c r="I265" i="72"/>
  <c r="I178" i="72"/>
  <c r="H267" i="72"/>
  <c r="H180" i="72"/>
  <c r="J272" i="72"/>
  <c r="J185" i="72"/>
  <c r="I274" i="72"/>
  <c r="I187" i="72"/>
  <c r="H189" i="72"/>
  <c r="H276" i="72"/>
  <c r="J281" i="72"/>
  <c r="J194" i="72"/>
  <c r="I283" i="72"/>
  <c r="I196" i="72"/>
  <c r="H291" i="72"/>
  <c r="H204" i="72"/>
  <c r="K296" i="72"/>
  <c r="K209" i="72"/>
  <c r="I298" i="72"/>
  <c r="I211" i="72"/>
  <c r="H300" i="72"/>
  <c r="H213" i="72"/>
  <c r="I398" i="72"/>
  <c r="I309" i="72"/>
  <c r="J400" i="72"/>
  <c r="J311" i="72"/>
  <c r="I258" i="72"/>
  <c r="I171" i="72"/>
  <c r="K263" i="72"/>
  <c r="K176" i="72"/>
  <c r="I267" i="72"/>
  <c r="I180" i="72"/>
  <c r="K272" i="72"/>
  <c r="K185" i="72"/>
  <c r="I276" i="72"/>
  <c r="I189" i="72"/>
  <c r="K281" i="72"/>
  <c r="K194" i="72"/>
  <c r="J289" i="72"/>
  <c r="J202" i="72"/>
  <c r="I291" i="72"/>
  <c r="I204" i="72"/>
  <c r="H293" i="72"/>
  <c r="H206" i="72"/>
  <c r="J298" i="72"/>
  <c r="J211" i="72"/>
  <c r="I300" i="72"/>
  <c r="I213" i="72"/>
  <c r="H302" i="72"/>
  <c r="H215" i="72"/>
  <c r="O63" i="72"/>
  <c r="H314" i="72"/>
  <c r="H403" i="72"/>
  <c r="K405" i="72"/>
  <c r="K316" i="72"/>
  <c r="M138" i="72"/>
  <c r="H274" i="72"/>
  <c r="H187" i="72"/>
  <c r="J258" i="72"/>
  <c r="J171" i="72"/>
  <c r="J180" i="72"/>
  <c r="J267" i="72"/>
  <c r="K274" i="72"/>
  <c r="K187" i="72"/>
  <c r="J276" i="72"/>
  <c r="J189" i="72"/>
  <c r="K283" i="72"/>
  <c r="K196" i="72"/>
  <c r="K289" i="72"/>
  <c r="K202" i="72"/>
  <c r="I293" i="72"/>
  <c r="I206" i="72"/>
  <c r="K211" i="72"/>
  <c r="K298" i="72"/>
  <c r="I215" i="72"/>
  <c r="I302" i="72"/>
  <c r="K396" i="72"/>
  <c r="K307" i="72"/>
  <c r="K398" i="72"/>
  <c r="K309" i="72"/>
  <c r="L64" i="72"/>
  <c r="I403" i="72"/>
  <c r="I314" i="72"/>
  <c r="M88" i="72"/>
  <c r="N144" i="72"/>
  <c r="J266" i="72"/>
  <c r="J179" i="72"/>
  <c r="K267" i="72"/>
  <c r="K180" i="72"/>
  <c r="I269" i="72"/>
  <c r="I182" i="72"/>
  <c r="I259" i="72"/>
  <c r="I172" i="72"/>
  <c r="H174" i="72"/>
  <c r="H261" i="72"/>
  <c r="K258" i="72"/>
  <c r="K171" i="72"/>
  <c r="I260" i="72"/>
  <c r="I173" i="72"/>
  <c r="K300" i="72"/>
  <c r="K213" i="72"/>
  <c r="I262" i="72"/>
  <c r="I175" i="72"/>
  <c r="H264" i="72"/>
  <c r="H177" i="72"/>
  <c r="I271" i="72"/>
  <c r="I184" i="72"/>
  <c r="H186" i="72"/>
  <c r="H273" i="72"/>
  <c r="J278" i="72"/>
  <c r="J191" i="72"/>
  <c r="I193" i="72"/>
  <c r="I280" i="72"/>
  <c r="H195" i="72"/>
  <c r="H282" i="72"/>
  <c r="I286" i="72"/>
  <c r="I199" i="72"/>
  <c r="H201" i="72"/>
  <c r="H288" i="72"/>
  <c r="K293" i="72"/>
  <c r="K206" i="72"/>
  <c r="I208" i="72"/>
  <c r="I295" i="72"/>
  <c r="H210" i="72"/>
  <c r="H297" i="72"/>
  <c r="K302" i="72"/>
  <c r="K215" i="72"/>
  <c r="I304" i="72"/>
  <c r="I217" i="72"/>
  <c r="H395" i="72"/>
  <c r="H306" i="72"/>
  <c r="T57" i="72"/>
  <c r="L62" i="72"/>
  <c r="I401" i="72"/>
  <c r="I312" i="72"/>
  <c r="R114" i="72"/>
  <c r="O88" i="72"/>
  <c r="U171" i="72"/>
  <c r="K178" i="72"/>
  <c r="K262" i="72"/>
  <c r="K175" i="72"/>
  <c r="K280" i="72"/>
  <c r="K193" i="72"/>
  <c r="K174" i="72"/>
  <c r="K261" i="72"/>
  <c r="K270" i="72"/>
  <c r="K183" i="72"/>
  <c r="I272" i="72"/>
  <c r="I185" i="72"/>
  <c r="J287" i="72"/>
  <c r="J200" i="72"/>
  <c r="H171" i="72"/>
  <c r="H258" i="72"/>
  <c r="H262" i="72"/>
  <c r="H175" i="72"/>
  <c r="H271" i="72"/>
  <c r="H184" i="72"/>
  <c r="K189" i="72"/>
  <c r="K276" i="72"/>
  <c r="I278" i="72"/>
  <c r="I191" i="72"/>
  <c r="H280" i="72"/>
  <c r="H193" i="72"/>
  <c r="K291" i="72"/>
  <c r="K204" i="72"/>
  <c r="J293" i="72"/>
  <c r="J206" i="72"/>
  <c r="J302" i="72"/>
  <c r="J215" i="72"/>
  <c r="J403" i="72"/>
  <c r="J314" i="72"/>
  <c r="J269" i="72"/>
  <c r="J182" i="72"/>
  <c r="K173" i="72"/>
  <c r="K260" i="72"/>
  <c r="I264" i="72"/>
  <c r="I177" i="72"/>
  <c r="K269" i="72"/>
  <c r="K182" i="72"/>
  <c r="I273" i="72"/>
  <c r="I186" i="72"/>
  <c r="K191" i="72"/>
  <c r="K278" i="72"/>
  <c r="I282" i="72"/>
  <c r="I195" i="72"/>
  <c r="J286" i="72"/>
  <c r="J199" i="72"/>
  <c r="I288" i="72"/>
  <c r="I201" i="72"/>
  <c r="H290" i="72"/>
  <c r="H203" i="72"/>
  <c r="J295" i="72"/>
  <c r="J208" i="72"/>
  <c r="I210" i="72"/>
  <c r="I297" i="72"/>
  <c r="H299" i="72"/>
  <c r="H212" i="72"/>
  <c r="J304" i="72"/>
  <c r="J217" i="72"/>
  <c r="I306" i="72"/>
  <c r="I395" i="72"/>
  <c r="H308" i="72"/>
  <c r="H397" i="72"/>
  <c r="O72" i="72"/>
  <c r="O75" i="72"/>
  <c r="O180" i="72"/>
  <c r="M194" i="72"/>
  <c r="I290" i="72"/>
  <c r="I203" i="72"/>
  <c r="K208" i="72"/>
  <c r="K295" i="72"/>
  <c r="I299" i="72"/>
  <c r="I212" i="72"/>
  <c r="K217" i="72"/>
  <c r="K304" i="72"/>
  <c r="I308" i="72"/>
  <c r="I397" i="72"/>
  <c r="I399" i="72"/>
  <c r="I310" i="72"/>
  <c r="K401" i="72"/>
  <c r="K312" i="72"/>
  <c r="W68" i="72"/>
  <c r="L90" i="72"/>
  <c r="I176" i="72"/>
  <c r="J177" i="72"/>
  <c r="J264" i="72"/>
  <c r="J282" i="72"/>
  <c r="J195" i="72"/>
  <c r="K286" i="72"/>
  <c r="K199" i="72"/>
  <c r="H259" i="72"/>
  <c r="H172" i="72"/>
  <c r="K264" i="72"/>
  <c r="K177" i="72"/>
  <c r="I266" i="72"/>
  <c r="I179" i="72"/>
  <c r="H181" i="72"/>
  <c r="H268" i="72"/>
  <c r="K273" i="72"/>
  <c r="K186" i="72"/>
  <c r="I275" i="72"/>
  <c r="I188" i="72"/>
  <c r="H277" i="72"/>
  <c r="H190" i="72"/>
  <c r="K282" i="72"/>
  <c r="K195" i="72"/>
  <c r="I284" i="72"/>
  <c r="I197" i="72"/>
  <c r="K288" i="72"/>
  <c r="K201" i="72"/>
  <c r="J203" i="72"/>
  <c r="J290" i="72"/>
  <c r="K297" i="72"/>
  <c r="K210" i="72"/>
  <c r="J299" i="72"/>
  <c r="J212" i="72"/>
  <c r="K395" i="72"/>
  <c r="K306" i="72"/>
  <c r="J397" i="72"/>
  <c r="J308" i="72"/>
  <c r="J173" i="72"/>
  <c r="L175" i="72"/>
  <c r="N201" i="72"/>
  <c r="I268" i="72"/>
  <c r="I181" i="72"/>
  <c r="H183" i="72"/>
  <c r="H270" i="72"/>
  <c r="I277" i="72"/>
  <c r="I190" i="72"/>
  <c r="H279" i="72"/>
  <c r="H192" i="72"/>
  <c r="J284" i="72"/>
  <c r="J197" i="72"/>
  <c r="K290" i="72"/>
  <c r="K203" i="72"/>
  <c r="I292" i="72"/>
  <c r="I205" i="72"/>
  <c r="H207" i="72"/>
  <c r="H294" i="72"/>
  <c r="K299" i="72"/>
  <c r="K212" i="72"/>
  <c r="I301" i="72"/>
  <c r="I214" i="72"/>
  <c r="H303" i="72"/>
  <c r="H216" i="72"/>
  <c r="K308" i="72"/>
  <c r="K397" i="72"/>
  <c r="K399" i="72"/>
  <c r="K310" i="72"/>
  <c r="I270" i="72"/>
  <c r="I183" i="72"/>
  <c r="K275" i="72"/>
  <c r="K188" i="72"/>
  <c r="I279" i="72"/>
  <c r="I192" i="72"/>
  <c r="K284" i="72"/>
  <c r="K197" i="72"/>
  <c r="H287" i="72"/>
  <c r="H200" i="72"/>
  <c r="J292" i="72"/>
  <c r="J205" i="72"/>
  <c r="I294" i="72"/>
  <c r="I207" i="72"/>
  <c r="H296" i="72"/>
  <c r="H209" i="72"/>
  <c r="J301" i="72"/>
  <c r="J214" i="72"/>
  <c r="I216" i="72"/>
  <c r="I303" i="72"/>
  <c r="H305" i="72"/>
  <c r="H218" i="72"/>
  <c r="V57" i="72"/>
  <c r="I402" i="72"/>
  <c r="I313" i="72"/>
  <c r="K404" i="72"/>
  <c r="K315" i="72"/>
  <c r="O77" i="72"/>
  <c r="P112" i="72"/>
  <c r="M147" i="72"/>
  <c r="K271" i="72"/>
  <c r="K184" i="72"/>
  <c r="J275" i="72"/>
  <c r="J188" i="72"/>
  <c r="I261" i="72"/>
  <c r="I174" i="72"/>
  <c r="K266" i="72"/>
  <c r="K179" i="72"/>
  <c r="K259" i="72"/>
  <c r="K172" i="72"/>
  <c r="J174" i="72"/>
  <c r="J261" i="72"/>
  <c r="J270" i="72"/>
  <c r="J183" i="72"/>
  <c r="K277" i="72"/>
  <c r="K190" i="72"/>
  <c r="J279" i="72"/>
  <c r="J192" i="72"/>
  <c r="I287" i="72"/>
  <c r="I200" i="72"/>
  <c r="K292" i="72"/>
  <c r="K205" i="72"/>
  <c r="I296" i="72"/>
  <c r="I209" i="72"/>
  <c r="K214" i="72"/>
  <c r="K301" i="72"/>
  <c r="I305" i="72"/>
  <c r="I218" i="72"/>
  <c r="H311" i="72"/>
  <c r="H400" i="72"/>
  <c r="S112" i="72"/>
  <c r="J259" i="72"/>
  <c r="R112" i="72"/>
  <c r="N192" i="72"/>
  <c r="H211" i="72"/>
  <c r="M196" i="72"/>
  <c r="L199" i="72"/>
  <c r="J204" i="72"/>
  <c r="N260" i="72"/>
  <c r="K403" i="72"/>
  <c r="K314" i="72"/>
  <c r="K400" i="72"/>
  <c r="K311" i="72"/>
  <c r="H260" i="72"/>
  <c r="H173" i="72"/>
  <c r="H266" i="72"/>
  <c r="H179" i="72"/>
  <c r="H272" i="72"/>
  <c r="H185" i="72"/>
  <c r="H275" i="72"/>
  <c r="H188" i="72"/>
  <c r="H281" i="72"/>
  <c r="H194" i="72"/>
  <c r="H205" i="72"/>
  <c r="H292" i="72"/>
  <c r="H295" i="72"/>
  <c r="H208" i="72"/>
  <c r="H301" i="72"/>
  <c r="H214" i="72"/>
  <c r="H304" i="72"/>
  <c r="H217" i="72"/>
  <c r="H396" i="72"/>
  <c r="H307" i="72"/>
  <c r="H399" i="72"/>
  <c r="H310" i="72"/>
  <c r="H402" i="72"/>
  <c r="H313" i="72"/>
  <c r="H405" i="72"/>
  <c r="H316" i="72"/>
  <c r="L133" i="72"/>
  <c r="L240" i="73" s="1"/>
  <c r="L285" i="73" s="1"/>
  <c r="N140" i="72"/>
  <c r="T171" i="72"/>
  <c r="N178" i="72"/>
  <c r="O181" i="72"/>
  <c r="N184" i="72"/>
  <c r="M204" i="72"/>
  <c r="N210" i="72"/>
  <c r="N204" i="72"/>
  <c r="L212" i="72"/>
  <c r="J213" i="72"/>
  <c r="J396" i="72"/>
  <c r="J307" i="72"/>
  <c r="J399" i="72"/>
  <c r="J310" i="72"/>
  <c r="J402" i="72"/>
  <c r="J313" i="72"/>
  <c r="J405" i="72"/>
  <c r="J316" i="72"/>
  <c r="Q114" i="72"/>
  <c r="V171" i="72"/>
  <c r="N89" i="72"/>
  <c r="N137" i="72"/>
  <c r="N150" i="72"/>
  <c r="M176" i="72"/>
  <c r="O194" i="72"/>
  <c r="H202" i="72"/>
  <c r="H398" i="72"/>
  <c r="H309" i="72"/>
  <c r="H401" i="72"/>
  <c r="H312" i="72"/>
  <c r="H404" i="72"/>
  <c r="H315" i="72"/>
  <c r="P114" i="72"/>
  <c r="L143" i="72"/>
  <c r="J216" i="72"/>
  <c r="N86" i="72"/>
  <c r="L142" i="72"/>
  <c r="J175" i="72"/>
  <c r="J187" i="72"/>
  <c r="N191" i="72"/>
  <c r="J193" i="72"/>
  <c r="L201" i="72"/>
  <c r="M213" i="72"/>
  <c r="I404" i="72"/>
  <c r="I315" i="72"/>
  <c r="J196" i="72"/>
  <c r="J283" i="72"/>
  <c r="J288" i="72"/>
  <c r="J201" i="72"/>
  <c r="J294" i="72"/>
  <c r="J207" i="72"/>
  <c r="J297" i="72"/>
  <c r="J210" i="72"/>
  <c r="J395" i="72"/>
  <c r="J306" i="72"/>
  <c r="J398" i="72"/>
  <c r="J309" i="72"/>
  <c r="J401" i="72"/>
  <c r="J312" i="72"/>
  <c r="J404" i="72"/>
  <c r="J315" i="72"/>
  <c r="M123" i="72"/>
  <c r="J178" i="72"/>
  <c r="J181" i="72"/>
  <c r="J184" i="72"/>
  <c r="M189" i="72"/>
  <c r="J190" i="72"/>
  <c r="H199" i="72"/>
  <c r="W258" i="72"/>
  <c r="N265" i="72"/>
  <c r="M217" i="72"/>
  <c r="U258" i="72"/>
  <c r="O260" i="72"/>
  <c r="M215" i="72"/>
  <c r="N180" i="72"/>
  <c r="O193" i="72"/>
  <c r="O204" i="72"/>
  <c r="L208" i="72"/>
  <c r="M211" i="72"/>
  <c r="M266" i="72"/>
  <c r="O270" i="72"/>
  <c r="N134" i="72"/>
  <c r="N241" i="73" s="1"/>
  <c r="N286" i="73" s="1"/>
  <c r="L172" i="72"/>
  <c r="L178" i="72"/>
  <c r="L184" i="72"/>
  <c r="M206" i="72"/>
  <c r="O218" i="72"/>
  <c r="M265" i="72"/>
  <c r="N292" i="72"/>
  <c r="O303" i="72"/>
  <c r="M294" i="72"/>
  <c r="O294" i="72"/>
  <c r="O293" i="72"/>
  <c r="M274" i="72"/>
  <c r="M280" i="72"/>
  <c r="N289" i="72"/>
  <c r="M307" i="72"/>
  <c r="L202" i="72"/>
  <c r="L267" i="72"/>
  <c r="N280" i="72"/>
  <c r="O289" i="72"/>
  <c r="O295" i="72"/>
  <c r="L270" i="72"/>
  <c r="L187" i="72"/>
  <c r="M272" i="72"/>
  <c r="M301" i="72"/>
  <c r="N304" i="72"/>
  <c r="N299" i="72"/>
  <c r="L300" i="72"/>
  <c r="M304" i="72"/>
  <c r="T322" i="72"/>
  <c r="W322" i="72"/>
  <c r="L275" i="72"/>
  <c r="L291" i="72"/>
  <c r="L297" i="72"/>
  <c r="L287" i="72"/>
  <c r="L303" i="72"/>
  <c r="L309" i="72"/>
  <c r="L299" i="72"/>
  <c r="O212" i="72"/>
  <c r="O297" i="72"/>
  <c r="Q338" i="72"/>
  <c r="S339" i="72"/>
  <c r="U322" i="72"/>
  <c r="S338" i="72"/>
  <c r="P339" i="72"/>
  <c r="P338" i="72"/>
  <c r="R339" i="72"/>
  <c r="R338" i="72"/>
  <c r="Q339" i="72"/>
  <c r="L33" i="72" l="1"/>
  <c r="L32" i="73" s="1"/>
  <c r="L142" i="73" s="1"/>
  <c r="T40" i="73"/>
  <c r="T150" i="73" s="1"/>
  <c r="L247" i="73"/>
  <c r="L292" i="73" s="1"/>
  <c r="M246" i="73"/>
  <c r="M291" i="73" s="1"/>
  <c r="N246" i="73"/>
  <c r="N291" i="73" s="1"/>
  <c r="M73" i="72"/>
  <c r="M181" i="73" s="1"/>
  <c r="T51" i="73"/>
  <c r="T161" i="73" s="1"/>
  <c r="T43" i="73"/>
  <c r="T153" i="73" s="1"/>
  <c r="L61" i="72"/>
  <c r="L170" i="73" s="1"/>
  <c r="T50" i="73"/>
  <c r="T160" i="73" s="1"/>
  <c r="T42" i="73"/>
  <c r="T152" i="73" s="1"/>
  <c r="U36" i="73"/>
  <c r="U146" i="73" s="1"/>
  <c r="W48" i="73"/>
  <c r="W158" i="73" s="1"/>
  <c r="U20" i="73"/>
  <c r="U130" i="73" s="1"/>
  <c r="V47" i="73"/>
  <c r="V157" i="73" s="1"/>
  <c r="T20" i="73"/>
  <c r="T130" i="73" s="1"/>
  <c r="W395" i="73"/>
  <c r="W373" i="73"/>
  <c r="W18" i="73"/>
  <c r="W128" i="73" s="1"/>
  <c r="V28" i="73"/>
  <c r="V138" i="73" s="1"/>
  <c r="V51" i="73"/>
  <c r="V161" i="73" s="1"/>
  <c r="T27" i="73"/>
  <c r="T137" i="73" s="1"/>
  <c r="V399" i="73"/>
  <c r="V376" i="73"/>
  <c r="U21" i="73"/>
  <c r="U131" i="73" s="1"/>
  <c r="U389" i="73"/>
  <c r="W40" i="73"/>
  <c r="W150" i="73" s="1"/>
  <c r="U13" i="73"/>
  <c r="U123" i="73" s="1"/>
  <c r="W31" i="73"/>
  <c r="W141" i="73" s="1"/>
  <c r="W12" i="73"/>
  <c r="W122" i="73" s="1"/>
  <c r="V11" i="73"/>
  <c r="V121" i="73" s="1"/>
  <c r="W45" i="73"/>
  <c r="W155" i="73" s="1"/>
  <c r="O245" i="73"/>
  <c r="O290" i="73" s="1"/>
  <c r="O246" i="73"/>
  <c r="O291" i="73" s="1"/>
  <c r="N245" i="73"/>
  <c r="N290" i="73" s="1"/>
  <c r="U393" i="73"/>
  <c r="M69" i="72"/>
  <c r="M178" i="73" s="1"/>
  <c r="U54" i="73"/>
  <c r="U164" i="73" s="1"/>
  <c r="U50" i="73"/>
  <c r="U160" i="73" s="1"/>
  <c r="U46" i="73"/>
  <c r="U156" i="73" s="1"/>
  <c r="U42" i="73"/>
  <c r="U152" i="73" s="1"/>
  <c r="V38" i="73"/>
  <c r="V148" i="73" s="1"/>
  <c r="W24" i="73"/>
  <c r="W134" i="73" s="1"/>
  <c r="V27" i="73"/>
  <c r="V137" i="73" s="1"/>
  <c r="U26" i="73"/>
  <c r="U136" i="73" s="1"/>
  <c r="T393" i="73"/>
  <c r="W16" i="73"/>
  <c r="W126" i="73" s="1"/>
  <c r="V16" i="73"/>
  <c r="V126" i="73" s="1"/>
  <c r="N73" i="72"/>
  <c r="N71" i="73" s="1"/>
  <c r="T39" i="73"/>
  <c r="T149" i="73" s="1"/>
  <c r="T34" i="73"/>
  <c r="T144" i="73" s="1"/>
  <c r="W22" i="73"/>
  <c r="W132" i="73" s="1"/>
  <c r="V22" i="73"/>
  <c r="V132" i="73" s="1"/>
  <c r="V44" i="73"/>
  <c r="V154" i="73" s="1"/>
  <c r="T13" i="73"/>
  <c r="T123" i="73" s="1"/>
  <c r="T389" i="73"/>
  <c r="W400" i="73"/>
  <c r="W374" i="73"/>
  <c r="W43" i="73"/>
  <c r="W153" i="73" s="1"/>
  <c r="U16" i="73"/>
  <c r="U126" i="73" s="1"/>
  <c r="N66" i="72"/>
  <c r="N65" i="73" s="1"/>
  <c r="W39" i="73"/>
  <c r="W149" i="73" s="1"/>
  <c r="T12" i="73"/>
  <c r="T122" i="73" s="1"/>
  <c r="W15" i="73"/>
  <c r="W125" i="73" s="1"/>
  <c r="V45" i="73"/>
  <c r="V155" i="73" s="1"/>
  <c r="U391" i="73"/>
  <c r="V21" i="73"/>
  <c r="V131" i="73" s="1"/>
  <c r="T16" i="73"/>
  <c r="T126" i="73" s="1"/>
  <c r="T377" i="73"/>
  <c r="W55" i="73"/>
  <c r="W165" i="73" s="1"/>
  <c r="W398" i="73"/>
  <c r="W375" i="73"/>
  <c r="V398" i="73"/>
  <c r="V375" i="73"/>
  <c r="M245" i="73"/>
  <c r="M290" i="73" s="1"/>
  <c r="L66" i="72"/>
  <c r="L65" i="73" s="1"/>
  <c r="T49" i="73"/>
  <c r="T159" i="73" s="1"/>
  <c r="L69" i="72"/>
  <c r="L68" i="73" s="1"/>
  <c r="T48" i="73"/>
  <c r="T158" i="73" s="1"/>
  <c r="T41" i="73"/>
  <c r="T151" i="73" s="1"/>
  <c r="W42" i="73"/>
  <c r="W152" i="73" s="1"/>
  <c r="U11" i="73"/>
  <c r="U121" i="73" s="1"/>
  <c r="V40" i="73"/>
  <c r="V150" i="73" s="1"/>
  <c r="T15" i="73"/>
  <c r="T125" i="73" s="1"/>
  <c r="W389" i="73"/>
  <c r="W14" i="73"/>
  <c r="W124" i="73" s="1"/>
  <c r="V24" i="73"/>
  <c r="V134" i="73" s="1"/>
  <c r="V42" i="73"/>
  <c r="V152" i="73" s="1"/>
  <c r="T19" i="73"/>
  <c r="T129" i="73" s="1"/>
  <c r="V395" i="73"/>
  <c r="V373" i="73"/>
  <c r="T29" i="73"/>
  <c r="T139" i="73" s="1"/>
  <c r="U379" i="73"/>
  <c r="U30" i="73"/>
  <c r="U140" i="73" s="1"/>
  <c r="W26" i="73"/>
  <c r="W136" i="73" s="1"/>
  <c r="V30" i="73"/>
  <c r="V140" i="73" s="1"/>
  <c r="U18" i="73"/>
  <c r="U128" i="73" s="1"/>
  <c r="O248" i="73"/>
  <c r="O293" i="73" s="1"/>
  <c r="U387" i="73"/>
  <c r="M71" i="72"/>
  <c r="M70" i="73" s="1"/>
  <c r="U53" i="73"/>
  <c r="U163" i="73" s="1"/>
  <c r="U49" i="73"/>
  <c r="U159" i="73" s="1"/>
  <c r="U45" i="73"/>
  <c r="U155" i="73" s="1"/>
  <c r="U41" i="73"/>
  <c r="U151" i="73" s="1"/>
  <c r="V37" i="73"/>
  <c r="V147" i="73" s="1"/>
  <c r="U37" i="73"/>
  <c r="U147" i="73" s="1"/>
  <c r="W19" i="73"/>
  <c r="W129" i="73" s="1"/>
  <c r="V20" i="73"/>
  <c r="V130" i="73" s="1"/>
  <c r="V48" i="73"/>
  <c r="V158" i="73" s="1"/>
  <c r="T387" i="73"/>
  <c r="W30" i="73"/>
  <c r="W140" i="73" s="1"/>
  <c r="W11" i="73"/>
  <c r="W121" i="73" s="1"/>
  <c r="V12" i="73"/>
  <c r="V122" i="73" s="1"/>
  <c r="T38" i="73"/>
  <c r="T148" i="73" s="1"/>
  <c r="O69" i="72"/>
  <c r="O68" i="73" s="1"/>
  <c r="U28" i="73"/>
  <c r="U138" i="73" s="1"/>
  <c r="N61" i="72"/>
  <c r="N60" i="73" s="1"/>
  <c r="W38" i="73"/>
  <c r="W148" i="73" s="1"/>
  <c r="T9" i="73"/>
  <c r="T119" i="73" s="1"/>
  <c r="T379" i="73"/>
  <c r="W10" i="73"/>
  <c r="W120" i="73" s="1"/>
  <c r="V23" i="73"/>
  <c r="V133" i="73" s="1"/>
  <c r="W397" i="73"/>
  <c r="O67" i="72"/>
  <c r="O66" i="73" s="1"/>
  <c r="T33" i="73"/>
  <c r="T143" i="73" s="1"/>
  <c r="U10" i="73"/>
  <c r="U120" i="73" s="1"/>
  <c r="T30" i="73"/>
  <c r="T140" i="73" s="1"/>
  <c r="V400" i="73"/>
  <c r="V377" i="73"/>
  <c r="V29" i="73"/>
  <c r="V139" i="73" s="1"/>
  <c r="T24" i="73"/>
  <c r="T134" i="73" s="1"/>
  <c r="U377" i="73"/>
  <c r="U31" i="73"/>
  <c r="U141" i="73" s="1"/>
  <c r="T400" i="73"/>
  <c r="T374" i="73"/>
  <c r="U12" i="73"/>
  <c r="U122" i="73" s="1"/>
  <c r="W393" i="73"/>
  <c r="V393" i="73"/>
  <c r="N247" i="73"/>
  <c r="N292" i="73" s="1"/>
  <c r="L40" i="73"/>
  <c r="L150" i="73" s="1"/>
  <c r="M67" i="72"/>
  <c r="M176" i="73" s="1"/>
  <c r="T55" i="73"/>
  <c r="T165" i="73" s="1"/>
  <c r="T47" i="73"/>
  <c r="T157" i="73" s="1"/>
  <c r="L73" i="72"/>
  <c r="L71" i="73" s="1"/>
  <c r="T54" i="73"/>
  <c r="T164" i="73" s="1"/>
  <c r="T46" i="73"/>
  <c r="T156" i="73" s="1"/>
  <c r="U39" i="73"/>
  <c r="U149" i="73" s="1"/>
  <c r="O70" i="72"/>
  <c r="O179" i="73" s="1"/>
  <c r="U29" i="73"/>
  <c r="U139" i="73" s="1"/>
  <c r="N69" i="72"/>
  <c r="N178" i="73" s="1"/>
  <c r="W36" i="73"/>
  <c r="W146" i="73" s="1"/>
  <c r="T10" i="73"/>
  <c r="T120" i="73" s="1"/>
  <c r="W379" i="73"/>
  <c r="W29" i="73"/>
  <c r="W139" i="73" s="1"/>
  <c r="U34" i="73"/>
  <c r="U144" i="73" s="1"/>
  <c r="V18" i="73"/>
  <c r="V128" i="73" s="1"/>
  <c r="W37" i="73"/>
  <c r="W147" i="73" s="1"/>
  <c r="T14" i="73"/>
  <c r="T124" i="73" s="1"/>
  <c r="V389" i="73"/>
  <c r="O66" i="72"/>
  <c r="O175" i="73" s="1"/>
  <c r="U399" i="73"/>
  <c r="U376" i="73"/>
  <c r="O73" i="72"/>
  <c r="O181" i="73" s="1"/>
  <c r="W51" i="73"/>
  <c r="W161" i="73" s="1"/>
  <c r="U25" i="73"/>
  <c r="U135" i="73" s="1"/>
  <c r="W34" i="73"/>
  <c r="W144" i="73" s="1"/>
  <c r="W21" i="73"/>
  <c r="W131" i="73" s="1"/>
  <c r="V25" i="73"/>
  <c r="V135" i="73" s="1"/>
  <c r="L248" i="73"/>
  <c r="L293" i="73" s="1"/>
  <c r="O247" i="73"/>
  <c r="O292" i="73" s="1"/>
  <c r="M248" i="73"/>
  <c r="M293" i="73" s="1"/>
  <c r="L245" i="73"/>
  <c r="L290" i="73" s="1"/>
  <c r="U378" i="73"/>
  <c r="U52" i="73"/>
  <c r="U162" i="73" s="1"/>
  <c r="U48" i="73"/>
  <c r="U158" i="73" s="1"/>
  <c r="U44" i="73"/>
  <c r="U154" i="73" s="1"/>
  <c r="U40" i="73"/>
  <c r="U150" i="73" s="1"/>
  <c r="V36" i="73"/>
  <c r="V146" i="73" s="1"/>
  <c r="V32" i="73"/>
  <c r="V142" i="73" s="1"/>
  <c r="W13" i="73"/>
  <c r="W123" i="73" s="1"/>
  <c r="V15" i="73"/>
  <c r="V125" i="73" s="1"/>
  <c r="T21" i="73"/>
  <c r="T131" i="73" s="1"/>
  <c r="T378" i="73"/>
  <c r="L67" i="72"/>
  <c r="L176" i="73" s="1"/>
  <c r="W27" i="73"/>
  <c r="W137" i="73" s="1"/>
  <c r="V26" i="73"/>
  <c r="V136" i="73" s="1"/>
  <c r="V9" i="73"/>
  <c r="V119" i="73" s="1"/>
  <c r="T37" i="73"/>
  <c r="T147" i="73" s="1"/>
  <c r="W50" i="73"/>
  <c r="W160" i="73" s="1"/>
  <c r="U22" i="73"/>
  <c r="U132" i="73" s="1"/>
  <c r="W25" i="73"/>
  <c r="W135" i="73" s="1"/>
  <c r="V54" i="73"/>
  <c r="V164" i="73" s="1"/>
  <c r="T23" i="73"/>
  <c r="T133" i="73" s="1"/>
  <c r="T399" i="73"/>
  <c r="T376" i="73"/>
  <c r="W52" i="73"/>
  <c r="W162" i="73" s="1"/>
  <c r="W391" i="73"/>
  <c r="W54" i="73"/>
  <c r="W164" i="73" s="1"/>
  <c r="U27" i="73"/>
  <c r="U137" i="73" s="1"/>
  <c r="V49" i="73"/>
  <c r="V159" i="73" s="1"/>
  <c r="T25" i="73"/>
  <c r="T135" i="73" s="1"/>
  <c r="V397" i="73"/>
  <c r="V374" i="73"/>
  <c r="W41" i="73"/>
  <c r="W151" i="73" s="1"/>
  <c r="U400" i="73"/>
  <c r="U374" i="73"/>
  <c r="U9" i="73"/>
  <c r="U119" i="73" s="1"/>
  <c r="T397" i="73"/>
  <c r="U32" i="73"/>
  <c r="U142" i="73" s="1"/>
  <c r="V46" i="73"/>
  <c r="V156" i="73" s="1"/>
  <c r="W387" i="73"/>
  <c r="N67" i="72"/>
  <c r="N176" i="73" s="1"/>
  <c r="V387" i="73"/>
  <c r="V53" i="73"/>
  <c r="V163" i="73" s="1"/>
  <c r="L246" i="73"/>
  <c r="L291" i="73" s="1"/>
  <c r="M247" i="73"/>
  <c r="M292" i="73" s="1"/>
  <c r="N248" i="73"/>
  <c r="N293" i="73" s="1"/>
  <c r="M70" i="72"/>
  <c r="M179" i="73" s="1"/>
  <c r="T53" i="73"/>
  <c r="T163" i="73" s="1"/>
  <c r="T45" i="73"/>
  <c r="T155" i="73" s="1"/>
  <c r="T52" i="73"/>
  <c r="T162" i="73" s="1"/>
  <c r="T44" i="73"/>
  <c r="T154" i="73" s="1"/>
  <c r="U38" i="73"/>
  <c r="U148" i="73" s="1"/>
  <c r="W53" i="73"/>
  <c r="W163" i="73" s="1"/>
  <c r="U24" i="73"/>
  <c r="U134" i="73" s="1"/>
  <c r="V52" i="73"/>
  <c r="V162" i="73" s="1"/>
  <c r="T28" i="73"/>
  <c r="T138" i="73" s="1"/>
  <c r="W399" i="73"/>
  <c r="W376" i="73"/>
  <c r="W23" i="73"/>
  <c r="W133" i="73" s="1"/>
  <c r="V31" i="73"/>
  <c r="V141" i="73" s="1"/>
  <c r="V13" i="73"/>
  <c r="V123" i="73" s="1"/>
  <c r="V55" i="73"/>
  <c r="V165" i="73" s="1"/>
  <c r="T31" i="73"/>
  <c r="T141" i="73" s="1"/>
  <c r="T11" i="73"/>
  <c r="T121" i="73" s="1"/>
  <c r="V379" i="73"/>
  <c r="W47" i="73"/>
  <c r="W157" i="73" s="1"/>
  <c r="U395" i="73"/>
  <c r="U373" i="73"/>
  <c r="W44" i="73"/>
  <c r="W154" i="73" s="1"/>
  <c r="U19" i="73"/>
  <c r="U129" i="73" s="1"/>
  <c r="W33" i="73"/>
  <c r="W143" i="73" s="1"/>
  <c r="V33" i="73"/>
  <c r="V143" i="73" s="1"/>
  <c r="W17" i="73"/>
  <c r="W127" i="73" s="1"/>
  <c r="V17" i="73"/>
  <c r="V127" i="73" s="1"/>
  <c r="N71" i="72"/>
  <c r="N180" i="73" s="1"/>
  <c r="O71" i="72"/>
  <c r="O180" i="73" s="1"/>
  <c r="U398" i="73"/>
  <c r="U375" i="73"/>
  <c r="M66" i="72"/>
  <c r="M65" i="73" s="1"/>
  <c r="U55" i="73"/>
  <c r="U165" i="73" s="1"/>
  <c r="U51" i="73"/>
  <c r="U161" i="73" s="1"/>
  <c r="U47" i="73"/>
  <c r="U157" i="73" s="1"/>
  <c r="U43" i="73"/>
  <c r="U153" i="73" s="1"/>
  <c r="V39" i="73"/>
  <c r="V149" i="73" s="1"/>
  <c r="W28" i="73"/>
  <c r="W138" i="73" s="1"/>
  <c r="V10" i="73"/>
  <c r="V120" i="73" s="1"/>
  <c r="T398" i="73"/>
  <c r="T375" i="73"/>
  <c r="L71" i="72"/>
  <c r="L70" i="73" s="1"/>
  <c r="W20" i="73"/>
  <c r="W130" i="73" s="1"/>
  <c r="V19" i="73"/>
  <c r="V129" i="73" s="1"/>
  <c r="T36" i="73"/>
  <c r="T146" i="73" s="1"/>
  <c r="W46" i="73"/>
  <c r="W156" i="73" s="1"/>
  <c r="U15" i="73"/>
  <c r="U125" i="73" s="1"/>
  <c r="V34" i="73"/>
  <c r="V144" i="73" s="1"/>
  <c r="U33" i="73"/>
  <c r="U143" i="73" s="1"/>
  <c r="O61" i="72"/>
  <c r="O170" i="73" s="1"/>
  <c r="V50" i="73"/>
  <c r="V160" i="73" s="1"/>
  <c r="T18" i="73"/>
  <c r="T128" i="73" s="1"/>
  <c r="T395" i="73"/>
  <c r="T373" i="73"/>
  <c r="U17" i="73"/>
  <c r="U127" i="73" s="1"/>
  <c r="W377" i="73"/>
  <c r="W49" i="73"/>
  <c r="W159" i="73" s="1"/>
  <c r="U23" i="73"/>
  <c r="U133" i="73" s="1"/>
  <c r="V43" i="73"/>
  <c r="V153" i="73" s="1"/>
  <c r="T17" i="73"/>
  <c r="T127" i="73" s="1"/>
  <c r="V391" i="73"/>
  <c r="W32" i="73"/>
  <c r="W142" i="73" s="1"/>
  <c r="U14" i="73"/>
  <c r="U124" i="73" s="1"/>
  <c r="U397" i="73"/>
  <c r="W9" i="73"/>
  <c r="W119" i="73" s="1"/>
  <c r="V41" i="73"/>
  <c r="V151" i="73" s="1"/>
  <c r="T391" i="73"/>
  <c r="V14" i="73"/>
  <c r="V124" i="73" s="1"/>
  <c r="T22" i="73"/>
  <c r="T132" i="73" s="1"/>
  <c r="W378" i="73"/>
  <c r="V378" i="73"/>
  <c r="T26" i="73"/>
  <c r="T136" i="73" s="1"/>
  <c r="AA428" i="72"/>
  <c r="AA430" i="72" s="1"/>
  <c r="AA431" i="72" s="1"/>
  <c r="AA98" i="72" s="1"/>
  <c r="Z428" i="72"/>
  <c r="Z430" i="72" s="1"/>
  <c r="Z431" i="72" s="1"/>
  <c r="Z98" i="72" s="1"/>
  <c r="X428" i="72"/>
  <c r="X430" i="72" s="1"/>
  <c r="X431" i="72" s="1"/>
  <c r="X98" i="72" s="1"/>
  <c r="Y428" i="72"/>
  <c r="Y430" i="72" s="1"/>
  <c r="Y431" i="72" s="1"/>
  <c r="Y98" i="72" s="1"/>
  <c r="N428" i="72"/>
  <c r="N430" i="72" s="1"/>
  <c r="N431" i="72" s="1"/>
  <c r="N98" i="72" s="1"/>
  <c r="S428" i="72"/>
  <c r="S430" i="72" s="1"/>
  <c r="S431" i="72" s="1"/>
  <c r="S98" i="72" s="1"/>
  <c r="R428" i="72"/>
  <c r="R430" i="72" s="1"/>
  <c r="R431" i="72" s="1"/>
  <c r="R98" i="72" s="1"/>
  <c r="Q428" i="72"/>
  <c r="Q430" i="72" s="1"/>
  <c r="Q431" i="72" s="1"/>
  <c r="Q98" i="72" s="1"/>
  <c r="O428" i="72"/>
  <c r="O430" i="72" s="1"/>
  <c r="O431" i="72" s="1"/>
  <c r="O98" i="72" s="1"/>
  <c r="P428" i="72"/>
  <c r="P430" i="72" s="1"/>
  <c r="P431" i="72" s="1"/>
  <c r="P98" i="72" s="1"/>
  <c r="W428" i="72"/>
  <c r="W430" i="72" s="1"/>
  <c r="W431" i="72" s="1"/>
  <c r="W98" i="72" s="1"/>
  <c r="M428" i="72"/>
  <c r="M430" i="72" s="1"/>
  <c r="M431" i="72" s="1"/>
  <c r="M98" i="72" s="1"/>
  <c r="V428" i="72"/>
  <c r="V430" i="72" s="1"/>
  <c r="V431" i="72" s="1"/>
  <c r="V98" i="72" s="1"/>
  <c r="L428" i="72"/>
  <c r="L430" i="72" s="1"/>
  <c r="L431" i="72" s="1"/>
  <c r="L98" i="72" s="1"/>
  <c r="U428" i="72"/>
  <c r="U430" i="72" s="1"/>
  <c r="U431" i="72" s="1"/>
  <c r="U98" i="72" s="1"/>
  <c r="T428" i="72"/>
  <c r="T430" i="72" s="1"/>
  <c r="T431" i="72" s="1"/>
  <c r="T98" i="72" s="1"/>
  <c r="Y341" i="72"/>
  <c r="S341" i="72"/>
  <c r="X341" i="72"/>
  <c r="Z341" i="72"/>
  <c r="V385" i="73"/>
  <c r="V342" i="72"/>
  <c r="W369" i="73"/>
  <c r="W341" i="72"/>
  <c r="V369" i="73"/>
  <c r="V341" i="72"/>
  <c r="R341" i="72"/>
  <c r="AA341" i="72"/>
  <c r="U369" i="73"/>
  <c r="U341" i="72"/>
  <c r="T369" i="73"/>
  <c r="T341" i="72"/>
  <c r="Q341" i="72"/>
  <c r="W385" i="73"/>
  <c r="W342" i="72"/>
  <c r="P341" i="72"/>
  <c r="U385" i="73"/>
  <c r="U342" i="72"/>
  <c r="T385" i="73"/>
  <c r="T342" i="72"/>
  <c r="L171" i="72"/>
  <c r="L321" i="73" s="1"/>
  <c r="M171" i="72"/>
  <c r="N159" i="72"/>
  <c r="M159" i="72"/>
  <c r="O159" i="72"/>
  <c r="L159" i="72"/>
  <c r="L230" i="73"/>
  <c r="L275" i="73" s="1"/>
  <c r="O230" i="73"/>
  <c r="O275" i="73" s="1"/>
  <c r="N230" i="73"/>
  <c r="N275" i="73" s="1"/>
  <c r="M230" i="73"/>
  <c r="M275" i="73" s="1"/>
  <c r="L25" i="72"/>
  <c r="L27" i="72"/>
  <c r="W93" i="72"/>
  <c r="T92" i="72"/>
  <c r="T8" i="73"/>
  <c r="T118" i="73" s="1"/>
  <c r="V92" i="72"/>
  <c r="M57" i="72"/>
  <c r="U92" i="72"/>
  <c r="O57" i="72"/>
  <c r="W92" i="72"/>
  <c r="V8" i="73"/>
  <c r="V118" i="73" s="1"/>
  <c r="U93" i="72"/>
  <c r="T93" i="72"/>
  <c r="W8" i="73"/>
  <c r="W118" i="73" s="1"/>
  <c r="U8" i="73"/>
  <c r="U118" i="73" s="1"/>
  <c r="V93" i="72"/>
  <c r="M328" i="72"/>
  <c r="N322" i="72"/>
  <c r="M9" i="72"/>
  <c r="O42" i="72"/>
  <c r="N26" i="72"/>
  <c r="O46" i="72"/>
  <c r="N9" i="72"/>
  <c r="O52" i="72"/>
  <c r="N52" i="72"/>
  <c r="M14" i="72"/>
  <c r="N35" i="72"/>
  <c r="O41" i="72"/>
  <c r="L336" i="72"/>
  <c r="O330" i="72"/>
  <c r="N337" i="72"/>
  <c r="O312" i="72"/>
  <c r="L314" i="72"/>
  <c r="N14" i="72"/>
  <c r="O10" i="72"/>
  <c r="L324" i="72"/>
  <c r="N44" i="72"/>
  <c r="O33" i="72"/>
  <c r="N330" i="72"/>
  <c r="N15" i="72"/>
  <c r="N41" i="72"/>
  <c r="M11" i="72"/>
  <c r="M50" i="72"/>
  <c r="L37" i="72"/>
  <c r="M34" i="72"/>
  <c r="M19" i="72"/>
  <c r="N18" i="72"/>
  <c r="L12" i="72"/>
  <c r="O32" i="72"/>
  <c r="M40" i="72"/>
  <c r="O316" i="72"/>
  <c r="L21" i="72"/>
  <c r="N336" i="72"/>
  <c r="M30" i="72"/>
  <c r="O15" i="72"/>
  <c r="L20" i="72"/>
  <c r="O336" i="72"/>
  <c r="O48" i="72"/>
  <c r="L45" i="72"/>
  <c r="M20" i="72"/>
  <c r="N316" i="72"/>
  <c r="N34" i="72"/>
  <c r="M316" i="72"/>
  <c r="N31" i="72"/>
  <c r="N56" i="72"/>
  <c r="O43" i="72"/>
  <c r="M334" i="72"/>
  <c r="N315" i="72"/>
  <c r="O35" i="72"/>
  <c r="N12" i="72"/>
  <c r="N43" i="72"/>
  <c r="L34" i="72"/>
  <c r="O314" i="72"/>
  <c r="O315" i="72"/>
  <c r="L53" i="72"/>
  <c r="O56" i="72"/>
  <c r="N324" i="72"/>
  <c r="M337" i="72"/>
  <c r="O16" i="72"/>
  <c r="N334" i="72"/>
  <c r="L334" i="72"/>
  <c r="L24" i="72"/>
  <c r="O11" i="72"/>
  <c r="O22" i="72"/>
  <c r="M310" i="72"/>
  <c r="N29" i="72"/>
  <c r="L29" i="72"/>
  <c r="O27" i="72"/>
  <c r="M44" i="72"/>
  <c r="O30" i="72"/>
  <c r="L51" i="72"/>
  <c r="M336" i="72"/>
  <c r="L332" i="72"/>
  <c r="L56" i="72"/>
  <c r="O39" i="72"/>
  <c r="O49" i="72"/>
  <c r="O38" i="72"/>
  <c r="N335" i="72"/>
  <c r="L31" i="72"/>
  <c r="O55" i="72"/>
  <c r="N50" i="72"/>
  <c r="N46" i="72"/>
  <c r="O54" i="72"/>
  <c r="L46" i="72"/>
  <c r="M12" i="72"/>
  <c r="O31" i="72"/>
  <c r="L26" i="72"/>
  <c r="O311" i="72"/>
  <c r="N47" i="72"/>
  <c r="O17" i="72"/>
  <c r="M42" i="72"/>
  <c r="O53" i="72"/>
  <c r="N30" i="72"/>
  <c r="L19" i="72"/>
  <c r="O51" i="72"/>
  <c r="N24" i="72"/>
  <c r="L313" i="72"/>
  <c r="N17" i="72"/>
  <c r="M54" i="72"/>
  <c r="M27" i="72"/>
  <c r="O45" i="72"/>
  <c r="M23" i="72"/>
  <c r="N37" i="72"/>
  <c r="O44" i="72"/>
  <c r="O14" i="72"/>
  <c r="O324" i="72"/>
  <c r="O9" i="72"/>
  <c r="O21" i="72"/>
  <c r="O326" i="72"/>
  <c r="O328" i="72"/>
  <c r="M55" i="72"/>
  <c r="L315" i="72"/>
  <c r="L316" i="72"/>
  <c r="O334" i="72"/>
  <c r="L43" i="72"/>
  <c r="O40" i="72"/>
  <c r="N13" i="72"/>
  <c r="N32" i="72"/>
  <c r="M56" i="72"/>
  <c r="L328" i="72"/>
  <c r="L54" i="72"/>
  <c r="V114" i="72"/>
  <c r="L44" i="72"/>
  <c r="M330" i="72"/>
  <c r="L42" i="72"/>
  <c r="N23" i="72"/>
  <c r="O28" i="72"/>
  <c r="L337" i="72"/>
  <c r="L55" i="72"/>
  <c r="N313" i="72"/>
  <c r="M335" i="72"/>
  <c r="M35" i="72"/>
  <c r="M43" i="72"/>
  <c r="L15" i="72"/>
  <c r="M313" i="72"/>
  <c r="M32" i="72"/>
  <c r="M29" i="72"/>
  <c r="O50" i="72"/>
  <c r="L326" i="72"/>
  <c r="M38" i="72"/>
  <c r="N38" i="72"/>
  <c r="N22" i="72"/>
  <c r="M16" i="72"/>
  <c r="M324" i="72"/>
  <c r="N20" i="72"/>
  <c r="O37" i="72"/>
  <c r="O20" i="72"/>
  <c r="N49" i="72"/>
  <c r="O332" i="72"/>
  <c r="M49" i="72"/>
  <c r="L30" i="72"/>
  <c r="M22" i="72"/>
  <c r="N328" i="72"/>
  <c r="L312" i="72"/>
  <c r="N310" i="72"/>
  <c r="M47" i="72"/>
  <c r="M13" i="72"/>
  <c r="M48" i="72"/>
  <c r="L52" i="72"/>
  <c r="T112" i="72"/>
  <c r="L112" i="72" s="1"/>
  <c r="L17" i="72"/>
  <c r="L35" i="72"/>
  <c r="L330" i="72"/>
  <c r="M33" i="72"/>
  <c r="M17" i="72"/>
  <c r="M311" i="72"/>
  <c r="O26" i="72"/>
  <c r="L38" i="72"/>
  <c r="N16" i="72"/>
  <c r="N311" i="72"/>
  <c r="N45" i="72"/>
  <c r="O337" i="72"/>
  <c r="N54" i="72"/>
  <c r="L13" i="72"/>
  <c r="O335" i="72"/>
  <c r="M45" i="72"/>
  <c r="N314" i="72"/>
  <c r="M314" i="72"/>
  <c r="M21" i="72"/>
  <c r="M312" i="72"/>
  <c r="N306" i="72"/>
  <c r="N39" i="72"/>
  <c r="M51" i="72"/>
  <c r="N27" i="72"/>
  <c r="W112" i="72"/>
  <c r="O112" i="72" s="1"/>
  <c r="L70" i="72"/>
  <c r="N326" i="72"/>
  <c r="M26" i="72"/>
  <c r="L311" i="72"/>
  <c r="M24" i="72"/>
  <c r="N332" i="72"/>
  <c r="N70" i="72"/>
  <c r="O313" i="72"/>
  <c r="L39" i="72"/>
  <c r="V112" i="72"/>
  <c r="N112" i="72" s="1"/>
  <c r="L9" i="72"/>
  <c r="O13" i="72"/>
  <c r="L310" i="72"/>
  <c r="N19" i="72"/>
  <c r="O310" i="72"/>
  <c r="O306" i="72"/>
  <c r="M326" i="72"/>
  <c r="M18" i="72"/>
  <c r="L18" i="72"/>
  <c r="L47" i="72"/>
  <c r="L28" i="72"/>
  <c r="L23" i="72"/>
  <c r="N21" i="72"/>
  <c r="M25" i="72"/>
  <c r="T114" i="72"/>
  <c r="N10" i="72"/>
  <c r="N53" i="72"/>
  <c r="M315" i="72"/>
  <c r="N312" i="72"/>
  <c r="O12" i="72"/>
  <c r="N25" i="72"/>
  <c r="N42" i="72"/>
  <c r="O29" i="72"/>
  <c r="U114" i="72"/>
  <c r="M39" i="72"/>
  <c r="L40" i="72"/>
  <c r="N322" i="73"/>
  <c r="L335" i="72"/>
  <c r="O34" i="72"/>
  <c r="N40" i="72"/>
  <c r="M53" i="72"/>
  <c r="L306" i="72"/>
  <c r="L32" i="72"/>
  <c r="M41" i="72"/>
  <c r="L16" i="72"/>
  <c r="N51" i="72"/>
  <c r="O18" i="72"/>
  <c r="M28" i="72"/>
  <c r="M15" i="72"/>
  <c r="L49" i="72"/>
  <c r="L14" i="72"/>
  <c r="L10" i="72"/>
  <c r="N55" i="72"/>
  <c r="N33" i="72"/>
  <c r="O23" i="72"/>
  <c r="M31" i="72"/>
  <c r="M46" i="72"/>
  <c r="V338" i="72"/>
  <c r="N28" i="72"/>
  <c r="M52" i="72"/>
  <c r="L50" i="72"/>
  <c r="L22" i="72"/>
  <c r="M10" i="72"/>
  <c r="V339" i="72"/>
  <c r="O24" i="72"/>
  <c r="M332" i="72"/>
  <c r="R360" i="73"/>
  <c r="V360" i="73"/>
  <c r="N360" i="73"/>
  <c r="Z360" i="73"/>
  <c r="V337" i="73"/>
  <c r="R337" i="73"/>
  <c r="N337" i="73"/>
  <c r="Z337" i="73"/>
  <c r="T355" i="73"/>
  <c r="X355" i="73"/>
  <c r="L355" i="73"/>
  <c r="P355" i="73"/>
  <c r="M350" i="73"/>
  <c r="Y350" i="73"/>
  <c r="U350" i="73"/>
  <c r="Q350" i="73"/>
  <c r="X366" i="73"/>
  <c r="T366" i="73"/>
  <c r="L366" i="73"/>
  <c r="P366" i="73"/>
  <c r="AA358" i="73"/>
  <c r="S358" i="73"/>
  <c r="O358" i="73"/>
  <c r="W358" i="73"/>
  <c r="U327" i="73"/>
  <c r="Q327" i="73"/>
  <c r="M327" i="73"/>
  <c r="Y327" i="73"/>
  <c r="S321" i="73"/>
  <c r="W321" i="73"/>
  <c r="AA321" i="73"/>
  <c r="V333" i="73"/>
  <c r="R333" i="73"/>
  <c r="N333" i="73"/>
  <c r="Z333" i="73"/>
  <c r="O334" i="73"/>
  <c r="S334" i="73"/>
  <c r="AA334" i="73"/>
  <c r="W334" i="73"/>
  <c r="V56" i="73"/>
  <c r="V166" i="73"/>
  <c r="L342" i="73"/>
  <c r="X342" i="73"/>
  <c r="T342" i="73"/>
  <c r="P342" i="73"/>
  <c r="T321" i="73"/>
  <c r="P321" i="73"/>
  <c r="X321" i="73"/>
  <c r="X360" i="73"/>
  <c r="P360" i="73"/>
  <c r="L360" i="73"/>
  <c r="T360" i="73"/>
  <c r="Y325" i="73"/>
  <c r="M325" i="73"/>
  <c r="U325" i="73"/>
  <c r="Q325" i="73"/>
  <c r="W361" i="73"/>
  <c r="AA361" i="73"/>
  <c r="O361" i="73"/>
  <c r="S361" i="73"/>
  <c r="V330" i="73"/>
  <c r="N330" i="73"/>
  <c r="Z330" i="73"/>
  <c r="R330" i="73"/>
  <c r="Q354" i="73"/>
  <c r="Y354" i="73"/>
  <c r="M354" i="73"/>
  <c r="U354" i="73"/>
  <c r="W326" i="73"/>
  <c r="S326" i="73"/>
  <c r="AA326" i="73"/>
  <c r="O326" i="73"/>
  <c r="M361" i="73"/>
  <c r="Q361" i="73"/>
  <c r="U361" i="73"/>
  <c r="Y361" i="73"/>
  <c r="T339" i="73"/>
  <c r="X339" i="73"/>
  <c r="L339" i="73"/>
  <c r="P339" i="73"/>
  <c r="W350" i="73"/>
  <c r="O350" i="73"/>
  <c r="AA350" i="73"/>
  <c r="S350" i="73"/>
  <c r="AA357" i="73"/>
  <c r="S357" i="73"/>
  <c r="O357" i="73"/>
  <c r="W357" i="73"/>
  <c r="O19" i="72"/>
  <c r="U181" i="73"/>
  <c r="U71" i="73"/>
  <c r="U66" i="73"/>
  <c r="U176" i="73"/>
  <c r="T66" i="73"/>
  <c r="T176" i="73"/>
  <c r="V178" i="73"/>
  <c r="V68" i="73"/>
  <c r="W71" i="73"/>
  <c r="W181" i="73"/>
  <c r="L323" i="73"/>
  <c r="P323" i="73"/>
  <c r="X323" i="73"/>
  <c r="T323" i="73"/>
  <c r="P337" i="73"/>
  <c r="L337" i="73"/>
  <c r="T337" i="73"/>
  <c r="X337" i="73"/>
  <c r="Z328" i="73"/>
  <c r="N328" i="73"/>
  <c r="R328" i="73"/>
  <c r="V328" i="73"/>
  <c r="N365" i="73"/>
  <c r="V365" i="73"/>
  <c r="R365" i="73"/>
  <c r="Z365" i="73"/>
  <c r="O329" i="73"/>
  <c r="W329" i="73"/>
  <c r="AA329" i="73"/>
  <c r="S329" i="73"/>
  <c r="Z368" i="73"/>
  <c r="V368" i="73"/>
  <c r="R368" i="73"/>
  <c r="N368" i="73"/>
  <c r="S353" i="73"/>
  <c r="AA353" i="73"/>
  <c r="W353" i="73"/>
  <c r="O353" i="73"/>
  <c r="Z351" i="73"/>
  <c r="N351" i="73"/>
  <c r="V351" i="73"/>
  <c r="R351" i="73"/>
  <c r="Q324" i="73"/>
  <c r="U324" i="73"/>
  <c r="Y324" i="73"/>
  <c r="M324" i="73"/>
  <c r="R367" i="73"/>
  <c r="N367" i="73"/>
  <c r="Z367" i="73"/>
  <c r="V367" i="73"/>
  <c r="T338" i="73"/>
  <c r="X338" i="73"/>
  <c r="P338" i="73"/>
  <c r="L338" i="73"/>
  <c r="AA351" i="73"/>
  <c r="S351" i="73"/>
  <c r="O351" i="73"/>
  <c r="W351" i="73"/>
  <c r="M306" i="72"/>
  <c r="P364" i="73"/>
  <c r="X364" i="73"/>
  <c r="T364" i="73"/>
  <c r="L364" i="73"/>
  <c r="T329" i="73"/>
  <c r="X329" i="73"/>
  <c r="L329" i="73"/>
  <c r="P329" i="73"/>
  <c r="S364" i="73"/>
  <c r="W364" i="73"/>
  <c r="O364" i="73"/>
  <c r="AA364" i="73"/>
  <c r="P368" i="73"/>
  <c r="X368" i="73"/>
  <c r="L368" i="73"/>
  <c r="T368" i="73"/>
  <c r="X350" i="73"/>
  <c r="L350" i="73"/>
  <c r="P350" i="73"/>
  <c r="T350" i="73"/>
  <c r="AA345" i="73"/>
  <c r="W345" i="73"/>
  <c r="S345" i="73"/>
  <c r="O345" i="73"/>
  <c r="U329" i="73"/>
  <c r="Q329" i="73"/>
  <c r="Y329" i="73"/>
  <c r="M329" i="73"/>
  <c r="V327" i="73"/>
  <c r="Z327" i="73"/>
  <c r="N327" i="73"/>
  <c r="R327" i="73"/>
  <c r="Q360" i="73"/>
  <c r="U360" i="73"/>
  <c r="Y360" i="73"/>
  <c r="M360" i="73"/>
  <c r="O341" i="73"/>
  <c r="AA341" i="73"/>
  <c r="W341" i="73"/>
  <c r="S341" i="73"/>
  <c r="U341" i="73"/>
  <c r="Y341" i="73"/>
  <c r="Q341" i="73"/>
  <c r="M341" i="73"/>
  <c r="V350" i="73"/>
  <c r="N350" i="73"/>
  <c r="R350" i="73"/>
  <c r="Z350" i="73"/>
  <c r="AA328" i="73"/>
  <c r="S328" i="73"/>
  <c r="W328" i="73"/>
  <c r="O328" i="73"/>
  <c r="T166" i="73"/>
  <c r="T56" i="73"/>
  <c r="P345" i="73"/>
  <c r="L345" i="73"/>
  <c r="X345" i="73"/>
  <c r="T345" i="73"/>
  <c r="M332" i="73"/>
  <c r="Y332" i="73"/>
  <c r="U332" i="73"/>
  <c r="Q332" i="73"/>
  <c r="U356" i="73"/>
  <c r="M356" i="73"/>
  <c r="Y356" i="73"/>
  <c r="Q356" i="73"/>
  <c r="Z321" i="73"/>
  <c r="V321" i="73"/>
  <c r="R321" i="73"/>
  <c r="U337" i="73"/>
  <c r="Q337" i="73"/>
  <c r="Y337" i="73"/>
  <c r="M337" i="73"/>
  <c r="W342" i="73"/>
  <c r="AA342" i="73"/>
  <c r="S342" i="73"/>
  <c r="O342" i="73"/>
  <c r="O25" i="72"/>
  <c r="T340" i="73"/>
  <c r="X340" i="73"/>
  <c r="L340" i="73"/>
  <c r="P340" i="73"/>
  <c r="U362" i="73"/>
  <c r="M362" i="73"/>
  <c r="Q362" i="73"/>
  <c r="Y362" i="73"/>
  <c r="O330" i="73"/>
  <c r="AA330" i="73"/>
  <c r="S330" i="73"/>
  <c r="W330" i="73"/>
  <c r="S355" i="73"/>
  <c r="AA355" i="73"/>
  <c r="W355" i="73"/>
  <c r="O355" i="73"/>
  <c r="O322" i="73"/>
  <c r="S322" i="73"/>
  <c r="AA322" i="73"/>
  <c r="W322" i="73"/>
  <c r="M366" i="73"/>
  <c r="Y366" i="73"/>
  <c r="U366" i="73"/>
  <c r="Q366" i="73"/>
  <c r="W332" i="73"/>
  <c r="O332" i="73"/>
  <c r="S332" i="73"/>
  <c r="AA332" i="73"/>
  <c r="N341" i="73"/>
  <c r="V341" i="73"/>
  <c r="R341" i="73"/>
  <c r="Z341" i="73"/>
  <c r="X359" i="73"/>
  <c r="P359" i="73"/>
  <c r="L359" i="73"/>
  <c r="T359" i="73"/>
  <c r="N366" i="73"/>
  <c r="R366" i="73"/>
  <c r="Z366" i="73"/>
  <c r="V366" i="73"/>
  <c r="R340" i="73"/>
  <c r="N340" i="73"/>
  <c r="Z340" i="73"/>
  <c r="V340" i="73"/>
  <c r="R334" i="73"/>
  <c r="N334" i="73"/>
  <c r="Z334" i="73"/>
  <c r="V334" i="73"/>
  <c r="P361" i="73"/>
  <c r="X361" i="73"/>
  <c r="T361" i="73"/>
  <c r="L361" i="73"/>
  <c r="U359" i="73"/>
  <c r="Q359" i="73"/>
  <c r="M359" i="73"/>
  <c r="Y359" i="73"/>
  <c r="M340" i="73"/>
  <c r="U340" i="73"/>
  <c r="Q340" i="73"/>
  <c r="Y340" i="73"/>
  <c r="Q326" i="73"/>
  <c r="Y326" i="73"/>
  <c r="M326" i="73"/>
  <c r="U326" i="73"/>
  <c r="S367" i="73"/>
  <c r="O367" i="73"/>
  <c r="W367" i="73"/>
  <c r="AA367" i="73"/>
  <c r="Z358" i="73"/>
  <c r="N358" i="73"/>
  <c r="R358" i="73"/>
  <c r="V358" i="73"/>
  <c r="Q336" i="73"/>
  <c r="M336" i="73"/>
  <c r="U336" i="73"/>
  <c r="Y336" i="73"/>
  <c r="O363" i="73"/>
  <c r="AA363" i="73"/>
  <c r="S363" i="73"/>
  <c r="W363" i="73"/>
  <c r="N352" i="73"/>
  <c r="Z352" i="73"/>
  <c r="R352" i="73"/>
  <c r="V352" i="73"/>
  <c r="U321" i="73"/>
  <c r="Q321" i="73"/>
  <c r="Y321" i="73"/>
  <c r="S359" i="73"/>
  <c r="W359" i="73"/>
  <c r="O359" i="73"/>
  <c r="AA359" i="73"/>
  <c r="L328" i="73"/>
  <c r="P328" i="73"/>
  <c r="X328" i="73"/>
  <c r="T328" i="73"/>
  <c r="L346" i="73"/>
  <c r="P346" i="73"/>
  <c r="T346" i="73"/>
  <c r="X346" i="73"/>
  <c r="N11" i="72"/>
  <c r="L11" i="72"/>
  <c r="T179" i="73"/>
  <c r="T69" i="73"/>
  <c r="Q89" i="73"/>
  <c r="Q154" i="73"/>
  <c r="T275" i="73"/>
  <c r="V180" i="73"/>
  <c r="V70" i="73"/>
  <c r="W347" i="73"/>
  <c r="AA347" i="73"/>
  <c r="O347" i="73"/>
  <c r="S347" i="73"/>
  <c r="M335" i="73"/>
  <c r="U335" i="73"/>
  <c r="Q335" i="73"/>
  <c r="Y335" i="73"/>
  <c r="Z335" i="73"/>
  <c r="N335" i="73"/>
  <c r="V335" i="73"/>
  <c r="R335" i="73"/>
  <c r="U70" i="73"/>
  <c r="U180" i="73"/>
  <c r="U65" i="73"/>
  <c r="U175" i="73"/>
  <c r="T181" i="73"/>
  <c r="T71" i="73"/>
  <c r="T170" i="73"/>
  <c r="T60" i="73"/>
  <c r="W170" i="73"/>
  <c r="W60" i="73"/>
  <c r="W356" i="73"/>
  <c r="AA356" i="73"/>
  <c r="O356" i="73"/>
  <c r="S356" i="73"/>
  <c r="Y323" i="73"/>
  <c r="M323" i="73"/>
  <c r="Q323" i="73"/>
  <c r="U323" i="73"/>
  <c r="R336" i="73"/>
  <c r="Z336" i="73"/>
  <c r="V336" i="73"/>
  <c r="N336" i="73"/>
  <c r="AA331" i="73"/>
  <c r="W331" i="73"/>
  <c r="O331" i="73"/>
  <c r="S331" i="73"/>
  <c r="X154" i="73"/>
  <c r="X89" i="73"/>
  <c r="V69" i="73"/>
  <c r="V179" i="73"/>
  <c r="W175" i="73"/>
  <c r="W65" i="73"/>
  <c r="Z154" i="73"/>
  <c r="Z89" i="73"/>
  <c r="P275" i="73"/>
  <c r="W275" i="73"/>
  <c r="N363" i="73"/>
  <c r="R363" i="73"/>
  <c r="V363" i="73"/>
  <c r="Z363" i="73"/>
  <c r="L357" i="73"/>
  <c r="P357" i="73"/>
  <c r="T357" i="73"/>
  <c r="X357" i="73"/>
  <c r="Y343" i="73"/>
  <c r="Q343" i="73"/>
  <c r="M343" i="73"/>
  <c r="U343" i="73"/>
  <c r="R343" i="73"/>
  <c r="Z343" i="73"/>
  <c r="N343" i="73"/>
  <c r="V343" i="73"/>
  <c r="N364" i="73"/>
  <c r="R364" i="73"/>
  <c r="Z364" i="73"/>
  <c r="V364" i="73"/>
  <c r="Q342" i="73"/>
  <c r="U342" i="73"/>
  <c r="M342" i="73"/>
  <c r="Y342" i="73"/>
  <c r="Q355" i="73"/>
  <c r="U355" i="73"/>
  <c r="M355" i="73"/>
  <c r="Y355" i="73"/>
  <c r="T333" i="73"/>
  <c r="L333" i="73"/>
  <c r="P333" i="73"/>
  <c r="X333" i="73"/>
  <c r="O360" i="73"/>
  <c r="S360" i="73"/>
  <c r="AA360" i="73"/>
  <c r="W360" i="73"/>
  <c r="T322" i="73"/>
  <c r="X322" i="73"/>
  <c r="P322" i="73"/>
  <c r="L322" i="73"/>
  <c r="O333" i="73"/>
  <c r="S333" i="73"/>
  <c r="W333" i="73"/>
  <c r="AA333" i="73"/>
  <c r="S346" i="73"/>
  <c r="AA346" i="73"/>
  <c r="O346" i="73"/>
  <c r="W346" i="73"/>
  <c r="T354" i="73"/>
  <c r="X354" i="73"/>
  <c r="L354" i="73"/>
  <c r="P354" i="73"/>
  <c r="L330" i="73"/>
  <c r="X330" i="73"/>
  <c r="P330" i="73"/>
  <c r="T330" i="73"/>
  <c r="L326" i="73"/>
  <c r="P326" i="73"/>
  <c r="X326" i="73"/>
  <c r="T326" i="73"/>
  <c r="M37" i="72"/>
  <c r="N48" i="72"/>
  <c r="T65" i="73"/>
  <c r="T175" i="73"/>
  <c r="S275" i="73"/>
  <c r="R275" i="73"/>
  <c r="V175" i="73"/>
  <c r="V65" i="73"/>
  <c r="V176" i="73"/>
  <c r="V66" i="73"/>
  <c r="L334" i="73"/>
  <c r="X334" i="73"/>
  <c r="P334" i="73"/>
  <c r="T334" i="73"/>
  <c r="N329" i="73"/>
  <c r="R329" i="73"/>
  <c r="Z329" i="73"/>
  <c r="V329" i="73"/>
  <c r="Y339" i="73"/>
  <c r="M339" i="73"/>
  <c r="Q339" i="73"/>
  <c r="U339" i="73"/>
  <c r="T341" i="73"/>
  <c r="P341" i="73"/>
  <c r="L341" i="73"/>
  <c r="X341" i="73"/>
  <c r="U69" i="73"/>
  <c r="U179" i="73"/>
  <c r="U60" i="73"/>
  <c r="U170" i="73"/>
  <c r="T70" i="73"/>
  <c r="T180" i="73"/>
  <c r="W56" i="73"/>
  <c r="W166" i="73"/>
  <c r="P353" i="73"/>
  <c r="X353" i="73"/>
  <c r="T353" i="73"/>
  <c r="L353" i="73"/>
  <c r="X365" i="73"/>
  <c r="T365" i="73"/>
  <c r="P365" i="73"/>
  <c r="L365" i="73"/>
  <c r="V356" i="73"/>
  <c r="N356" i="73"/>
  <c r="Z356" i="73"/>
  <c r="R356" i="73"/>
  <c r="Y363" i="73"/>
  <c r="U363" i="73"/>
  <c r="M363" i="73"/>
  <c r="Q363" i="73"/>
  <c r="Y353" i="73"/>
  <c r="M353" i="73"/>
  <c r="Q353" i="73"/>
  <c r="U353" i="73"/>
  <c r="P336" i="73"/>
  <c r="T336" i="73"/>
  <c r="L336" i="73"/>
  <c r="X336" i="73"/>
  <c r="V339" i="73"/>
  <c r="N339" i="73"/>
  <c r="Z339" i="73"/>
  <c r="R339" i="73"/>
  <c r="Y346" i="73"/>
  <c r="U346" i="73"/>
  <c r="Q346" i="73"/>
  <c r="M346" i="73"/>
  <c r="U328" i="73"/>
  <c r="M328" i="73"/>
  <c r="Y328" i="73"/>
  <c r="Q328" i="73"/>
  <c r="T332" i="73"/>
  <c r="X332" i="73"/>
  <c r="L332" i="73"/>
  <c r="P332" i="73"/>
  <c r="V275" i="73"/>
  <c r="Q275" i="73"/>
  <c r="W66" i="73"/>
  <c r="W176" i="73"/>
  <c r="R331" i="73"/>
  <c r="Z331" i="73"/>
  <c r="V331" i="73"/>
  <c r="N331" i="73"/>
  <c r="AA352" i="73"/>
  <c r="O352" i="73"/>
  <c r="W352" i="73"/>
  <c r="S352" i="73"/>
  <c r="V357" i="73"/>
  <c r="Z357" i="73"/>
  <c r="N357" i="73"/>
  <c r="R357" i="73"/>
  <c r="Y351" i="73"/>
  <c r="M351" i="73"/>
  <c r="Q351" i="73"/>
  <c r="U351" i="73"/>
  <c r="Z325" i="73"/>
  <c r="V325" i="73"/>
  <c r="N325" i="73"/>
  <c r="R325" i="73"/>
  <c r="AA338" i="73"/>
  <c r="O338" i="73"/>
  <c r="S338" i="73"/>
  <c r="W338" i="73"/>
  <c r="R353" i="73"/>
  <c r="V353" i="73"/>
  <c r="Z353" i="73"/>
  <c r="N353" i="73"/>
  <c r="AA349" i="73"/>
  <c r="O349" i="73"/>
  <c r="W349" i="73"/>
  <c r="S349" i="73"/>
  <c r="S354" i="73"/>
  <c r="O354" i="73"/>
  <c r="AA354" i="73"/>
  <c r="W354" i="73"/>
  <c r="P325" i="73"/>
  <c r="L325" i="73"/>
  <c r="T325" i="73"/>
  <c r="X325" i="73"/>
  <c r="W324" i="73"/>
  <c r="S324" i="73"/>
  <c r="O324" i="73"/>
  <c r="AA324" i="73"/>
  <c r="O365" i="73"/>
  <c r="W365" i="73"/>
  <c r="AA365" i="73"/>
  <c r="S365" i="73"/>
  <c r="X351" i="73"/>
  <c r="L351" i="73"/>
  <c r="P351" i="73"/>
  <c r="T351" i="73"/>
  <c r="Q334" i="73"/>
  <c r="M334" i="73"/>
  <c r="Y334" i="73"/>
  <c r="U334" i="73"/>
  <c r="V361" i="73"/>
  <c r="R361" i="73"/>
  <c r="Z361" i="73"/>
  <c r="N361" i="73"/>
  <c r="O335" i="73"/>
  <c r="W335" i="73"/>
  <c r="S335" i="73"/>
  <c r="AA335" i="73"/>
  <c r="S368" i="73"/>
  <c r="O368" i="73"/>
  <c r="AA368" i="73"/>
  <c r="W368" i="73"/>
  <c r="AA366" i="73"/>
  <c r="O366" i="73"/>
  <c r="S366" i="73"/>
  <c r="W366" i="73"/>
  <c r="M61" i="72"/>
  <c r="Y154" i="73"/>
  <c r="Y89" i="73"/>
  <c r="P154" i="73"/>
  <c r="P89" i="73"/>
  <c r="S154" i="73"/>
  <c r="S89" i="73"/>
  <c r="U275" i="73"/>
  <c r="L358" i="73"/>
  <c r="X358" i="73"/>
  <c r="P358" i="73"/>
  <c r="T358" i="73"/>
  <c r="R362" i="73"/>
  <c r="N362" i="73"/>
  <c r="V362" i="73"/>
  <c r="Z362" i="73"/>
  <c r="U331" i="73"/>
  <c r="Q331" i="73"/>
  <c r="M331" i="73"/>
  <c r="Y331" i="73"/>
  <c r="Q367" i="73"/>
  <c r="U367" i="73"/>
  <c r="Y367" i="73"/>
  <c r="M367" i="73"/>
  <c r="O323" i="73"/>
  <c r="AA323" i="73"/>
  <c r="W323" i="73"/>
  <c r="S323" i="73"/>
  <c r="L324" i="73"/>
  <c r="T324" i="73"/>
  <c r="X324" i="73"/>
  <c r="P324" i="73"/>
  <c r="O337" i="73"/>
  <c r="AA337" i="73"/>
  <c r="S337" i="73"/>
  <c r="W337" i="73"/>
  <c r="R344" i="73"/>
  <c r="Z344" i="73"/>
  <c r="N344" i="73"/>
  <c r="V344" i="73"/>
  <c r="N326" i="73"/>
  <c r="V326" i="73"/>
  <c r="R326" i="73"/>
  <c r="Z326" i="73"/>
  <c r="T347" i="73"/>
  <c r="P347" i="73"/>
  <c r="L347" i="73"/>
  <c r="X347" i="73"/>
  <c r="U68" i="73"/>
  <c r="U178" i="73"/>
  <c r="U56" i="73"/>
  <c r="U166" i="73"/>
  <c r="T178" i="73"/>
  <c r="T68" i="73"/>
  <c r="R154" i="73"/>
  <c r="R89" i="73"/>
  <c r="V181" i="73"/>
  <c r="V71" i="73"/>
  <c r="AA89" i="73"/>
  <c r="AA154" i="73"/>
  <c r="N324" i="73"/>
  <c r="R324" i="73"/>
  <c r="Z324" i="73"/>
  <c r="V324" i="73"/>
  <c r="U358" i="73"/>
  <c r="Y358" i="73"/>
  <c r="M358" i="73"/>
  <c r="Q358" i="73"/>
  <c r="P344" i="73"/>
  <c r="L344" i="73"/>
  <c r="X344" i="73"/>
  <c r="T344" i="73"/>
  <c r="N349" i="73"/>
  <c r="V349" i="73"/>
  <c r="R349" i="73"/>
  <c r="Z349" i="73"/>
  <c r="T352" i="73"/>
  <c r="X352" i="73"/>
  <c r="L352" i="73"/>
  <c r="P352" i="73"/>
  <c r="Q333" i="73"/>
  <c r="U333" i="73"/>
  <c r="Y333" i="73"/>
  <c r="M333" i="73"/>
  <c r="AA343" i="73"/>
  <c r="S343" i="73"/>
  <c r="O343" i="73"/>
  <c r="W343" i="73"/>
  <c r="O340" i="73"/>
  <c r="AA340" i="73"/>
  <c r="S340" i="73"/>
  <c r="W340" i="73"/>
  <c r="N323" i="73"/>
  <c r="Z323" i="73"/>
  <c r="R323" i="73"/>
  <c r="V323" i="73"/>
  <c r="L362" i="73"/>
  <c r="T362" i="73"/>
  <c r="P362" i="73"/>
  <c r="X362" i="73"/>
  <c r="Q349" i="73"/>
  <c r="U349" i="73"/>
  <c r="Y349" i="73"/>
  <c r="M349" i="73"/>
  <c r="X327" i="73"/>
  <c r="L327" i="73"/>
  <c r="T327" i="73"/>
  <c r="P327" i="73"/>
  <c r="M322" i="73"/>
  <c r="Y322" i="73"/>
  <c r="Q322" i="73"/>
  <c r="U322" i="73"/>
  <c r="Y365" i="73"/>
  <c r="Q365" i="73"/>
  <c r="M365" i="73"/>
  <c r="U365" i="73"/>
  <c r="P356" i="73"/>
  <c r="T356" i="73"/>
  <c r="L356" i="73"/>
  <c r="X356" i="73"/>
  <c r="Y330" i="73"/>
  <c r="Q330" i="73"/>
  <c r="U330" i="73"/>
  <c r="M330" i="73"/>
  <c r="X363" i="73"/>
  <c r="P363" i="73"/>
  <c r="T363" i="73"/>
  <c r="L363" i="73"/>
  <c r="Q352" i="73"/>
  <c r="Y352" i="73"/>
  <c r="U352" i="73"/>
  <c r="M352" i="73"/>
  <c r="Z359" i="73"/>
  <c r="R359" i="73"/>
  <c r="V359" i="73"/>
  <c r="N359" i="73"/>
  <c r="L48" i="72"/>
  <c r="O47" i="72"/>
  <c r="W179" i="73"/>
  <c r="W69" i="73"/>
  <c r="W70" i="73"/>
  <c r="W180" i="73"/>
  <c r="S327" i="73"/>
  <c r="O327" i="73"/>
  <c r="W327" i="73"/>
  <c r="AA327" i="73"/>
  <c r="W339" i="73"/>
  <c r="S339" i="73"/>
  <c r="AA339" i="73"/>
  <c r="O339" i="73"/>
  <c r="S344" i="73"/>
  <c r="W344" i="73"/>
  <c r="AA344" i="73"/>
  <c r="O344" i="73"/>
  <c r="M338" i="73"/>
  <c r="Y338" i="73"/>
  <c r="U338" i="73"/>
  <c r="Q338" i="73"/>
  <c r="N342" i="73"/>
  <c r="Z342" i="73"/>
  <c r="R342" i="73"/>
  <c r="V342" i="73"/>
  <c r="O336" i="73"/>
  <c r="W336" i="73"/>
  <c r="S336" i="73"/>
  <c r="AA336" i="73"/>
  <c r="M357" i="73"/>
  <c r="Q357" i="73"/>
  <c r="Y357" i="73"/>
  <c r="U357" i="73"/>
  <c r="U364" i="73"/>
  <c r="Q364" i="73"/>
  <c r="Y364" i="73"/>
  <c r="M364" i="73"/>
  <c r="U368" i="73"/>
  <c r="Q368" i="73"/>
  <c r="Y368" i="73"/>
  <c r="M368" i="73"/>
  <c r="R338" i="73"/>
  <c r="N338" i="73"/>
  <c r="V338" i="73"/>
  <c r="Z338" i="73"/>
  <c r="Z347" i="73"/>
  <c r="R347" i="73"/>
  <c r="N347" i="73"/>
  <c r="V347" i="73"/>
  <c r="V345" i="73"/>
  <c r="N345" i="73"/>
  <c r="R345" i="73"/>
  <c r="Z345" i="73"/>
  <c r="Q345" i="73"/>
  <c r="M345" i="73"/>
  <c r="Y345" i="73"/>
  <c r="U345" i="73"/>
  <c r="L349" i="73"/>
  <c r="T349" i="73"/>
  <c r="P349" i="73"/>
  <c r="X349" i="73"/>
  <c r="R346" i="73"/>
  <c r="Z346" i="73"/>
  <c r="V346" i="73"/>
  <c r="N346" i="73"/>
  <c r="P367" i="73"/>
  <c r="X367" i="73"/>
  <c r="L367" i="73"/>
  <c r="T367" i="73"/>
  <c r="T335" i="73"/>
  <c r="L335" i="73"/>
  <c r="P335" i="73"/>
  <c r="X335" i="73"/>
  <c r="N354" i="73"/>
  <c r="V354" i="73"/>
  <c r="Z354" i="73"/>
  <c r="R354" i="73"/>
  <c r="N355" i="73"/>
  <c r="R355" i="73"/>
  <c r="Z355" i="73"/>
  <c r="V355" i="73"/>
  <c r="U112" i="72"/>
  <c r="M112" i="72" s="1"/>
  <c r="AA362" i="73"/>
  <c r="O362" i="73"/>
  <c r="W362" i="73"/>
  <c r="S362" i="73"/>
  <c r="U347" i="73"/>
  <c r="Q347" i="73"/>
  <c r="Y347" i="73"/>
  <c r="M347" i="73"/>
  <c r="P331" i="73"/>
  <c r="X331" i="73"/>
  <c r="L331" i="73"/>
  <c r="T331" i="73"/>
  <c r="Z332" i="73"/>
  <c r="V332" i="73"/>
  <c r="N332" i="73"/>
  <c r="R332" i="73"/>
  <c r="X343" i="73"/>
  <c r="L343" i="73"/>
  <c r="T343" i="73"/>
  <c r="P343" i="73"/>
  <c r="S325" i="73"/>
  <c r="AA325" i="73"/>
  <c r="W325" i="73"/>
  <c r="O325" i="73"/>
  <c r="M344" i="73"/>
  <c r="Y344" i="73"/>
  <c r="Q344" i="73"/>
  <c r="U344" i="73"/>
  <c r="W178" i="73"/>
  <c r="W68" i="73"/>
  <c r="V170" i="73"/>
  <c r="V60" i="73"/>
  <c r="Q113" i="72"/>
  <c r="W339" i="72"/>
  <c r="W338" i="72"/>
  <c r="O322" i="72"/>
  <c r="U339" i="72"/>
  <c r="U338" i="72"/>
  <c r="M322" i="72"/>
  <c r="O258" i="72"/>
  <c r="N171" i="72"/>
  <c r="N57" i="72"/>
  <c r="P113" i="72"/>
  <c r="Q115" i="72"/>
  <c r="S113" i="72"/>
  <c r="L57" i="72"/>
  <c r="S115" i="72"/>
  <c r="T339" i="72"/>
  <c r="T338" i="72"/>
  <c r="L322" i="72"/>
  <c r="P115" i="72"/>
  <c r="M258" i="72"/>
  <c r="R115" i="72"/>
  <c r="R113" i="72"/>
  <c r="W114" i="72"/>
  <c r="O68" i="72"/>
  <c r="H69" i="66"/>
  <c r="G69" i="66"/>
  <c r="L175" i="73" l="1"/>
  <c r="L180" i="73"/>
  <c r="O176" i="73"/>
  <c r="L60" i="73"/>
  <c r="O60" i="73"/>
  <c r="O69" i="73"/>
  <c r="M180" i="73"/>
  <c r="O178" i="73"/>
  <c r="L178" i="73"/>
  <c r="M66" i="73"/>
  <c r="M175" i="73"/>
  <c r="N175" i="73"/>
  <c r="O71" i="73"/>
  <c r="N70" i="73"/>
  <c r="N181" i="73"/>
  <c r="O65" i="73"/>
  <c r="N68" i="73"/>
  <c r="N170" i="73"/>
  <c r="O93" i="72"/>
  <c r="L66" i="73"/>
  <c r="O70" i="73"/>
  <c r="M93" i="72"/>
  <c r="U89" i="73"/>
  <c r="M69" i="73"/>
  <c r="M114" i="72"/>
  <c r="V89" i="73"/>
  <c r="M68" i="73"/>
  <c r="N66" i="73"/>
  <c r="T89" i="73"/>
  <c r="L181" i="73"/>
  <c r="W89" i="73"/>
  <c r="M71" i="73"/>
  <c r="O46" i="73"/>
  <c r="O156" i="73" s="1"/>
  <c r="L47" i="73"/>
  <c r="L157" i="73" s="1"/>
  <c r="M395" i="73"/>
  <c r="L48" i="73"/>
  <c r="L158" i="73" s="1"/>
  <c r="N9" i="73"/>
  <c r="N119" i="73" s="1"/>
  <c r="M17" i="73"/>
  <c r="M127" i="73" s="1"/>
  <c r="N389" i="73"/>
  <c r="M20" i="73"/>
  <c r="M130" i="73" s="1"/>
  <c r="N44" i="73"/>
  <c r="N154" i="73" s="1"/>
  <c r="L393" i="73"/>
  <c r="N373" i="73"/>
  <c r="O19" i="73"/>
  <c r="O129" i="73" s="1"/>
  <c r="L389" i="73"/>
  <c r="M398" i="73"/>
  <c r="L43" i="73"/>
  <c r="L153" i="73" s="1"/>
  <c r="L42" i="73"/>
  <c r="L152" i="73" s="1"/>
  <c r="M53" i="73"/>
  <c r="M163" i="73" s="1"/>
  <c r="M41" i="73"/>
  <c r="M151" i="73" s="1"/>
  <c r="O53" i="73"/>
  <c r="O163" i="73" s="1"/>
  <c r="O38" i="73"/>
  <c r="O148" i="73" s="1"/>
  <c r="L28" i="73"/>
  <c r="L138" i="73" s="1"/>
  <c r="O15" i="73"/>
  <c r="O125" i="73" s="1"/>
  <c r="N42" i="73"/>
  <c r="N152" i="73" s="1"/>
  <c r="M379" i="73"/>
  <c r="O14" i="73"/>
  <c r="O124" i="73" s="1"/>
  <c r="N17" i="73"/>
  <c r="N127" i="73" s="1"/>
  <c r="N393" i="73"/>
  <c r="N400" i="73"/>
  <c r="M166" i="73"/>
  <c r="O24" i="73"/>
  <c r="O134" i="73" s="1"/>
  <c r="O23" i="73"/>
  <c r="O133" i="73" s="1"/>
  <c r="M45" i="73"/>
  <c r="M155" i="73" s="1"/>
  <c r="M14" i="73"/>
  <c r="M124" i="73" s="1"/>
  <c r="M52" i="73"/>
  <c r="M162" i="73" s="1"/>
  <c r="O28" i="73"/>
  <c r="O138" i="73" s="1"/>
  <c r="M389" i="73"/>
  <c r="L38" i="73"/>
  <c r="L148" i="73" s="1"/>
  <c r="L114" i="72"/>
  <c r="M377" i="73"/>
  <c r="N374" i="73"/>
  <c r="L34" i="73"/>
  <c r="L144" i="73" s="1"/>
  <c r="L375" i="73"/>
  <c r="O36" i="73"/>
  <c r="O146" i="73" s="1"/>
  <c r="O49" i="73"/>
  <c r="O159" i="73" s="1"/>
  <c r="N376" i="73"/>
  <c r="O397" i="73"/>
  <c r="O387" i="73"/>
  <c r="N16" i="73"/>
  <c r="N126" i="73" s="1"/>
  <c r="O16" i="73"/>
  <c r="O126" i="73" s="1"/>
  <c r="N45" i="73"/>
  <c r="N155" i="73" s="1"/>
  <c r="L55" i="73"/>
  <c r="L165" i="73" s="1"/>
  <c r="N28" i="73"/>
  <c r="N138" i="73" s="1"/>
  <c r="M400" i="73"/>
  <c r="N11" i="73"/>
  <c r="N121" i="73" s="1"/>
  <c r="N33" i="73"/>
  <c r="N143" i="73" s="1"/>
  <c r="M29" i="73"/>
  <c r="M139" i="73" s="1"/>
  <c r="M18" i="73"/>
  <c r="M128" i="73" s="1"/>
  <c r="O32" i="73"/>
  <c r="O142" i="73" s="1"/>
  <c r="O393" i="73"/>
  <c r="O45" i="73"/>
  <c r="O155" i="73" s="1"/>
  <c r="M30" i="73"/>
  <c r="M140" i="73" s="1"/>
  <c r="M27" i="73"/>
  <c r="M137" i="73" s="1"/>
  <c r="N39" i="73"/>
  <c r="N149" i="73" s="1"/>
  <c r="N41" i="73"/>
  <c r="N151" i="73" s="1"/>
  <c r="M24" i="73"/>
  <c r="M134" i="73" s="1"/>
  <c r="O376" i="73"/>
  <c r="N377" i="73"/>
  <c r="N15" i="73"/>
  <c r="N125" i="73" s="1"/>
  <c r="L16" i="73"/>
  <c r="L126" i="73" s="1"/>
  <c r="N391" i="73"/>
  <c r="N19" i="73"/>
  <c r="N129" i="73" s="1"/>
  <c r="M28" i="73"/>
  <c r="M138" i="73" s="1"/>
  <c r="L54" i="73"/>
  <c r="L164" i="73" s="1"/>
  <c r="L53" i="73"/>
  <c r="L163" i="73" s="1"/>
  <c r="L379" i="73"/>
  <c r="O13" i="73"/>
  <c r="O123" i="73" s="1"/>
  <c r="L376" i="73"/>
  <c r="N46" i="73"/>
  <c r="N156" i="73" s="1"/>
  <c r="N49" i="73"/>
  <c r="N159" i="73" s="1"/>
  <c r="L395" i="73"/>
  <c r="M373" i="73"/>
  <c r="N387" i="73"/>
  <c r="O34" i="73"/>
  <c r="O144" i="73" s="1"/>
  <c r="N379" i="73"/>
  <c r="N399" i="73"/>
  <c r="M33" i="73"/>
  <c r="M143" i="73" s="1"/>
  <c r="N43" i="73"/>
  <c r="N153" i="73" s="1"/>
  <c r="L399" i="73"/>
  <c r="N25" i="73"/>
  <c r="N135" i="73" s="1"/>
  <c r="L92" i="72"/>
  <c r="M9" i="73"/>
  <c r="M119" i="73" s="1"/>
  <c r="O22" i="73"/>
  <c r="O132" i="73" s="1"/>
  <c r="O17" i="73"/>
  <c r="O127" i="73" s="1"/>
  <c r="O33" i="73"/>
  <c r="O143" i="73" s="1"/>
  <c r="N24" i="73"/>
  <c r="N134" i="73" s="1"/>
  <c r="N20" i="73"/>
  <c r="N130" i="73" s="1"/>
  <c r="O373" i="73"/>
  <c r="N93" i="72"/>
  <c r="N26" i="73"/>
  <c r="N136" i="73" s="1"/>
  <c r="M44" i="73"/>
  <c r="M154" i="73" s="1"/>
  <c r="L37" i="73"/>
  <c r="L147" i="73" s="1"/>
  <c r="M21" i="73"/>
  <c r="M131" i="73" s="1"/>
  <c r="M387" i="73"/>
  <c r="M31" i="73"/>
  <c r="M141" i="73" s="1"/>
  <c r="L400" i="73"/>
  <c r="L391" i="73"/>
  <c r="L378" i="73"/>
  <c r="O43" i="73"/>
  <c r="O153" i="73" s="1"/>
  <c r="N23" i="73"/>
  <c r="N133" i="73" s="1"/>
  <c r="O374" i="73"/>
  <c r="O54" i="73"/>
  <c r="O164" i="73" s="1"/>
  <c r="M399" i="73"/>
  <c r="O21" i="73"/>
  <c r="O131" i="73" s="1"/>
  <c r="O55" i="73"/>
  <c r="O165" i="73" s="1"/>
  <c r="N378" i="73"/>
  <c r="M19" i="73"/>
  <c r="M129" i="73" s="1"/>
  <c r="L20" i="73"/>
  <c r="L130" i="73" s="1"/>
  <c r="L36" i="73"/>
  <c r="L146" i="73" s="1"/>
  <c r="L387" i="73"/>
  <c r="O40" i="73"/>
  <c r="O150" i="73" s="1"/>
  <c r="O41" i="73"/>
  <c r="O151" i="73" s="1"/>
  <c r="L10" i="73"/>
  <c r="L120" i="73" s="1"/>
  <c r="O18" i="73"/>
  <c r="O128" i="73" s="1"/>
  <c r="L21" i="73"/>
  <c r="L131" i="73" s="1"/>
  <c r="N32" i="73"/>
  <c r="N142" i="73" s="1"/>
  <c r="N50" i="73"/>
  <c r="N160" i="73" s="1"/>
  <c r="L398" i="73"/>
  <c r="O11" i="73"/>
  <c r="O121" i="73" s="1"/>
  <c r="L22" i="73"/>
  <c r="L132" i="73" s="1"/>
  <c r="N18" i="73"/>
  <c r="N128" i="73" s="1"/>
  <c r="N395" i="73"/>
  <c r="M50" i="73"/>
  <c r="M160" i="73" s="1"/>
  <c r="O398" i="73"/>
  <c r="O25" i="73"/>
  <c r="O135" i="73" s="1"/>
  <c r="L51" i="73"/>
  <c r="L161" i="73" s="1"/>
  <c r="L29" i="73"/>
  <c r="L139" i="73" s="1"/>
  <c r="M15" i="73"/>
  <c r="M125" i="73" s="1"/>
  <c r="M376" i="73"/>
  <c r="O27" i="73"/>
  <c r="O137" i="73" s="1"/>
  <c r="M55" i="73"/>
  <c r="M165" i="73" s="1"/>
  <c r="M54" i="73"/>
  <c r="M164" i="73" s="1"/>
  <c r="N36" i="73"/>
  <c r="N146" i="73" s="1"/>
  <c r="O50" i="73"/>
  <c r="O160" i="73" s="1"/>
  <c r="L25" i="73"/>
  <c r="L135" i="73" s="1"/>
  <c r="L30" i="73"/>
  <c r="L140" i="73" s="1"/>
  <c r="L50" i="73"/>
  <c r="L160" i="73" s="1"/>
  <c r="O10" i="73"/>
  <c r="O120" i="73" s="1"/>
  <c r="L52" i="73"/>
  <c r="L162" i="73" s="1"/>
  <c r="M397" i="73"/>
  <c r="L44" i="73"/>
  <c r="L154" i="73" s="1"/>
  <c r="O379" i="73"/>
  <c r="M49" i="73"/>
  <c r="M159" i="73" s="1"/>
  <c r="O9" i="73"/>
  <c r="O119" i="73" s="1"/>
  <c r="N34" i="73"/>
  <c r="N144" i="73" s="1"/>
  <c r="N47" i="73"/>
  <c r="N157" i="73" s="1"/>
  <c r="N10" i="73"/>
  <c r="N120" i="73" s="1"/>
  <c r="L49" i="73"/>
  <c r="L159" i="73" s="1"/>
  <c r="N54" i="73"/>
  <c r="N164" i="73" s="1"/>
  <c r="L15" i="73"/>
  <c r="L125" i="73" s="1"/>
  <c r="N375" i="73"/>
  <c r="L27" i="73"/>
  <c r="L137" i="73" s="1"/>
  <c r="L373" i="73"/>
  <c r="M23" i="73"/>
  <c r="M133" i="73" s="1"/>
  <c r="N38" i="73"/>
  <c r="N148" i="73" s="1"/>
  <c r="L12" i="73"/>
  <c r="L122" i="73" s="1"/>
  <c r="M374" i="73"/>
  <c r="M47" i="73"/>
  <c r="M157" i="73" s="1"/>
  <c r="M48" i="73"/>
  <c r="M158" i="73" s="1"/>
  <c r="N21" i="73"/>
  <c r="N131" i="73" s="1"/>
  <c r="L14" i="73"/>
  <c r="L124" i="73" s="1"/>
  <c r="N22" i="73"/>
  <c r="N132" i="73" s="1"/>
  <c r="N31" i="73"/>
  <c r="N141" i="73" s="1"/>
  <c r="O391" i="73"/>
  <c r="M22" i="73"/>
  <c r="M132" i="73" s="1"/>
  <c r="L18" i="73"/>
  <c r="L128" i="73" s="1"/>
  <c r="O30" i="73"/>
  <c r="O140" i="73" s="1"/>
  <c r="N398" i="73"/>
  <c r="O29" i="73"/>
  <c r="O139" i="73" s="1"/>
  <c r="L23" i="73"/>
  <c r="L133" i="73" s="1"/>
  <c r="O378" i="73"/>
  <c r="O42" i="73"/>
  <c r="O152" i="73" s="1"/>
  <c r="O47" i="73"/>
  <c r="O157" i="73" s="1"/>
  <c r="M39" i="73"/>
  <c r="M149" i="73" s="1"/>
  <c r="M10" i="73"/>
  <c r="M120" i="73" s="1"/>
  <c r="N13" i="73"/>
  <c r="N123" i="73" s="1"/>
  <c r="M13" i="73"/>
  <c r="M123" i="73" s="1"/>
  <c r="M36" i="73"/>
  <c r="M146" i="73" s="1"/>
  <c r="M51" i="73"/>
  <c r="M161" i="73" s="1"/>
  <c r="L9" i="73"/>
  <c r="L119" i="73" s="1"/>
  <c r="M40" i="73"/>
  <c r="M150" i="73" s="1"/>
  <c r="L39" i="73"/>
  <c r="L149" i="73" s="1"/>
  <c r="M378" i="73"/>
  <c r="L46" i="73"/>
  <c r="L156" i="73" s="1"/>
  <c r="O12" i="73"/>
  <c r="O122" i="73" s="1"/>
  <c r="L374" i="73"/>
  <c r="N53" i="73"/>
  <c r="N163" i="73" s="1"/>
  <c r="M16" i="73"/>
  <c r="M126" i="73" s="1"/>
  <c r="M12" i="73"/>
  <c r="M122" i="73" s="1"/>
  <c r="O395" i="73"/>
  <c r="N37" i="73"/>
  <c r="N147" i="73" s="1"/>
  <c r="M42" i="73"/>
  <c r="M152" i="73" s="1"/>
  <c r="L41" i="73"/>
  <c r="L151" i="73" s="1"/>
  <c r="N12" i="73"/>
  <c r="N122" i="73" s="1"/>
  <c r="O389" i="73"/>
  <c r="O44" i="73"/>
  <c r="O154" i="73" s="1"/>
  <c r="N29" i="73"/>
  <c r="N139" i="73" s="1"/>
  <c r="M11" i="73"/>
  <c r="M121" i="73" s="1"/>
  <c r="O37" i="73"/>
  <c r="O147" i="73" s="1"/>
  <c r="M43" i="73"/>
  <c r="M153" i="73" s="1"/>
  <c r="L397" i="73"/>
  <c r="O377" i="73"/>
  <c r="N55" i="73"/>
  <c r="N165" i="73" s="1"/>
  <c r="O399" i="73"/>
  <c r="O31" i="73"/>
  <c r="O141" i="73" s="1"/>
  <c r="N40" i="73"/>
  <c r="N150" i="73" s="1"/>
  <c r="L377" i="73"/>
  <c r="N51" i="73"/>
  <c r="N161" i="73" s="1"/>
  <c r="M391" i="73"/>
  <c r="O92" i="72"/>
  <c r="L26" i="73"/>
  <c r="L136" i="73" s="1"/>
  <c r="N92" i="72"/>
  <c r="N27" i="73"/>
  <c r="N137" i="73" s="1"/>
  <c r="L13" i="73"/>
  <c r="L123" i="73" s="1"/>
  <c r="L31" i="73"/>
  <c r="L141" i="73" s="1"/>
  <c r="M38" i="73"/>
  <c r="M148" i="73" s="1"/>
  <c r="N52" i="73"/>
  <c r="N162" i="73" s="1"/>
  <c r="L17" i="73"/>
  <c r="L127" i="73" s="1"/>
  <c r="M25" i="73"/>
  <c r="M135" i="73" s="1"/>
  <c r="M375" i="73"/>
  <c r="O400" i="73"/>
  <c r="M32" i="73"/>
  <c r="M142" i="73" s="1"/>
  <c r="M46" i="73"/>
  <c r="M156" i="73" s="1"/>
  <c r="N48" i="73"/>
  <c r="N158" i="73" s="1"/>
  <c r="M37" i="73"/>
  <c r="M147" i="73" s="1"/>
  <c r="M34" i="73"/>
  <c r="M144" i="73" s="1"/>
  <c r="M393" i="73"/>
  <c r="O39" i="73"/>
  <c r="O149" i="73" s="1"/>
  <c r="O20" i="73"/>
  <c r="O130" i="73" s="1"/>
  <c r="M26" i="73"/>
  <c r="M136" i="73" s="1"/>
  <c r="O52" i="73"/>
  <c r="O162" i="73" s="1"/>
  <c r="L45" i="73"/>
  <c r="L155" i="73" s="1"/>
  <c r="O48" i="73"/>
  <c r="O158" i="73" s="1"/>
  <c r="O26" i="73"/>
  <c r="O136" i="73" s="1"/>
  <c r="N397" i="73"/>
  <c r="L33" i="73"/>
  <c r="L143" i="73" s="1"/>
  <c r="N30" i="73"/>
  <c r="N140" i="73" s="1"/>
  <c r="L19" i="73"/>
  <c r="L129" i="73" s="1"/>
  <c r="L11" i="73"/>
  <c r="L121" i="73" s="1"/>
  <c r="N14" i="73"/>
  <c r="N124" i="73" s="1"/>
  <c r="O375" i="73"/>
  <c r="O51" i="73"/>
  <c r="O161" i="73" s="1"/>
  <c r="L24" i="73"/>
  <c r="L134" i="73" s="1"/>
  <c r="M369" i="73"/>
  <c r="M341" i="72"/>
  <c r="O369" i="73"/>
  <c r="O341" i="72"/>
  <c r="M385" i="73"/>
  <c r="M342" i="72"/>
  <c r="O385" i="73"/>
  <c r="O342" i="72"/>
  <c r="L385" i="73"/>
  <c r="L342" i="72"/>
  <c r="N369" i="73"/>
  <c r="N341" i="72"/>
  <c r="L369" i="73"/>
  <c r="L341" i="72"/>
  <c r="O321" i="73"/>
  <c r="N385" i="73"/>
  <c r="N342" i="72"/>
  <c r="M321" i="73"/>
  <c r="N321" i="73"/>
  <c r="M56" i="73"/>
  <c r="O166" i="73"/>
  <c r="O56" i="73"/>
  <c r="O8" i="73"/>
  <c r="O118" i="73" s="1"/>
  <c r="M92" i="72"/>
  <c r="L93" i="72"/>
  <c r="N8" i="73"/>
  <c r="N118" i="73" s="1"/>
  <c r="M8" i="73"/>
  <c r="M118" i="73" s="1"/>
  <c r="L8" i="73"/>
  <c r="L118" i="73" s="1"/>
  <c r="V115" i="72"/>
  <c r="T115" i="72"/>
  <c r="L179" i="73"/>
  <c r="L69" i="73"/>
  <c r="T113" i="72"/>
  <c r="L113" i="72" s="1"/>
  <c r="N339" i="72"/>
  <c r="N338" i="72"/>
  <c r="N179" i="73"/>
  <c r="N114" i="72"/>
  <c r="N69" i="73"/>
  <c r="W113" i="72"/>
  <c r="O113" i="72" s="1"/>
  <c r="V113" i="72"/>
  <c r="N113" i="72" s="1"/>
  <c r="U115" i="72"/>
  <c r="U113" i="72"/>
  <c r="M113" i="72" s="1"/>
  <c r="M60" i="73"/>
  <c r="M170" i="73"/>
  <c r="L166" i="73"/>
  <c r="L56" i="73"/>
  <c r="N56" i="73"/>
  <c r="N166" i="73"/>
  <c r="W115" i="72"/>
  <c r="O338" i="72"/>
  <c r="O339" i="72"/>
  <c r="L338" i="72"/>
  <c r="L339" i="72"/>
  <c r="O114" i="72"/>
  <c r="M338" i="72"/>
  <c r="M339" i="72"/>
  <c r="E3" i="80"/>
  <c r="M115" i="72" l="1"/>
  <c r="L115" i="72"/>
  <c r="O89" i="73"/>
  <c r="N89" i="73"/>
  <c r="L89" i="73"/>
  <c r="M89" i="73"/>
  <c r="N115" i="72"/>
  <c r="O115" i="72"/>
  <c r="A66" i="74"/>
  <c r="A63" i="74"/>
  <c r="A64" i="74"/>
  <c r="S1" i="57"/>
  <c r="B5" i="68" l="1"/>
  <c r="B4" i="68"/>
  <c r="B3" i="68"/>
  <c r="B5" i="69"/>
  <c r="B4" i="69"/>
  <c r="B3" i="69"/>
  <c r="B5" i="70"/>
  <c r="B4" i="70"/>
  <c r="B3" i="70"/>
  <c r="HG12" i="68" l="1"/>
  <c r="T104" i="72" s="1"/>
  <c r="HE12" i="68"/>
  <c r="L104" i="72" s="1"/>
  <c r="HG11" i="68"/>
  <c r="HE11" i="68"/>
  <c r="HG10" i="68"/>
  <c r="HE10" i="68"/>
  <c r="HG12" i="69"/>
  <c r="U104" i="72" s="1"/>
  <c r="HE12" i="69"/>
  <c r="M104" i="72" s="1"/>
  <c r="HG11" i="69"/>
  <c r="HE11" i="69"/>
  <c r="HG10" i="69"/>
  <c r="HE10" i="69"/>
  <c r="HG12" i="70"/>
  <c r="V104" i="72" s="1"/>
  <c r="HE12" i="70"/>
  <c r="N104" i="72" s="1"/>
  <c r="HG11" i="70"/>
  <c r="HE11" i="70"/>
  <c r="HG10" i="70"/>
  <c r="HE10" i="70"/>
  <c r="CI10" i="79" l="1"/>
  <c r="UA10" i="79" l="1"/>
  <c r="VU10" i="79"/>
  <c r="VT10" i="79"/>
  <c r="VS10" i="79"/>
  <c r="VR10" i="79"/>
  <c r="VQ10" i="79"/>
  <c r="VP10" i="79"/>
  <c r="VI10" i="79"/>
  <c r="VH10" i="79"/>
  <c r="VB10" i="79"/>
  <c r="VA10" i="79"/>
  <c r="UZ10" i="79"/>
  <c r="UY10" i="79"/>
  <c r="UX10" i="79"/>
  <c r="UW10" i="79"/>
  <c r="UQ10" i="79"/>
  <c r="UP10" i="79"/>
  <c r="UM10" i="79"/>
  <c r="UL10" i="79"/>
  <c r="UK10" i="79"/>
  <c r="UJ10" i="79"/>
  <c r="UI10" i="79"/>
  <c r="UH10" i="79"/>
  <c r="UB10" i="79"/>
  <c r="TU10" i="79"/>
  <c r="TT10" i="79"/>
  <c r="TS10" i="79"/>
  <c r="TR10" i="79"/>
  <c r="TQ10" i="79"/>
  <c r="TP10" i="79"/>
  <c r="TI10" i="79"/>
  <c r="TH10" i="79"/>
  <c r="TB10" i="79"/>
  <c r="TA10" i="79"/>
  <c r="SZ10" i="79"/>
  <c r="SY10" i="79"/>
  <c r="SX10" i="79"/>
  <c r="SW10" i="79"/>
  <c r="SQ10" i="79"/>
  <c r="SP10" i="79"/>
  <c r="SM10" i="79"/>
  <c r="SL10" i="79"/>
  <c r="SK10" i="79"/>
  <c r="SJ10" i="79"/>
  <c r="SI10" i="79"/>
  <c r="SH10" i="79"/>
  <c r="SB10" i="79"/>
  <c r="SA10" i="79"/>
  <c r="RU10" i="79"/>
  <c r="RT10" i="79"/>
  <c r="RS10" i="79"/>
  <c r="RR10" i="79"/>
  <c r="RQ10" i="79"/>
  <c r="RP10" i="79"/>
  <c r="RI10" i="79"/>
  <c r="RH10" i="79"/>
  <c r="RB10" i="79"/>
  <c r="RA10" i="79"/>
  <c r="QZ10" i="79"/>
  <c r="QY10" i="79"/>
  <c r="QX10" i="79"/>
  <c r="QW10" i="79"/>
  <c r="QQ10" i="79"/>
  <c r="QP10" i="79"/>
  <c r="QM10" i="79"/>
  <c r="QL10" i="79"/>
  <c r="QK10" i="79"/>
  <c r="QJ10" i="79"/>
  <c r="QI10" i="79"/>
  <c r="QH10" i="79"/>
  <c r="QB10" i="79"/>
  <c r="QA10" i="79"/>
  <c r="PX10" i="79"/>
  <c r="PW10" i="79"/>
  <c r="PV10" i="79"/>
  <c r="PU10" i="79"/>
  <c r="PT10" i="79"/>
  <c r="PS10" i="79"/>
  <c r="PR10" i="79"/>
  <c r="PQ10" i="79"/>
  <c r="PP10" i="79"/>
  <c r="PO10" i="79"/>
  <c r="PN10" i="79"/>
  <c r="PM10" i="79"/>
  <c r="PL10" i="79"/>
  <c r="PK10" i="79"/>
  <c r="PJ10" i="79"/>
  <c r="PI10" i="79"/>
  <c r="PH10" i="79"/>
  <c r="PG10" i="79"/>
  <c r="PF10" i="79"/>
  <c r="PE10" i="79"/>
  <c r="PD10" i="79"/>
  <c r="PC10" i="79"/>
  <c r="PB10" i="79"/>
  <c r="PA10" i="79"/>
  <c r="OZ10" i="79"/>
  <c r="OY10" i="79"/>
  <c r="OX10" i="79"/>
  <c r="OW10" i="79"/>
  <c r="OV10" i="79"/>
  <c r="OU10" i="79"/>
  <c r="OT10" i="79"/>
  <c r="OS10" i="79"/>
  <c r="OR10" i="79"/>
  <c r="OQ10" i="79"/>
  <c r="OP10" i="79"/>
  <c r="OO10" i="79"/>
  <c r="ON10" i="79"/>
  <c r="OM10" i="79"/>
  <c r="OL10" i="79"/>
  <c r="OK10" i="79"/>
  <c r="OJ10" i="79"/>
  <c r="OI10" i="79"/>
  <c r="OH10" i="79"/>
  <c r="OG10" i="79"/>
  <c r="OF10" i="79"/>
  <c r="OE10" i="79"/>
  <c r="OD10" i="79"/>
  <c r="OC10" i="79"/>
  <c r="OB10" i="79"/>
  <c r="OA10" i="79"/>
  <c r="NZ10" i="79"/>
  <c r="NY10" i="79"/>
  <c r="NX10" i="79"/>
  <c r="NW10" i="79"/>
  <c r="NV10" i="79"/>
  <c r="NU10" i="79"/>
  <c r="NT10" i="79"/>
  <c r="NS10" i="79"/>
  <c r="NR10" i="79"/>
  <c r="NQ10" i="79"/>
  <c r="NP10" i="79"/>
  <c r="NO10" i="79"/>
  <c r="NN10" i="79"/>
  <c r="NM10" i="79"/>
  <c r="NL10" i="79"/>
  <c r="NK10" i="79"/>
  <c r="NJ10" i="79"/>
  <c r="NI10" i="79"/>
  <c r="NH10" i="79"/>
  <c r="NG10" i="79"/>
  <c r="NF10" i="79"/>
  <c r="NE10" i="79"/>
  <c r="ND10" i="79"/>
  <c r="NC10" i="79"/>
  <c r="MY10" i="79"/>
  <c r="MJ10" i="79"/>
  <c r="ME10" i="79"/>
  <c r="LZ10" i="79"/>
  <c r="LU10" i="79"/>
  <c r="LO10" i="79"/>
  <c r="LK10" i="79"/>
  <c r="LJ10" i="79"/>
  <c r="LC10" i="79"/>
  <c r="KW10" i="79"/>
  <c r="KS10" i="79"/>
  <c r="KR10" i="79"/>
  <c r="KK10" i="79"/>
  <c r="KI10" i="79"/>
  <c r="KH10" i="79"/>
  <c r="KG10" i="79"/>
  <c r="KF10" i="79"/>
  <c r="KE10" i="79"/>
  <c r="KD10" i="79"/>
  <c r="KC10" i="79"/>
  <c r="KB10" i="79"/>
  <c r="KA10" i="79"/>
  <c r="JZ10" i="79"/>
  <c r="JY10" i="79"/>
  <c r="JX10" i="79"/>
  <c r="JW10" i="79"/>
  <c r="JV10" i="79"/>
  <c r="JU10" i="79"/>
  <c r="JT10" i="79"/>
  <c r="JS10" i="79"/>
  <c r="JR10" i="79"/>
  <c r="JQ10" i="79"/>
  <c r="JP10" i="79"/>
  <c r="JO10" i="79"/>
  <c r="JN10" i="79"/>
  <c r="JM10" i="79"/>
  <c r="JL10" i="79"/>
  <c r="JK10" i="79"/>
  <c r="IR10" i="79"/>
  <c r="IQ10" i="79"/>
  <c r="IH10" i="79"/>
  <c r="IG10" i="79"/>
  <c r="HZ10" i="79"/>
  <c r="HY10" i="79"/>
  <c r="HP10" i="79"/>
  <c r="HO10" i="79"/>
  <c r="HN10" i="79"/>
  <c r="HM10" i="79"/>
  <c r="HL10" i="79"/>
  <c r="HK10" i="79"/>
  <c r="HJ10" i="79"/>
  <c r="HI10" i="79"/>
  <c r="HH10" i="79"/>
  <c r="HG10" i="79"/>
  <c r="HF10" i="79"/>
  <c r="HE10" i="79"/>
  <c r="HD10" i="79"/>
  <c r="HC10" i="79"/>
  <c r="HB10" i="79"/>
  <c r="HA10" i="79"/>
  <c r="GZ10" i="79"/>
  <c r="GY10" i="79"/>
  <c r="GX10" i="79"/>
  <c r="GW10" i="79"/>
  <c r="GV10" i="79"/>
  <c r="GU10" i="79"/>
  <c r="GT10" i="79"/>
  <c r="GS10" i="79"/>
  <c r="GR10" i="79"/>
  <c r="GQ10" i="79"/>
  <c r="GP10" i="79"/>
  <c r="GO10" i="79"/>
  <c r="GN10" i="79"/>
  <c r="GM10" i="79"/>
  <c r="GL10" i="79"/>
  <c r="GK10" i="79"/>
  <c r="GJ10" i="79"/>
  <c r="GI10" i="79"/>
  <c r="GH10" i="79"/>
  <c r="GG10" i="79"/>
  <c r="GF10" i="79"/>
  <c r="GE10" i="79"/>
  <c r="GD10" i="79"/>
  <c r="GC10" i="79"/>
  <c r="GB10" i="79"/>
  <c r="GA10" i="79"/>
  <c r="FZ10" i="79"/>
  <c r="FY10" i="79"/>
  <c r="FX10" i="79"/>
  <c r="FW10" i="79"/>
  <c r="FV10" i="79"/>
  <c r="FU10" i="79"/>
  <c r="FT10" i="79"/>
  <c r="FS10" i="79"/>
  <c r="FR10" i="79"/>
  <c r="FQ10" i="79"/>
  <c r="FP10" i="79"/>
  <c r="FO10" i="79"/>
  <c r="FN10" i="79"/>
  <c r="FM10" i="79"/>
  <c r="FL10" i="79"/>
  <c r="FK10" i="79"/>
  <c r="FJ10" i="79"/>
  <c r="FI10" i="79"/>
  <c r="FH10" i="79"/>
  <c r="FG10" i="79"/>
  <c r="FF10" i="79"/>
  <c r="FE10" i="79"/>
  <c r="FD10" i="79"/>
  <c r="FC10" i="79"/>
  <c r="FB10" i="79"/>
  <c r="FA10" i="79"/>
  <c r="EZ10" i="79"/>
  <c r="EY10" i="79"/>
  <c r="EX10" i="79"/>
  <c r="EW10" i="79"/>
  <c r="EV10" i="79"/>
  <c r="EU10" i="79"/>
  <c r="ET10" i="79"/>
  <c r="ES10" i="79"/>
  <c r="ER10" i="79"/>
  <c r="EQ10" i="79"/>
  <c r="EP10" i="79"/>
  <c r="EO10" i="79"/>
  <c r="EN10" i="79"/>
  <c r="EM10" i="79"/>
  <c r="EL10" i="79"/>
  <c r="EK10" i="79"/>
  <c r="EJ10" i="79"/>
  <c r="EI10" i="79"/>
  <c r="EH10" i="79"/>
  <c r="EG10" i="79"/>
  <c r="DN10" i="79"/>
  <c r="DM10" i="79"/>
  <c r="DD10" i="79"/>
  <c r="DC10" i="79"/>
  <c r="CV10" i="79"/>
  <c r="CU10" i="79"/>
  <c r="CL10" i="79"/>
  <c r="CK10" i="79"/>
  <c r="CJ10" i="79"/>
  <c r="CH10" i="79"/>
  <c r="CG10" i="79"/>
  <c r="CF10" i="79"/>
  <c r="CA10" i="79"/>
  <c r="BZ10" i="79"/>
  <c r="BY10" i="79"/>
  <c r="BX10" i="79"/>
  <c r="BP10" i="79"/>
  <c r="BH10" i="79"/>
  <c r="AZ10" i="79"/>
  <c r="AR10" i="79"/>
  <c r="AJ10" i="79"/>
  <c r="AF10" i="79"/>
  <c r="AE10" i="79"/>
  <c r="AA10" i="79"/>
  <c r="Z10" i="79"/>
  <c r="Y10" i="79"/>
  <c r="X10" i="79"/>
  <c r="W10" i="79"/>
  <c r="VT9" i="79"/>
  <c r="VS9" i="79"/>
  <c r="VR9" i="79"/>
  <c r="VQ9" i="79"/>
  <c r="VK9" i="79"/>
  <c r="VJ9" i="79"/>
  <c r="VI9" i="79"/>
  <c r="VH9" i="79"/>
  <c r="VG9" i="79"/>
  <c r="VF9" i="79"/>
  <c r="VA9" i="79"/>
  <c r="UZ9" i="79"/>
  <c r="UY9" i="79"/>
  <c r="UX9" i="79"/>
  <c r="US9" i="79"/>
  <c r="UR9" i="79"/>
  <c r="UQ9" i="79"/>
  <c r="UP9" i="79"/>
  <c r="UO9" i="79"/>
  <c r="UN9" i="79"/>
  <c r="UL9" i="79"/>
  <c r="UK9" i="79"/>
  <c r="UJ9" i="79"/>
  <c r="UI9" i="79"/>
  <c r="UD9" i="79"/>
  <c r="UC9" i="79"/>
  <c r="UB9" i="79"/>
  <c r="UA9" i="79"/>
  <c r="TZ9" i="79"/>
  <c r="TY9" i="79"/>
  <c r="TT9" i="79"/>
  <c r="TS9" i="79"/>
  <c r="TR9" i="79"/>
  <c r="TQ9" i="79"/>
  <c r="TK9" i="79"/>
  <c r="TJ9" i="79"/>
  <c r="TI9" i="79"/>
  <c r="TH9" i="79"/>
  <c r="TG9" i="79"/>
  <c r="TF9" i="79"/>
  <c r="TA9" i="79"/>
  <c r="SZ9" i="79"/>
  <c r="SY9" i="79"/>
  <c r="SX9" i="79"/>
  <c r="SS9" i="79"/>
  <c r="SR9" i="79"/>
  <c r="SQ9" i="79"/>
  <c r="SP9" i="79"/>
  <c r="SO9" i="79"/>
  <c r="SN9" i="79"/>
  <c r="SL9" i="79"/>
  <c r="SK9" i="79"/>
  <c r="SJ9" i="79"/>
  <c r="SI9" i="79"/>
  <c r="SD9" i="79"/>
  <c r="SC9" i="79"/>
  <c r="SB9" i="79"/>
  <c r="SA9" i="79"/>
  <c r="RZ9" i="79"/>
  <c r="RY9" i="79"/>
  <c r="RT9" i="79"/>
  <c r="RS9" i="79"/>
  <c r="RR9" i="79"/>
  <c r="RQ9" i="79"/>
  <c r="RK9" i="79"/>
  <c r="RJ9" i="79"/>
  <c r="RI9" i="79"/>
  <c r="RH9" i="79"/>
  <c r="RG9" i="79"/>
  <c r="RF9" i="79"/>
  <c r="RA9" i="79"/>
  <c r="QZ9" i="79"/>
  <c r="QY9" i="79"/>
  <c r="QX9" i="79"/>
  <c r="QS9" i="79"/>
  <c r="QR9" i="79"/>
  <c r="QQ9" i="79"/>
  <c r="QP9" i="79"/>
  <c r="QO9" i="79"/>
  <c r="QN9" i="79"/>
  <c r="QL9" i="79"/>
  <c r="QK9" i="79"/>
  <c r="QJ9" i="79"/>
  <c r="QI9" i="79"/>
  <c r="QD9" i="79"/>
  <c r="QC9" i="79"/>
  <c r="QB9" i="79"/>
  <c r="QA9" i="79"/>
  <c r="PZ9" i="79"/>
  <c r="PY9" i="79"/>
  <c r="PN9" i="79"/>
  <c r="PM9" i="79"/>
  <c r="PL9" i="79"/>
  <c r="PK9" i="79"/>
  <c r="PJ9" i="79"/>
  <c r="NY9" i="79"/>
  <c r="NX9" i="79"/>
  <c r="KI9" i="79"/>
  <c r="KH9" i="79"/>
  <c r="KG9" i="79"/>
  <c r="KD9" i="79"/>
  <c r="KC9" i="79"/>
  <c r="KB9" i="79"/>
  <c r="JY9" i="79"/>
  <c r="JX9" i="79"/>
  <c r="JW9" i="79"/>
  <c r="JT9" i="79"/>
  <c r="JS9" i="79"/>
  <c r="JR9" i="79"/>
  <c r="JO9" i="79"/>
  <c r="JN9" i="79"/>
  <c r="JM9" i="79"/>
  <c r="JJ9" i="79"/>
  <c r="JI9" i="79"/>
  <c r="JH9" i="79"/>
  <c r="JG9" i="79"/>
  <c r="JF9" i="79"/>
  <c r="JE9" i="79"/>
  <c r="JD9" i="79"/>
  <c r="JC9" i="79"/>
  <c r="JB9" i="79"/>
  <c r="JA9" i="79"/>
  <c r="IZ9" i="79"/>
  <c r="IY9" i="79"/>
  <c r="IX9" i="79"/>
  <c r="IW9" i="79"/>
  <c r="IV9" i="79"/>
  <c r="IU9" i="79"/>
  <c r="IT9" i="79"/>
  <c r="IS9" i="79"/>
  <c r="IR9" i="79"/>
  <c r="IQ9" i="79"/>
  <c r="IP9" i="79"/>
  <c r="IO9" i="79"/>
  <c r="IN9" i="79"/>
  <c r="IM9" i="79"/>
  <c r="IL9" i="79"/>
  <c r="IK9" i="79"/>
  <c r="IJ9" i="79"/>
  <c r="II9" i="79"/>
  <c r="IH9" i="79"/>
  <c r="IG9" i="79"/>
  <c r="IF9" i="79"/>
  <c r="IE9" i="79"/>
  <c r="ID9" i="79"/>
  <c r="IC9" i="79"/>
  <c r="IB9" i="79"/>
  <c r="IA9" i="79"/>
  <c r="HZ9" i="79"/>
  <c r="HY9" i="79"/>
  <c r="HX9" i="79"/>
  <c r="HW9" i="79"/>
  <c r="HM9" i="79"/>
  <c r="HL9" i="79"/>
  <c r="HK9" i="79"/>
  <c r="HJ9" i="79"/>
  <c r="HG9" i="79"/>
  <c r="HF9" i="79"/>
  <c r="HE9" i="79"/>
  <c r="HD9" i="79"/>
  <c r="HA9" i="79"/>
  <c r="GZ9" i="79"/>
  <c r="GY9" i="79"/>
  <c r="GX9" i="79"/>
  <c r="GU9" i="79"/>
  <c r="GT9" i="79"/>
  <c r="GS9" i="79"/>
  <c r="GR9" i="79"/>
  <c r="GO9" i="79"/>
  <c r="GN9" i="79"/>
  <c r="GM9" i="79"/>
  <c r="GL9" i="79"/>
  <c r="GI9" i="79"/>
  <c r="GH9" i="79"/>
  <c r="GG9" i="79"/>
  <c r="GF9" i="79"/>
  <c r="GC9" i="79"/>
  <c r="GB9" i="79"/>
  <c r="GA9" i="79"/>
  <c r="FZ9" i="79"/>
  <c r="FW9" i="79"/>
  <c r="FV9" i="79"/>
  <c r="FU9" i="79"/>
  <c r="FT9" i="79"/>
  <c r="FQ9" i="79"/>
  <c r="FP9" i="79"/>
  <c r="FO9" i="79"/>
  <c r="FN9" i="79"/>
  <c r="FK9" i="79"/>
  <c r="FJ9" i="79"/>
  <c r="FI9" i="79"/>
  <c r="FH9" i="79"/>
  <c r="FE9" i="79"/>
  <c r="FD9" i="79"/>
  <c r="FC9" i="79"/>
  <c r="EZ9" i="79"/>
  <c r="EY9" i="79"/>
  <c r="EX9" i="79"/>
  <c r="EU9" i="79"/>
  <c r="ET9" i="79"/>
  <c r="ES9" i="79"/>
  <c r="EP9" i="79"/>
  <c r="EO9" i="79"/>
  <c r="EN9" i="79"/>
  <c r="EK9" i="79"/>
  <c r="EJ9" i="79"/>
  <c r="EI9" i="79"/>
  <c r="EF9" i="79"/>
  <c r="EE9" i="79"/>
  <c r="ED9" i="79"/>
  <c r="EC9" i="79"/>
  <c r="EB9" i="79"/>
  <c r="EA9" i="79"/>
  <c r="DZ9" i="79"/>
  <c r="DY9" i="79"/>
  <c r="DX9" i="79"/>
  <c r="DW9" i="79"/>
  <c r="DV9" i="79"/>
  <c r="DU9" i="79"/>
  <c r="DT9" i="79"/>
  <c r="DS9" i="79"/>
  <c r="DR9" i="79"/>
  <c r="DQ9" i="79"/>
  <c r="DP9" i="79"/>
  <c r="DO9" i="79"/>
  <c r="DN9" i="79"/>
  <c r="DM9" i="79"/>
  <c r="DL9" i="79"/>
  <c r="DK9" i="79"/>
  <c r="DJ9" i="79"/>
  <c r="DI9" i="79"/>
  <c r="DH9" i="79"/>
  <c r="DG9" i="79"/>
  <c r="DF9" i="79"/>
  <c r="DE9" i="79"/>
  <c r="DD9" i="79"/>
  <c r="DC9" i="79"/>
  <c r="DB9" i="79"/>
  <c r="DA9" i="79"/>
  <c r="CZ9" i="79"/>
  <c r="CY9" i="79"/>
  <c r="CX9" i="79"/>
  <c r="CW9" i="79"/>
  <c r="CV9" i="79"/>
  <c r="CU9" i="79"/>
  <c r="CT9" i="79"/>
  <c r="CS9" i="79"/>
  <c r="VW8" i="79"/>
  <c r="VV8" i="79"/>
  <c r="VU8" i="79"/>
  <c r="VQ8" i="79"/>
  <c r="VP8" i="79"/>
  <c r="VO8" i="79"/>
  <c r="VN8" i="79"/>
  <c r="VM8" i="79"/>
  <c r="VL8" i="79"/>
  <c r="VJ8" i="79"/>
  <c r="VH8" i="79"/>
  <c r="VF8" i="79"/>
  <c r="VD8" i="79"/>
  <c r="VC8" i="79"/>
  <c r="VB8" i="79"/>
  <c r="UX8" i="79"/>
  <c r="UW8" i="79"/>
  <c r="UV8" i="79"/>
  <c r="UU8" i="79"/>
  <c r="UT8" i="79"/>
  <c r="UR8" i="79"/>
  <c r="UP8" i="79"/>
  <c r="UN8" i="79"/>
  <c r="UM8" i="79"/>
  <c r="UI8" i="79"/>
  <c r="UH8" i="79"/>
  <c r="UG8" i="79"/>
  <c r="UF8" i="79"/>
  <c r="UE8" i="79"/>
  <c r="UC8" i="79"/>
  <c r="UA8" i="79"/>
  <c r="TY8" i="79"/>
  <c r="TW8" i="79"/>
  <c r="TV8" i="79"/>
  <c r="TU8" i="79"/>
  <c r="TQ8" i="79"/>
  <c r="TP8" i="79"/>
  <c r="TO8" i="79"/>
  <c r="TN8" i="79"/>
  <c r="TM8" i="79"/>
  <c r="TL8" i="79"/>
  <c r="TJ8" i="79"/>
  <c r="TH8" i="79"/>
  <c r="TF8" i="79"/>
  <c r="TD8" i="79"/>
  <c r="TC8" i="79"/>
  <c r="TB8" i="79"/>
  <c r="SX8" i="79"/>
  <c r="SW8" i="79"/>
  <c r="SV8" i="79"/>
  <c r="SU8" i="79"/>
  <c r="ST8" i="79"/>
  <c r="SR8" i="79"/>
  <c r="SP8" i="79"/>
  <c r="SN8" i="79"/>
  <c r="SM8" i="79"/>
  <c r="SI8" i="79"/>
  <c r="SH8" i="79"/>
  <c r="SG8" i="79"/>
  <c r="SF8" i="79"/>
  <c r="SE8" i="79"/>
  <c r="SC8" i="79"/>
  <c r="SA8" i="79"/>
  <c r="RY8" i="79"/>
  <c r="RW8" i="79"/>
  <c r="RV8" i="79"/>
  <c r="RU8" i="79"/>
  <c r="RQ8" i="79"/>
  <c r="RP8" i="79"/>
  <c r="RO8" i="79"/>
  <c r="RN8" i="79"/>
  <c r="RM8" i="79"/>
  <c r="RL8" i="79"/>
  <c r="RJ8" i="79"/>
  <c r="RH8" i="79"/>
  <c r="RF8" i="79"/>
  <c r="RD8" i="79"/>
  <c r="RC8" i="79"/>
  <c r="RB8" i="79"/>
  <c r="QX8" i="79"/>
  <c r="QW8" i="79"/>
  <c r="QV8" i="79"/>
  <c r="QU8" i="79"/>
  <c r="QT8" i="79"/>
  <c r="QR8" i="79"/>
  <c r="QP8" i="79"/>
  <c r="QN8" i="79"/>
  <c r="QM8" i="79"/>
  <c r="QI8" i="79"/>
  <c r="QH8" i="79"/>
  <c r="QG8" i="79"/>
  <c r="QF8" i="79"/>
  <c r="QE8" i="79"/>
  <c r="QC8" i="79"/>
  <c r="QA8" i="79"/>
  <c r="PY8" i="79"/>
  <c r="PH8" i="79"/>
  <c r="PG8" i="79"/>
  <c r="PF8" i="79"/>
  <c r="PE8" i="79"/>
  <c r="PD8" i="79"/>
  <c r="PC8" i="79"/>
  <c r="PB8" i="79"/>
  <c r="PA8" i="79"/>
  <c r="OZ8" i="79"/>
  <c r="OY8" i="79"/>
  <c r="OX8" i="79"/>
  <c r="OW8" i="79"/>
  <c r="OV8" i="79"/>
  <c r="OU8" i="79"/>
  <c r="OT8" i="79"/>
  <c r="OS8" i="79"/>
  <c r="OR8" i="79"/>
  <c r="OQ8" i="79"/>
  <c r="OP8" i="79"/>
  <c r="OO8" i="79"/>
  <c r="ON8" i="79"/>
  <c r="OM8" i="79"/>
  <c r="OL8" i="79"/>
  <c r="OK8" i="79"/>
  <c r="OJ8" i="79"/>
  <c r="OI8" i="79"/>
  <c r="OH8" i="79"/>
  <c r="OG8" i="79"/>
  <c r="OF8" i="79"/>
  <c r="OE8" i="79"/>
  <c r="OD8" i="79"/>
  <c r="OC8" i="79"/>
  <c r="OB8" i="79"/>
  <c r="OA8" i="79"/>
  <c r="NZ8" i="79"/>
  <c r="NY8" i="79"/>
  <c r="NX8" i="79"/>
  <c r="NU8" i="79"/>
  <c r="NT8" i="79"/>
  <c r="NS8" i="79"/>
  <c r="NR8" i="79"/>
  <c r="NQ8" i="79"/>
  <c r="NP8" i="79"/>
  <c r="NO8" i="79"/>
  <c r="NL8" i="79"/>
  <c r="NK8" i="79"/>
  <c r="NJ8" i="79"/>
  <c r="NI8" i="79"/>
  <c r="NH8" i="79"/>
  <c r="NG8" i="79"/>
  <c r="NF8" i="79"/>
  <c r="NE8" i="79"/>
  <c r="ND8" i="79"/>
  <c r="NC8" i="79"/>
  <c r="NB8" i="79"/>
  <c r="NA8" i="79"/>
  <c r="MZ8" i="79"/>
  <c r="MY8" i="79"/>
  <c r="MX8" i="79"/>
  <c r="MW8" i="79"/>
  <c r="MV8" i="79"/>
  <c r="MU8" i="79"/>
  <c r="MT8" i="79"/>
  <c r="MS8" i="79"/>
  <c r="MR8" i="79"/>
  <c r="MQ8" i="79"/>
  <c r="MP8" i="79"/>
  <c r="MO8" i="79"/>
  <c r="MN8" i="79"/>
  <c r="MM8" i="79"/>
  <c r="ML8" i="79"/>
  <c r="MK8" i="79"/>
  <c r="MJ8" i="79"/>
  <c r="MI8" i="79"/>
  <c r="MH8" i="79"/>
  <c r="MG8" i="79"/>
  <c r="MF8" i="79"/>
  <c r="ME8" i="79"/>
  <c r="MD8" i="79"/>
  <c r="MC8" i="79"/>
  <c r="MB8" i="79"/>
  <c r="MA8" i="79"/>
  <c r="LZ8" i="79"/>
  <c r="LY8" i="79"/>
  <c r="LX8" i="79"/>
  <c r="LW8" i="79"/>
  <c r="LV8" i="79"/>
  <c r="LU8" i="79"/>
  <c r="LT8" i="79"/>
  <c r="LS8" i="79"/>
  <c r="LR8" i="79"/>
  <c r="LQ8" i="79"/>
  <c r="LP8" i="79"/>
  <c r="LO8" i="79"/>
  <c r="LN8" i="79"/>
  <c r="LM8" i="79"/>
  <c r="LL8" i="79"/>
  <c r="LK8" i="79"/>
  <c r="LJ8" i="79"/>
  <c r="LI8" i="79"/>
  <c r="LH8" i="79"/>
  <c r="LG8" i="79"/>
  <c r="LF8" i="79"/>
  <c r="LE8" i="79"/>
  <c r="LA8" i="79"/>
  <c r="KZ8" i="79"/>
  <c r="KY8" i="79"/>
  <c r="KX8" i="79"/>
  <c r="KW8" i="79"/>
  <c r="KV8" i="79"/>
  <c r="KU8" i="79"/>
  <c r="KT8" i="79"/>
  <c r="KS8" i="79"/>
  <c r="KR8" i="79"/>
  <c r="KQ8" i="79"/>
  <c r="KP8" i="79"/>
  <c r="KO8" i="79"/>
  <c r="KN8" i="79"/>
  <c r="KM8" i="79"/>
  <c r="KG8" i="79"/>
  <c r="KF8" i="79"/>
  <c r="KE8" i="79"/>
  <c r="KB8" i="79"/>
  <c r="KA8" i="79"/>
  <c r="JZ8" i="79"/>
  <c r="JW8" i="79"/>
  <c r="JV8" i="79"/>
  <c r="JU8" i="79"/>
  <c r="JR8" i="79"/>
  <c r="JQ8" i="79"/>
  <c r="JP8" i="79"/>
  <c r="JM8" i="79"/>
  <c r="JL8" i="79"/>
  <c r="JK8" i="79"/>
  <c r="JI8" i="79"/>
  <c r="JG8" i="79"/>
  <c r="JE8" i="79"/>
  <c r="JC8" i="79"/>
  <c r="JA8" i="79"/>
  <c r="IY8" i="79"/>
  <c r="IW8" i="79"/>
  <c r="IU8" i="79"/>
  <c r="IS8" i="79"/>
  <c r="IQ8" i="79"/>
  <c r="IO8" i="79"/>
  <c r="IM8" i="79"/>
  <c r="IK8" i="79"/>
  <c r="II8" i="79"/>
  <c r="IG8" i="79"/>
  <c r="IE8" i="79"/>
  <c r="IC8" i="79"/>
  <c r="IA8" i="79"/>
  <c r="HY8" i="79"/>
  <c r="HW8" i="79"/>
  <c r="HV8" i="79"/>
  <c r="HU8" i="79"/>
  <c r="HS8" i="79"/>
  <c r="HR8" i="79"/>
  <c r="HP8" i="79"/>
  <c r="HO8" i="79"/>
  <c r="HK8" i="79"/>
  <c r="HJ8" i="79"/>
  <c r="HI8" i="79"/>
  <c r="HH8" i="79"/>
  <c r="HE8" i="79"/>
  <c r="HD8" i="79"/>
  <c r="HC8" i="79"/>
  <c r="HB8" i="79"/>
  <c r="GY8" i="79"/>
  <c r="GX8" i="79"/>
  <c r="GW8" i="79"/>
  <c r="GV8" i="79"/>
  <c r="GS8" i="79"/>
  <c r="GR8" i="79"/>
  <c r="GQ8" i="79"/>
  <c r="GP8" i="79"/>
  <c r="GM8" i="79"/>
  <c r="GL8" i="79"/>
  <c r="GK8" i="79"/>
  <c r="GJ8" i="79"/>
  <c r="GG8" i="79"/>
  <c r="GF8" i="79"/>
  <c r="GE8" i="79"/>
  <c r="GD8" i="79"/>
  <c r="GA8" i="79"/>
  <c r="FZ8" i="79"/>
  <c r="FY8" i="79"/>
  <c r="FX8" i="79"/>
  <c r="FU8" i="79"/>
  <c r="FT8" i="79"/>
  <c r="FS8" i="79"/>
  <c r="FR8" i="79"/>
  <c r="FO8" i="79"/>
  <c r="FN8" i="79"/>
  <c r="FM8" i="79"/>
  <c r="FL8" i="79"/>
  <c r="FI8" i="79"/>
  <c r="FH8" i="79"/>
  <c r="FG8" i="79"/>
  <c r="FF8" i="79"/>
  <c r="FC8" i="79"/>
  <c r="FB8" i="79"/>
  <c r="FA8" i="79"/>
  <c r="EX8" i="79"/>
  <c r="EW8" i="79"/>
  <c r="EV8" i="79"/>
  <c r="ES8" i="79"/>
  <c r="ER8" i="79"/>
  <c r="EQ8" i="79"/>
  <c r="EN8" i="79"/>
  <c r="EM8" i="79"/>
  <c r="EL8" i="79"/>
  <c r="EI8" i="79"/>
  <c r="EH8" i="79"/>
  <c r="EG8" i="79"/>
  <c r="EE8" i="79"/>
  <c r="EC8" i="79"/>
  <c r="EA8" i="79"/>
  <c r="DY8" i="79"/>
  <c r="DW8" i="79"/>
  <c r="DU8" i="79"/>
  <c r="DS8" i="79"/>
  <c r="DQ8" i="79"/>
  <c r="DO8" i="79"/>
  <c r="DM8" i="79"/>
  <c r="DK8" i="79"/>
  <c r="DI8" i="79"/>
  <c r="DG8" i="79"/>
  <c r="DE8" i="79"/>
  <c r="DC8" i="79"/>
  <c r="DA8" i="79"/>
  <c r="CY8" i="79"/>
  <c r="CW8" i="79"/>
  <c r="CU8" i="79"/>
  <c r="CS8" i="79"/>
  <c r="CR8" i="79"/>
  <c r="CQ8" i="79"/>
  <c r="CO8" i="79"/>
  <c r="CN8" i="79"/>
  <c r="CL8" i="79"/>
  <c r="CK8" i="79"/>
  <c r="VX7" i="79"/>
  <c r="VV7" i="79"/>
  <c r="VP7" i="79"/>
  <c r="VO7" i="79"/>
  <c r="VM7" i="79"/>
  <c r="VL7" i="79"/>
  <c r="VF7" i="79"/>
  <c r="VE7" i="79"/>
  <c r="VC7" i="79"/>
  <c r="UW7" i="79"/>
  <c r="UV7" i="79"/>
  <c r="UU7" i="79"/>
  <c r="UT7" i="79"/>
  <c r="UN7" i="79"/>
  <c r="UH7" i="79"/>
  <c r="UG7" i="79"/>
  <c r="UF7" i="79"/>
  <c r="UE7" i="79"/>
  <c r="TY7" i="79"/>
  <c r="TX7" i="79"/>
  <c r="TV7" i="79"/>
  <c r="TP7" i="79"/>
  <c r="TO7" i="79"/>
  <c r="TM7" i="79"/>
  <c r="TL7" i="79"/>
  <c r="TF7" i="79"/>
  <c r="TE7" i="79"/>
  <c r="TC7" i="79"/>
  <c r="SW7" i="79"/>
  <c r="SV7" i="79"/>
  <c r="SU7" i="79"/>
  <c r="ST7" i="79"/>
  <c r="SN7" i="79"/>
  <c r="SH7" i="79"/>
  <c r="SG7" i="79"/>
  <c r="SF7" i="79"/>
  <c r="SE7" i="79"/>
  <c r="RY7" i="79"/>
  <c r="RX7" i="79"/>
  <c r="RV7" i="79"/>
  <c r="RP7" i="79"/>
  <c r="RO7" i="79"/>
  <c r="RM7" i="79"/>
  <c r="RL7" i="79"/>
  <c r="RF7" i="79"/>
  <c r="RE7" i="79"/>
  <c r="RC7" i="79"/>
  <c r="QW7" i="79"/>
  <c r="QV7" i="79"/>
  <c r="QU7" i="79"/>
  <c r="QT7" i="79"/>
  <c r="QN7" i="79"/>
  <c r="QH7" i="79"/>
  <c r="QG7" i="79"/>
  <c r="QF7" i="79"/>
  <c r="QE7" i="79"/>
  <c r="PY7" i="79"/>
  <c r="PX7" i="79"/>
  <c r="PW7" i="79"/>
  <c r="PV7" i="79"/>
  <c r="PU7" i="79"/>
  <c r="PT7" i="79"/>
  <c r="PS7" i="79"/>
  <c r="PR7" i="79"/>
  <c r="PQ7" i="79"/>
  <c r="PP7" i="79"/>
  <c r="PO7" i="79"/>
  <c r="PI7" i="79"/>
  <c r="PD7" i="79"/>
  <c r="OY7" i="79"/>
  <c r="OT7" i="79"/>
  <c r="OO7" i="79"/>
  <c r="OJ7" i="79"/>
  <c r="OE7" i="79"/>
  <c r="NZ7" i="79"/>
  <c r="NX7" i="79"/>
  <c r="NW7" i="79"/>
  <c r="NV7" i="79"/>
  <c r="NQ7" i="79"/>
  <c r="NO7" i="79"/>
  <c r="NN7" i="79"/>
  <c r="NM7" i="79"/>
  <c r="NH7" i="79"/>
  <c r="NC7" i="79"/>
  <c r="MX7" i="79"/>
  <c r="MS7" i="79"/>
  <c r="MN7" i="79"/>
  <c r="MI7" i="79"/>
  <c r="MD7" i="79"/>
  <c r="LY7" i="79"/>
  <c r="LT7" i="79"/>
  <c r="LO7" i="79"/>
  <c r="LJ7" i="79"/>
  <c r="LE7" i="79"/>
  <c r="LD7" i="79"/>
  <c r="LC7" i="79"/>
  <c r="LB7" i="79"/>
  <c r="KW7" i="79"/>
  <c r="KR7" i="79"/>
  <c r="KM7" i="79"/>
  <c r="KL7" i="79"/>
  <c r="KK7" i="79"/>
  <c r="KJ7" i="79"/>
  <c r="JA7" i="79"/>
  <c r="IQ7" i="79"/>
  <c r="IG7" i="79"/>
  <c r="HW7" i="79"/>
  <c r="HT7" i="79"/>
  <c r="HQ7" i="79"/>
  <c r="HN7" i="79"/>
  <c r="DW7" i="79"/>
  <c r="DM7" i="79"/>
  <c r="DC7" i="79"/>
  <c r="CS7" i="79"/>
  <c r="CP7" i="79"/>
  <c r="CM7" i="79"/>
  <c r="CJ7" i="79"/>
  <c r="BP7" i="79"/>
  <c r="BL7" i="79"/>
  <c r="BH7" i="79"/>
  <c r="BD7" i="79"/>
  <c r="AZ7" i="79"/>
  <c r="AV7" i="79"/>
  <c r="AR7" i="79"/>
  <c r="AN7" i="79"/>
  <c r="AJ7" i="79"/>
  <c r="AF7" i="79"/>
  <c r="AB7" i="79"/>
  <c r="X7" i="79"/>
  <c r="T7" i="79"/>
  <c r="L7" i="79"/>
  <c r="H7" i="79"/>
  <c r="D7" i="79"/>
  <c r="C7" i="79"/>
  <c r="VF6" i="79"/>
  <c r="UN6" i="79"/>
  <c r="TY6" i="79"/>
  <c r="TF6" i="79"/>
  <c r="SN6" i="79"/>
  <c r="RY6" i="79"/>
  <c r="RF6" i="79"/>
  <c r="QN6" i="79"/>
  <c r="PY6" i="79"/>
  <c r="PT6" i="79"/>
  <c r="PO6" i="79"/>
  <c r="OT6" i="79"/>
  <c r="NZ6" i="79"/>
  <c r="NQ6" i="79"/>
  <c r="NC6" i="79"/>
  <c r="MX6" i="79"/>
  <c r="LY6" i="79"/>
  <c r="LT6" i="79"/>
  <c r="LE6" i="79"/>
  <c r="LB6" i="79"/>
  <c r="KM6" i="79"/>
  <c r="KJ6" i="79"/>
  <c r="JK6" i="79"/>
  <c r="HW6" i="79"/>
  <c r="HN6" i="79"/>
  <c r="FF6" i="79"/>
  <c r="EG6" i="79"/>
  <c r="CS6" i="79"/>
  <c r="BT6" i="79"/>
  <c r="BD6" i="79"/>
  <c r="AN6" i="79"/>
  <c r="AF6" i="79"/>
  <c r="T6" i="79"/>
  <c r="P6" i="79"/>
  <c r="C6" i="79"/>
  <c r="TY5" i="79"/>
  <c r="RY5" i="79"/>
  <c r="PY5" i="79"/>
  <c r="PO5" i="79"/>
  <c r="NC5" i="79"/>
  <c r="LY5" i="79"/>
  <c r="LT5" i="79"/>
  <c r="LB5" i="79"/>
  <c r="KJ5" i="79"/>
  <c r="HN5" i="79"/>
  <c r="CG5" i="79"/>
  <c r="CF5" i="79"/>
  <c r="BT5" i="79"/>
  <c r="AN5" i="79"/>
  <c r="A19" i="52" l="1"/>
  <c r="A20" i="52"/>
  <c r="A21" i="52"/>
  <c r="A22" i="52"/>
  <c r="A23" i="52"/>
  <c r="A24" i="52"/>
  <c r="A25" i="52"/>
  <c r="A26" i="52"/>
  <c r="A27" i="52"/>
  <c r="Y41" i="77" l="1"/>
  <c r="S41" i="77"/>
  <c r="M41" i="77"/>
  <c r="Y19" i="77"/>
  <c r="S19" i="77"/>
  <c r="M19" i="77"/>
  <c r="B6" i="73" l="1"/>
  <c r="B117" i="72"/>
  <c r="B8" i="72"/>
  <c r="B170" i="72" s="1"/>
  <c r="B257" i="72" s="1"/>
  <c r="B346" i="72" s="1"/>
  <c r="AQ74" i="76" l="1"/>
  <c r="AN74" i="76"/>
  <c r="AL74" i="76"/>
  <c r="AJ74" i="76"/>
  <c r="AK74" i="76" s="1"/>
  <c r="AQ73" i="76"/>
  <c r="AN73" i="76"/>
  <c r="AL73" i="76"/>
  <c r="AJ73" i="76"/>
  <c r="AK73" i="76" s="1"/>
  <c r="AQ72" i="76"/>
  <c r="AN72" i="76"/>
  <c r="AL72" i="76"/>
  <c r="AJ72" i="76"/>
  <c r="AK72" i="76" s="1"/>
  <c r="AQ71" i="76"/>
  <c r="AN71" i="76"/>
  <c r="AL71" i="76"/>
  <c r="AM71" i="76" s="1"/>
  <c r="AJ71" i="76"/>
  <c r="AK71" i="76" s="1"/>
  <c r="AK63" i="76"/>
  <c r="AK62" i="76"/>
  <c r="AK61" i="76"/>
  <c r="G58" i="76"/>
  <c r="G57" i="76"/>
  <c r="AK54" i="76"/>
  <c r="AL54" i="76" s="1"/>
  <c r="AK53" i="76"/>
  <c r="AL53" i="76" s="1"/>
  <c r="AK52" i="76"/>
  <c r="AL52" i="76" s="1"/>
  <c r="G50" i="76"/>
  <c r="G52" i="76" s="1"/>
  <c r="G54" i="76" s="1"/>
  <c r="G56" i="76" s="1"/>
  <c r="G49" i="76"/>
  <c r="G51" i="76" s="1"/>
  <c r="G53" i="76" s="1"/>
  <c r="G55" i="76" s="1"/>
  <c r="G48" i="76"/>
  <c r="G47" i="76"/>
  <c r="G46" i="76"/>
  <c r="G45" i="76"/>
  <c r="G44" i="76"/>
  <c r="AK43" i="76"/>
  <c r="AM43" i="76" s="1"/>
  <c r="G43" i="76"/>
  <c r="AK42" i="76"/>
  <c r="AM42" i="76" s="1"/>
  <c r="AK41" i="76"/>
  <c r="AM41" i="76" s="1"/>
  <c r="AB31" i="76"/>
  <c r="AB30" i="76"/>
  <c r="AB29" i="76"/>
  <c r="BA17" i="76"/>
  <c r="AR17" i="76"/>
  <c r="AI17" i="76"/>
  <c r="X17" i="76"/>
  <c r="J25" i="76"/>
  <c r="L25" i="76"/>
  <c r="L19" i="76"/>
  <c r="J19" i="76"/>
  <c r="L46" i="76"/>
  <c r="J43" i="76"/>
  <c r="J46" i="76"/>
  <c r="J41" i="76"/>
  <c r="Z28" i="77"/>
  <c r="T28" i="77"/>
  <c r="N28" i="77"/>
  <c r="Z7" i="77"/>
  <c r="X31" i="76" s="1"/>
  <c r="AE31" i="76" s="1"/>
  <c r="T7" i="77"/>
  <c r="X30" i="76" s="1"/>
  <c r="BA28" i="76" s="1"/>
  <c r="N7" i="77"/>
  <c r="X29" i="76" s="1"/>
  <c r="E4" i="77"/>
  <c r="C4" i="77"/>
  <c r="E2" i="77"/>
  <c r="C2" i="77"/>
  <c r="AO71" i="76"/>
  <c r="AJ65" i="76"/>
  <c r="AA65" i="76"/>
  <c r="AJ64" i="76"/>
  <c r="AA64" i="76"/>
  <c r="AA63" i="76"/>
  <c r="AA62" i="76"/>
  <c r="AA61" i="76"/>
  <c r="AA60" i="76"/>
  <c r="AH58" i="76"/>
  <c r="AJ56" i="76"/>
  <c r="AJ55" i="76"/>
  <c r="AH49" i="76"/>
  <c r="AJ45" i="76"/>
  <c r="AJ44" i="76"/>
  <c r="L43" i="76"/>
  <c r="L41" i="76"/>
  <c r="L39" i="76"/>
  <c r="J39" i="76"/>
  <c r="AH38" i="76"/>
  <c r="AG37" i="76"/>
  <c r="L37" i="76"/>
  <c r="J37" i="76"/>
  <c r="AO35" i="76"/>
  <c r="AK35" i="76"/>
  <c r="L35" i="76"/>
  <c r="J35" i="76"/>
  <c r="AO34" i="76"/>
  <c r="AM34" i="76"/>
  <c r="AM35" i="76" s="1"/>
  <c r="AK34" i="76"/>
  <c r="Y34" i="76"/>
  <c r="Z34" i="76" s="1"/>
  <c r="AA34" i="76" s="1"/>
  <c r="AN34" i="76" s="1"/>
  <c r="AN35" i="76" s="1"/>
  <c r="AI33" i="76"/>
  <c r="L33" i="76"/>
  <c r="J33" i="76"/>
  <c r="AA31" i="76"/>
  <c r="BO29" i="76" s="1"/>
  <c r="BO30" i="76" s="1"/>
  <c r="Z31" i="76"/>
  <c r="BN29" i="76" s="1"/>
  <c r="BN30" i="76" s="1"/>
  <c r="Y31" i="76"/>
  <c r="BM29" i="76" s="1"/>
  <c r="BM30" i="76" s="1"/>
  <c r="L31" i="76"/>
  <c r="J31" i="76"/>
  <c r="BP30" i="76"/>
  <c r="BL30" i="76"/>
  <c r="BK30" i="76"/>
  <c r="BG30" i="76"/>
  <c r="BC30" i="76"/>
  <c r="BB30" i="76"/>
  <c r="AX30" i="76"/>
  <c r="AT30" i="76"/>
  <c r="AS30" i="76"/>
  <c r="AO30" i="76"/>
  <c r="AK30" i="76"/>
  <c r="AJ30" i="76"/>
  <c r="BP29" i="76"/>
  <c r="BL29" i="76"/>
  <c r="BK29" i="76"/>
  <c r="BG29" i="76"/>
  <c r="BC29" i="76"/>
  <c r="BB29" i="76"/>
  <c r="AX29" i="76"/>
  <c r="AT29" i="76"/>
  <c r="AS29" i="76"/>
  <c r="AO29" i="76"/>
  <c r="AK29" i="76"/>
  <c r="AJ29" i="76"/>
  <c r="AI28" i="76"/>
  <c r="AX23" i="76"/>
  <c r="BG23" i="76" s="1"/>
  <c r="AO23" i="76"/>
  <c r="AK23" i="76"/>
  <c r="AT23" i="76" s="1"/>
  <c r="BC23" i="76" s="1"/>
  <c r="AJ23" i="76"/>
  <c r="AS23" i="76" s="1"/>
  <c r="BB23" i="76" s="1"/>
  <c r="AX22" i="76"/>
  <c r="BG22" i="76" s="1"/>
  <c r="AO22" i="76"/>
  <c r="AK22" i="76"/>
  <c r="AT22" i="76" s="1"/>
  <c r="BC22" i="76" s="1"/>
  <c r="AJ22" i="76"/>
  <c r="AS22" i="76" s="1"/>
  <c r="BB22" i="76" s="1"/>
  <c r="AT21" i="76"/>
  <c r="BC21" i="76" s="1"/>
  <c r="AO21" i="76"/>
  <c r="AX21" i="76" s="1"/>
  <c r="BG21" i="76" s="1"/>
  <c r="AK21" i="76"/>
  <c r="AJ21" i="76"/>
  <c r="AS21" i="76" s="1"/>
  <c r="BB21" i="76" s="1"/>
  <c r="AO20" i="76"/>
  <c r="AX20" i="76" s="1"/>
  <c r="BG20" i="76" s="1"/>
  <c r="AK20" i="76"/>
  <c r="AT20" i="76" s="1"/>
  <c r="BC20" i="76" s="1"/>
  <c r="AJ20" i="76"/>
  <c r="AS20" i="76" s="1"/>
  <c r="BB20" i="76" s="1"/>
  <c r="AO19" i="76"/>
  <c r="AX19" i="76" s="1"/>
  <c r="BG19" i="76" s="1"/>
  <c r="AK19" i="76"/>
  <c r="AT19" i="76" s="1"/>
  <c r="BC19" i="76" s="1"/>
  <c r="AJ19" i="76"/>
  <c r="AS19" i="76" s="1"/>
  <c r="BB19" i="76" s="1"/>
  <c r="X19" i="76"/>
  <c r="X20" i="76" s="1"/>
  <c r="AO18" i="76"/>
  <c r="AX18" i="76" s="1"/>
  <c r="BG18" i="76" s="1"/>
  <c r="AK18" i="76"/>
  <c r="AT18" i="76" s="1"/>
  <c r="BC18" i="76" s="1"/>
  <c r="AJ18" i="76"/>
  <c r="AS18" i="76" s="1"/>
  <c r="BB18" i="76" s="1"/>
  <c r="AO13" i="76"/>
  <c r="AN13" i="76"/>
  <c r="AK13" i="76"/>
  <c r="AJ13" i="76"/>
  <c r="AL13" i="76" s="1"/>
  <c r="L13" i="76"/>
  <c r="J13" i="76"/>
  <c r="AO12" i="76"/>
  <c r="AN12" i="76"/>
  <c r="AM12" i="76"/>
  <c r="AL12" i="76"/>
  <c r="AK12" i="76"/>
  <c r="AJ12" i="76"/>
  <c r="AO11" i="76"/>
  <c r="AK11" i="76"/>
  <c r="AJ11" i="76"/>
  <c r="AN11" i="76" s="1"/>
  <c r="AO10" i="76"/>
  <c r="AK10" i="76"/>
  <c r="AJ10" i="76"/>
  <c r="AN10" i="76" s="1"/>
  <c r="AO9" i="76"/>
  <c r="AK9" i="76"/>
  <c r="AJ9" i="76"/>
  <c r="AN9" i="76" s="1"/>
  <c r="AO8" i="76"/>
  <c r="AN8" i="76"/>
  <c r="AM8" i="76"/>
  <c r="AL8" i="76"/>
  <c r="AK8" i="76"/>
  <c r="AJ8" i="76"/>
  <c r="L7" i="76"/>
  <c r="J7" i="76"/>
  <c r="AG4" i="76"/>
  <c r="DZ10" i="79"/>
  <c r="DY10" i="79"/>
  <c r="JD10" i="79"/>
  <c r="JC10" i="79"/>
  <c r="AB21" i="46"/>
  <c r="AL22" i="46"/>
  <c r="R21" i="46"/>
  <c r="U21" i="46"/>
  <c r="R20" i="46"/>
  <c r="AL20" i="46"/>
  <c r="AB22" i="46"/>
  <c r="AB20" i="46"/>
  <c r="AO21" i="46"/>
  <c r="AE21" i="46"/>
  <c r="AL21" i="46"/>
  <c r="R22" i="46"/>
  <c r="X28" i="76" l="1"/>
  <c r="AR28" i="76"/>
  <c r="AR71" i="76"/>
  <c r="AR73" i="76"/>
  <c r="AM74" i="76"/>
  <c r="AO74" i="76"/>
  <c r="AR74" i="76"/>
  <c r="AO73" i="76"/>
  <c r="N10" i="79"/>
  <c r="O10" i="79"/>
  <c r="J10" i="79"/>
  <c r="K10" i="79"/>
  <c r="G10" i="79"/>
  <c r="E10" i="79"/>
  <c r="R10" i="79"/>
  <c r="F10" i="79"/>
  <c r="I10" i="79"/>
  <c r="S10" i="79"/>
  <c r="M10" i="79"/>
  <c r="Q10" i="79"/>
  <c r="AL10" i="76"/>
  <c r="AM10" i="76"/>
  <c r="AB19" i="76"/>
  <c r="Y19" i="76" s="1"/>
  <c r="AL18" i="76" s="1"/>
  <c r="AL22" i="76" s="1"/>
  <c r="AC19" i="76"/>
  <c r="Z19" i="76" s="1"/>
  <c r="AM18" i="76" s="1"/>
  <c r="AD19" i="76"/>
  <c r="AA19" i="76" s="1"/>
  <c r="AN18" i="76" s="1"/>
  <c r="AM13" i="76"/>
  <c r="AL34" i="76"/>
  <c r="AL35" i="76" s="1"/>
  <c r="AL63" i="76"/>
  <c r="AL41" i="76"/>
  <c r="AM72" i="76"/>
  <c r="AO72" i="76"/>
  <c r="AO70" i="76" s="1"/>
  <c r="AR72" i="76"/>
  <c r="AR70" i="76" s="1"/>
  <c r="AM73" i="76"/>
  <c r="AE29" i="76"/>
  <c r="AA29" i="76" s="1"/>
  <c r="AW29" i="76" s="1"/>
  <c r="AW30" i="76" s="1"/>
  <c r="AD30" i="76"/>
  <c r="Z30" i="76" s="1"/>
  <c r="BE29" i="76" s="1"/>
  <c r="BE30" i="76" s="1"/>
  <c r="AE30" i="76"/>
  <c r="AA30" i="76" s="1"/>
  <c r="BF29" i="76" s="1"/>
  <c r="BF30" i="76" s="1"/>
  <c r="AC31" i="76"/>
  <c r="BJ28" i="76"/>
  <c r="AD31" i="76"/>
  <c r="AK70" i="76"/>
  <c r="AL62" i="76"/>
  <c r="AC29" i="76"/>
  <c r="Y29" i="76" s="1"/>
  <c r="AU29" i="76" s="1"/>
  <c r="AU30" i="76" s="1"/>
  <c r="AD29" i="76"/>
  <c r="Z29" i="76" s="1"/>
  <c r="AV29" i="76" s="1"/>
  <c r="AV30" i="76" s="1"/>
  <c r="AD18" i="76"/>
  <c r="AA18" i="76" s="1"/>
  <c r="AC18" i="76"/>
  <c r="Z18" i="76" s="1"/>
  <c r="AB18" i="76"/>
  <c r="Y18" i="76" s="1"/>
  <c r="AD20" i="76"/>
  <c r="AA20" i="76" s="1"/>
  <c r="AW18" i="76" s="1"/>
  <c r="X21" i="76"/>
  <c r="AC20" i="76"/>
  <c r="Z20" i="76" s="1"/>
  <c r="AV18" i="76" s="1"/>
  <c r="AB20" i="76"/>
  <c r="Y20" i="76" s="1"/>
  <c r="AU18" i="76" s="1"/>
  <c r="AL42" i="76"/>
  <c r="AL61" i="76"/>
  <c r="AL9" i="76"/>
  <c r="AM9" i="76"/>
  <c r="AL11" i="76"/>
  <c r="AM11" i="76"/>
  <c r="AL43" i="76"/>
  <c r="AC30" i="76"/>
  <c r="Y30" i="76" s="1"/>
  <c r="BD29" i="76" s="1"/>
  <c r="BD30" i="76" s="1"/>
  <c r="AL21" i="76" l="1"/>
  <c r="AL19" i="76"/>
  <c r="AL23" i="76"/>
  <c r="AL20" i="76"/>
  <c r="AM22" i="76"/>
  <c r="AM23" i="76"/>
  <c r="AM21" i="76"/>
  <c r="AM20" i="76"/>
  <c r="AM19" i="76"/>
  <c r="AM70" i="76"/>
  <c r="AV22" i="76"/>
  <c r="AV21" i="76"/>
  <c r="AV20" i="76"/>
  <c r="AV19" i="76"/>
  <c r="AV23" i="76"/>
  <c r="AU23" i="76"/>
  <c r="AU22" i="76"/>
  <c r="AU21" i="76"/>
  <c r="AU20" i="76"/>
  <c r="AU19" i="76"/>
  <c r="AW22" i="76"/>
  <c r="AW21" i="76"/>
  <c r="AW20" i="76"/>
  <c r="AW19" i="76"/>
  <c r="AW23" i="76"/>
  <c r="AN20" i="76"/>
  <c r="AN19" i="76"/>
  <c r="AN23" i="76"/>
  <c r="AN22" i="76"/>
  <c r="AN21" i="76"/>
  <c r="AD21" i="76"/>
  <c r="AA21" i="76" s="1"/>
  <c r="BF18" i="76" s="1"/>
  <c r="X22" i="76"/>
  <c r="AC21" i="76"/>
  <c r="Z21" i="76" s="1"/>
  <c r="BE18" i="76" s="1"/>
  <c r="AB21" i="76"/>
  <c r="Y21" i="76" s="1"/>
  <c r="BD18" i="76" s="1"/>
  <c r="BE20" i="76" l="1"/>
  <c r="BE22" i="76"/>
  <c r="BE19" i="76"/>
  <c r="BE23" i="76"/>
  <c r="BE21" i="76"/>
  <c r="BD19" i="76"/>
  <c r="BD20" i="76"/>
  <c r="BD23" i="76"/>
  <c r="BD21" i="76"/>
  <c r="BD22" i="76"/>
  <c r="BF20" i="76"/>
  <c r="BF23" i="76"/>
  <c r="BF22" i="76"/>
  <c r="BF19" i="76"/>
  <c r="BF21" i="76"/>
  <c r="AC22" i="76"/>
  <c r="Z22" i="76" s="1"/>
  <c r="AB22" i="76"/>
  <c r="Y22" i="76" s="1"/>
  <c r="X23" i="76"/>
  <c r="AD22" i="76"/>
  <c r="AA22" i="76" s="1"/>
  <c r="A110" i="74"/>
  <c r="A109" i="74"/>
  <c r="A108" i="74"/>
  <c r="A107" i="74"/>
  <c r="A106" i="74"/>
  <c r="A105" i="74"/>
  <c r="A104" i="74"/>
  <c r="A103" i="74"/>
  <c r="A102" i="74"/>
  <c r="A101" i="74"/>
  <c r="A100" i="74"/>
  <c r="A99" i="74"/>
  <c r="A98" i="74"/>
  <c r="A97" i="74"/>
  <c r="A96" i="74"/>
  <c r="A95" i="74"/>
  <c r="A94" i="74"/>
  <c r="A93" i="74"/>
  <c r="A92" i="74"/>
  <c r="A91" i="74"/>
  <c r="A90" i="74"/>
  <c r="A89" i="74"/>
  <c r="A88" i="74"/>
  <c r="A87" i="74"/>
  <c r="A86" i="74"/>
  <c r="A85" i="74"/>
  <c r="A84" i="74"/>
  <c r="A83" i="74"/>
  <c r="A82" i="74"/>
  <c r="A81" i="74"/>
  <c r="A80" i="74"/>
  <c r="A79" i="74"/>
  <c r="A78" i="74"/>
  <c r="A77" i="74"/>
  <c r="A76" i="74"/>
  <c r="A75" i="74"/>
  <c r="A74" i="74"/>
  <c r="A73" i="74"/>
  <c r="A56" i="74"/>
  <c r="A72" i="74"/>
  <c r="A71" i="74"/>
  <c r="A70" i="74"/>
  <c r="A69" i="74"/>
  <c r="A68" i="74"/>
  <c r="A67" i="74"/>
  <c r="A65" i="74"/>
  <c r="A62" i="74"/>
  <c r="A61" i="74"/>
  <c r="A60" i="74"/>
  <c r="A59" i="74"/>
  <c r="A58" i="74"/>
  <c r="A57" i="74"/>
  <c r="A55" i="74"/>
  <c r="A54" i="74"/>
  <c r="A53" i="74"/>
  <c r="A52" i="74"/>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AN35" i="46"/>
  <c r="BO10" i="79" s="1"/>
  <c r="AD35" i="46"/>
  <c r="BN10" i="79" s="1"/>
  <c r="T35" i="46"/>
  <c r="BM10" i="79" s="1"/>
  <c r="F352" i="71"/>
  <c r="E352" i="71"/>
  <c r="D352" i="71"/>
  <c r="C352" i="71"/>
  <c r="F351" i="71"/>
  <c r="E351" i="71"/>
  <c r="D351" i="71"/>
  <c r="C351" i="71"/>
  <c r="F350" i="71"/>
  <c r="E350" i="71"/>
  <c r="D350" i="71"/>
  <c r="C350" i="71"/>
  <c r="F349" i="71"/>
  <c r="E349" i="71"/>
  <c r="D349" i="71"/>
  <c r="C349" i="71"/>
  <c r="F348" i="71"/>
  <c r="E348" i="71"/>
  <c r="D348" i="71"/>
  <c r="C348" i="71"/>
  <c r="F347" i="71"/>
  <c r="E347" i="71"/>
  <c r="D347" i="71"/>
  <c r="C347" i="71"/>
  <c r="F346" i="71"/>
  <c r="E346" i="71"/>
  <c r="D346" i="71"/>
  <c r="C346" i="71"/>
  <c r="F345" i="71"/>
  <c r="E345" i="71"/>
  <c r="D345" i="71"/>
  <c r="C345" i="71"/>
  <c r="F344" i="71"/>
  <c r="E344" i="71"/>
  <c r="D344" i="71"/>
  <c r="C344" i="71"/>
  <c r="F343" i="71"/>
  <c r="E343" i="71"/>
  <c r="D343" i="71"/>
  <c r="C343" i="71"/>
  <c r="F342" i="71"/>
  <c r="E342" i="71"/>
  <c r="D342" i="71"/>
  <c r="C342" i="71"/>
  <c r="H338" i="71"/>
  <c r="G338" i="71"/>
  <c r="F338" i="71"/>
  <c r="E338" i="71"/>
  <c r="N337" i="71"/>
  <c r="M337" i="71"/>
  <c r="L337" i="71"/>
  <c r="K337" i="71"/>
  <c r="H337" i="71"/>
  <c r="G337" i="71"/>
  <c r="F337" i="71"/>
  <c r="E337" i="71"/>
  <c r="N336" i="71"/>
  <c r="M336" i="71"/>
  <c r="L336" i="71"/>
  <c r="K336" i="71"/>
  <c r="H336" i="71"/>
  <c r="G336" i="71"/>
  <c r="F336" i="71"/>
  <c r="E336" i="71"/>
  <c r="N335" i="71"/>
  <c r="M335" i="71"/>
  <c r="L335" i="71"/>
  <c r="K335" i="71"/>
  <c r="H335" i="71"/>
  <c r="G335" i="71"/>
  <c r="F335" i="71"/>
  <c r="E335" i="71"/>
  <c r="N334" i="71"/>
  <c r="M334" i="71"/>
  <c r="L334" i="71"/>
  <c r="K334" i="71"/>
  <c r="H334" i="71"/>
  <c r="G334" i="71"/>
  <c r="F334" i="71"/>
  <c r="E334" i="71"/>
  <c r="N333" i="71"/>
  <c r="M333" i="71"/>
  <c r="L333" i="71"/>
  <c r="K333" i="71"/>
  <c r="H333" i="71"/>
  <c r="G333" i="71"/>
  <c r="F333" i="71"/>
  <c r="E333" i="71"/>
  <c r="N332" i="71"/>
  <c r="M332" i="71"/>
  <c r="L332" i="71"/>
  <c r="K332" i="71"/>
  <c r="H332" i="71"/>
  <c r="G332" i="71"/>
  <c r="F332" i="71"/>
  <c r="E332" i="71"/>
  <c r="N331" i="71"/>
  <c r="M331" i="71"/>
  <c r="L331" i="71"/>
  <c r="K331" i="71"/>
  <c r="H331" i="71"/>
  <c r="G331" i="71"/>
  <c r="F331" i="71"/>
  <c r="E331" i="71"/>
  <c r="N330" i="71"/>
  <c r="M330" i="71"/>
  <c r="L330" i="71"/>
  <c r="K330" i="71"/>
  <c r="H330" i="71"/>
  <c r="G330" i="71"/>
  <c r="F330" i="71"/>
  <c r="E330" i="71"/>
  <c r="O329" i="71"/>
  <c r="H329" i="71"/>
  <c r="G329" i="71"/>
  <c r="F329" i="71"/>
  <c r="E329" i="71"/>
  <c r="O328" i="71"/>
  <c r="H328" i="71"/>
  <c r="G328" i="71"/>
  <c r="F328" i="71"/>
  <c r="E328" i="71"/>
  <c r="O327" i="71"/>
  <c r="H327" i="71"/>
  <c r="G327" i="71"/>
  <c r="F327" i="71"/>
  <c r="E327" i="71"/>
  <c r="O326" i="71"/>
  <c r="H326" i="71"/>
  <c r="G326" i="71"/>
  <c r="F326" i="71"/>
  <c r="E326" i="71"/>
  <c r="O325" i="71"/>
  <c r="H325" i="71"/>
  <c r="G325" i="71"/>
  <c r="F325" i="71"/>
  <c r="E325" i="71"/>
  <c r="N324" i="71"/>
  <c r="M324" i="71"/>
  <c r="L324" i="71"/>
  <c r="K324" i="71"/>
  <c r="H324" i="71"/>
  <c r="G324" i="71"/>
  <c r="F324" i="71"/>
  <c r="E324" i="71"/>
  <c r="N323" i="71"/>
  <c r="M323" i="71"/>
  <c r="L323" i="71"/>
  <c r="K323" i="71"/>
  <c r="H323" i="71"/>
  <c r="G323" i="71"/>
  <c r="F323" i="71"/>
  <c r="E323" i="71"/>
  <c r="O322" i="71"/>
  <c r="H322" i="71"/>
  <c r="G322" i="71"/>
  <c r="F322" i="71"/>
  <c r="E322" i="71"/>
  <c r="N321" i="71"/>
  <c r="M321" i="71"/>
  <c r="L321" i="71"/>
  <c r="K321" i="71"/>
  <c r="H321" i="71"/>
  <c r="G321" i="71"/>
  <c r="F321" i="71"/>
  <c r="E321" i="71"/>
  <c r="N320" i="71"/>
  <c r="M320" i="71"/>
  <c r="L320" i="71"/>
  <c r="K320" i="71"/>
  <c r="H320" i="71"/>
  <c r="G320" i="71"/>
  <c r="F320" i="71"/>
  <c r="E320" i="71"/>
  <c r="BD287" i="71"/>
  <c r="D287" i="71"/>
  <c r="BD286" i="71"/>
  <c r="D286" i="71"/>
  <c r="C286" i="71"/>
  <c r="BC285" i="71"/>
  <c r="D285" i="71"/>
  <c r="C285" i="71"/>
  <c r="BC284" i="71"/>
  <c r="BD275" i="71"/>
  <c r="D275" i="71"/>
  <c r="BD274" i="71"/>
  <c r="D274" i="71"/>
  <c r="C274" i="71"/>
  <c r="BC273" i="71"/>
  <c r="D273" i="71"/>
  <c r="C273" i="71"/>
  <c r="BC272" i="71"/>
  <c r="BD263" i="71"/>
  <c r="D263" i="71"/>
  <c r="BD262" i="71"/>
  <c r="D262" i="71"/>
  <c r="C262" i="71"/>
  <c r="BC261" i="71"/>
  <c r="D261" i="71"/>
  <c r="C261" i="71"/>
  <c r="BC260" i="71"/>
  <c r="BD251" i="71"/>
  <c r="D251" i="71"/>
  <c r="BD250" i="71"/>
  <c r="D250" i="71"/>
  <c r="C250" i="71"/>
  <c r="BC249" i="71"/>
  <c r="D249" i="71"/>
  <c r="C249" i="71"/>
  <c r="BC248" i="71"/>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W289" i="73" s="1"/>
  <c r="W295" i="73" s="1"/>
  <c r="W317" i="73"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W244" i="73" s="1"/>
  <c r="W250" i="73" s="1"/>
  <c r="W272" i="73"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K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W282" i="73" s="1"/>
  <c r="W294" i="73"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W237" i="73" s="1"/>
  <c r="W249" i="73" s="1"/>
  <c r="I233" i="7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W158" i="72" s="1"/>
  <c r="W160" i="72" s="1"/>
  <c r="W162" i="72" s="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G160" i="71"/>
  <c r="HC160" i="71"/>
  <c r="HG159" i="71"/>
  <c r="HC159" i="71"/>
  <c r="HG158" i="71"/>
  <c r="HC158" i="71"/>
  <c r="HG157" i="71"/>
  <c r="HC157" i="71"/>
  <c r="HG156" i="71"/>
  <c r="HC156" i="71"/>
  <c r="HG155" i="71"/>
  <c r="HC155" i="71"/>
  <c r="HG154" i="71"/>
  <c r="HC154" i="71"/>
  <c r="HG153" i="71"/>
  <c r="HC153" i="71"/>
  <c r="HG152" i="71"/>
  <c r="HC152" i="71"/>
  <c r="HG151" i="71"/>
  <c r="HC151" i="71"/>
  <c r="HG150" i="71"/>
  <c r="HC150" i="71"/>
  <c r="HG149" i="71"/>
  <c r="HC149" i="71"/>
  <c r="HG148" i="71"/>
  <c r="HC148" i="71"/>
  <c r="HG147" i="71"/>
  <c r="HC147" i="71"/>
  <c r="HG146" i="71"/>
  <c r="HC146" i="71"/>
  <c r="HG145" i="71"/>
  <c r="HC145" i="71"/>
  <c r="HG144" i="71"/>
  <c r="HC144" i="71"/>
  <c r="HG143" i="71"/>
  <c r="HC143" i="71"/>
  <c r="HG142" i="71"/>
  <c r="HC142" i="71"/>
  <c r="HG141" i="71"/>
  <c r="HC141" i="71"/>
  <c r="HG140" i="71"/>
  <c r="HC140" i="71"/>
  <c r="HG139" i="71"/>
  <c r="HC139" i="71"/>
  <c r="HG138" i="71"/>
  <c r="HC138" i="71"/>
  <c r="HG137" i="71"/>
  <c r="HC137" i="71"/>
  <c r="HG136" i="71"/>
  <c r="HC136" i="71"/>
  <c r="HG135" i="71"/>
  <c r="HC135" i="71"/>
  <c r="HG134" i="71"/>
  <c r="HC134" i="71"/>
  <c r="HG133" i="71"/>
  <c r="HC133" i="71"/>
  <c r="HG132" i="71"/>
  <c r="HC132" i="71"/>
  <c r="HG131" i="71"/>
  <c r="HC131" i="71"/>
  <c r="HJ130" i="71"/>
  <c r="HI130" i="71"/>
  <c r="HG130" i="71"/>
  <c r="HF130" i="71"/>
  <c r="HE130" i="71"/>
  <c r="HC130" i="71"/>
  <c r="HJ129" i="71"/>
  <c r="HI129" i="71"/>
  <c r="HG129" i="71"/>
  <c r="HF129" i="71"/>
  <c r="HE129" i="71"/>
  <c r="HC129" i="71"/>
  <c r="HJ128" i="71"/>
  <c r="HI128" i="71"/>
  <c r="HG128" i="71"/>
  <c r="HF128" i="71"/>
  <c r="HE128" i="71"/>
  <c r="HC128" i="71"/>
  <c r="HJ127" i="71"/>
  <c r="HI127" i="71"/>
  <c r="HG127" i="71"/>
  <c r="HF127" i="71"/>
  <c r="HE127" i="71"/>
  <c r="HC127" i="71"/>
  <c r="HJ126" i="71"/>
  <c r="HI126" i="71"/>
  <c r="HG126" i="71"/>
  <c r="HF126" i="71"/>
  <c r="HE126" i="71"/>
  <c r="HC126" i="71"/>
  <c r="HJ125" i="71"/>
  <c r="HI125" i="71"/>
  <c r="HG125" i="71"/>
  <c r="HF125" i="71"/>
  <c r="HE125" i="71"/>
  <c r="HC125" i="71"/>
  <c r="HJ124" i="71"/>
  <c r="HI124" i="71"/>
  <c r="HG124" i="71"/>
  <c r="HF124" i="71"/>
  <c r="HE124" i="71"/>
  <c r="HC124" i="71"/>
  <c r="HJ123" i="71"/>
  <c r="HI123" i="71"/>
  <c r="HG123" i="71"/>
  <c r="HF123" i="71"/>
  <c r="HE123" i="71"/>
  <c r="HC123" i="71"/>
  <c r="HJ122" i="71"/>
  <c r="HI122" i="71"/>
  <c r="HG122" i="71"/>
  <c r="HF122" i="71"/>
  <c r="HE122" i="71"/>
  <c r="HC122" i="71"/>
  <c r="HI121" i="71"/>
  <c r="HH121" i="71"/>
  <c r="HG121" i="71"/>
  <c r="HE121" i="71"/>
  <c r="HD121" i="71"/>
  <c r="HC121" i="71"/>
  <c r="HI120" i="71"/>
  <c r="HH120" i="71"/>
  <c r="HG120" i="71"/>
  <c r="HE120" i="71"/>
  <c r="HD120" i="71"/>
  <c r="HC120" i="71"/>
  <c r="HI119" i="71"/>
  <c r="HH119" i="71"/>
  <c r="HG119" i="71"/>
  <c r="HE119" i="71"/>
  <c r="HD119" i="71"/>
  <c r="HC119" i="71"/>
  <c r="HI118" i="71"/>
  <c r="HH118" i="71"/>
  <c r="HG118" i="71"/>
  <c r="HE118" i="71"/>
  <c r="HD118" i="71"/>
  <c r="HC118" i="71"/>
  <c r="HI117" i="71"/>
  <c r="HH117" i="71"/>
  <c r="HG117" i="71"/>
  <c r="HE117" i="71"/>
  <c r="HD117" i="71"/>
  <c r="HC117" i="71"/>
  <c r="HI116" i="71"/>
  <c r="HH116" i="71"/>
  <c r="HG116" i="71"/>
  <c r="HE116" i="71"/>
  <c r="HD116" i="71"/>
  <c r="HC116" i="71"/>
  <c r="HI115" i="71"/>
  <c r="HH115" i="71"/>
  <c r="HG115" i="71"/>
  <c r="HE115" i="71"/>
  <c r="HD115" i="71"/>
  <c r="HC115" i="71"/>
  <c r="HI114" i="71"/>
  <c r="HH114" i="71"/>
  <c r="HG114" i="71"/>
  <c r="HE114" i="71"/>
  <c r="HD114" i="71"/>
  <c r="HC114" i="71"/>
  <c r="HI113" i="71"/>
  <c r="HH113" i="71"/>
  <c r="HG113" i="71"/>
  <c r="HE113" i="71"/>
  <c r="HD113" i="71"/>
  <c r="HC113" i="71"/>
  <c r="HI112" i="71"/>
  <c r="HH112" i="71"/>
  <c r="HG112" i="71"/>
  <c r="HE112" i="71"/>
  <c r="HD112" i="71"/>
  <c r="HC112" i="71"/>
  <c r="HI107" i="71"/>
  <c r="HG107" i="71"/>
  <c r="HE107" i="71"/>
  <c r="HC107" i="71"/>
  <c r="HI106" i="71"/>
  <c r="HG106" i="71"/>
  <c r="HE106" i="71"/>
  <c r="HC106" i="71"/>
  <c r="HI105" i="71"/>
  <c r="HG105" i="71"/>
  <c r="HE105" i="71"/>
  <c r="HC105" i="71"/>
  <c r="HI104" i="71"/>
  <c r="HG104" i="71"/>
  <c r="HE104" i="71"/>
  <c r="HC104" i="71"/>
  <c r="HG103" i="71"/>
  <c r="HC103" i="71"/>
  <c r="HI102" i="71"/>
  <c r="HG102" i="71"/>
  <c r="HE102" i="71"/>
  <c r="HC102" i="71"/>
  <c r="HG101" i="71"/>
  <c r="HC101" i="71"/>
  <c r="HI100" i="71"/>
  <c r="HG100" i="71"/>
  <c r="HE100" i="71"/>
  <c r="HC100" i="71"/>
  <c r="HG99" i="71"/>
  <c r="HC99" i="71"/>
  <c r="HI98" i="71"/>
  <c r="HG98" i="71"/>
  <c r="HE98" i="71"/>
  <c r="HC98" i="71"/>
  <c r="HG97" i="71"/>
  <c r="HC97" i="71"/>
  <c r="HI96" i="71"/>
  <c r="HG96" i="71"/>
  <c r="HE96" i="71"/>
  <c r="HC96" i="71"/>
  <c r="HG95" i="71"/>
  <c r="HC95" i="71"/>
  <c r="HI94" i="71"/>
  <c r="HG94" i="71"/>
  <c r="HE94" i="71"/>
  <c r="HC94" i="71"/>
  <c r="HG93" i="71"/>
  <c r="HC93" i="71"/>
  <c r="HI92" i="71"/>
  <c r="HG92" i="71"/>
  <c r="HE92" i="71"/>
  <c r="HC92" i="71"/>
  <c r="HG91" i="71"/>
  <c r="HC91" i="71"/>
  <c r="HG90" i="71"/>
  <c r="HC90" i="71"/>
  <c r="HG89" i="71"/>
  <c r="HC89" i="71"/>
  <c r="HG88" i="71"/>
  <c r="HC88" i="71"/>
  <c r="HG87" i="71"/>
  <c r="HC87" i="71"/>
  <c r="HG86" i="71"/>
  <c r="HC86" i="71"/>
  <c r="HG85" i="71"/>
  <c r="HC85" i="71"/>
  <c r="HG84" i="71"/>
  <c r="HC84" i="71"/>
  <c r="HG83" i="71"/>
  <c r="HC83" i="71"/>
  <c r="HG82" i="71"/>
  <c r="HC82" i="71"/>
  <c r="HG81" i="71"/>
  <c r="HC81" i="71"/>
  <c r="HJ80" i="71"/>
  <c r="HI80" i="71"/>
  <c r="HG80" i="71"/>
  <c r="HF80" i="71"/>
  <c r="HE80" i="71"/>
  <c r="HC80" i="71"/>
  <c r="HJ79" i="71"/>
  <c r="HI79" i="71"/>
  <c r="HG79" i="71"/>
  <c r="HF79" i="71"/>
  <c r="HE79" i="71"/>
  <c r="HC79" i="71"/>
  <c r="HJ78" i="71"/>
  <c r="HI78" i="71"/>
  <c r="HG78" i="71"/>
  <c r="HF78" i="71"/>
  <c r="HE78" i="71"/>
  <c r="HC78" i="71"/>
  <c r="HJ77" i="71"/>
  <c r="HI77" i="71"/>
  <c r="HG77" i="71"/>
  <c r="HF77" i="71"/>
  <c r="HE77" i="71"/>
  <c r="HC77" i="71"/>
  <c r="HJ76" i="71"/>
  <c r="HI76" i="71"/>
  <c r="HG76" i="71"/>
  <c r="HF76" i="71"/>
  <c r="HE76" i="71"/>
  <c r="HC76" i="71"/>
  <c r="HJ75" i="71"/>
  <c r="HI75" i="71"/>
  <c r="HG75" i="71"/>
  <c r="HF75" i="71"/>
  <c r="HE75" i="71"/>
  <c r="HC75" i="71"/>
  <c r="HJ74" i="71"/>
  <c r="HI74" i="71"/>
  <c r="HG74" i="71"/>
  <c r="HF74" i="71"/>
  <c r="HE74" i="71"/>
  <c r="HC74" i="71"/>
  <c r="HJ73" i="71"/>
  <c r="HI73" i="71"/>
  <c r="HG73" i="71"/>
  <c r="HF73" i="71"/>
  <c r="HE73" i="71"/>
  <c r="HC73" i="71"/>
  <c r="HJ72" i="71"/>
  <c r="HI72" i="71"/>
  <c r="HG72" i="71"/>
  <c r="HF72" i="71"/>
  <c r="HE72" i="71"/>
  <c r="HC72" i="71"/>
  <c r="HJ71" i="71"/>
  <c r="HI71" i="71"/>
  <c r="HG71" i="71"/>
  <c r="HF71" i="71"/>
  <c r="HE71" i="71"/>
  <c r="HC71" i="71"/>
  <c r="HJ70" i="71"/>
  <c r="HI70" i="71"/>
  <c r="HG70" i="71"/>
  <c r="HF70" i="71"/>
  <c r="HE70" i="71"/>
  <c r="HC70" i="71"/>
  <c r="HJ69" i="71"/>
  <c r="HI69" i="71"/>
  <c r="HG69" i="71"/>
  <c r="HF69" i="71"/>
  <c r="HE69" i="71"/>
  <c r="HC69" i="71"/>
  <c r="HJ68" i="71"/>
  <c r="HI68" i="71"/>
  <c r="HG68" i="71"/>
  <c r="HF68" i="71"/>
  <c r="HE68" i="71"/>
  <c r="HC68" i="71"/>
  <c r="HJ67" i="71"/>
  <c r="HI67" i="71"/>
  <c r="HG67" i="71"/>
  <c r="HF67" i="71"/>
  <c r="HE67" i="71"/>
  <c r="HC67" i="71"/>
  <c r="HJ66" i="71"/>
  <c r="HI66" i="71"/>
  <c r="HG66" i="71"/>
  <c r="HF66" i="71"/>
  <c r="HE66" i="71"/>
  <c r="HC66" i="71"/>
  <c r="HJ65" i="71"/>
  <c r="HI65" i="71"/>
  <c r="HG65" i="71"/>
  <c r="HF65" i="71"/>
  <c r="HE65" i="71"/>
  <c r="HC65" i="71"/>
  <c r="HI64" i="71"/>
  <c r="HH64" i="71"/>
  <c r="HG64" i="71"/>
  <c r="HE64" i="71"/>
  <c r="HD64" i="71"/>
  <c r="HC64" i="71"/>
  <c r="HI63" i="71"/>
  <c r="HH63" i="71"/>
  <c r="HG63" i="71"/>
  <c r="HE63" i="71"/>
  <c r="HD63" i="71"/>
  <c r="HC63" i="71"/>
  <c r="HI62" i="71"/>
  <c r="HH62" i="71"/>
  <c r="HG62" i="71"/>
  <c r="HE62" i="71"/>
  <c r="HD62" i="71"/>
  <c r="HC62" i="71"/>
  <c r="HI61" i="71"/>
  <c r="HH61" i="71"/>
  <c r="HG61" i="71"/>
  <c r="HE61" i="71"/>
  <c r="HD61" i="71"/>
  <c r="HC61" i="71"/>
  <c r="HI60" i="71"/>
  <c r="HH60" i="71"/>
  <c r="HG60" i="71"/>
  <c r="HE60" i="71"/>
  <c r="HD60" i="71"/>
  <c r="HC60" i="71"/>
  <c r="HI59" i="71"/>
  <c r="HH59" i="71"/>
  <c r="HG59" i="71"/>
  <c r="HE59" i="71"/>
  <c r="HD59" i="71"/>
  <c r="HC59" i="71"/>
  <c r="HI58" i="71"/>
  <c r="HH58" i="71"/>
  <c r="HG58" i="71"/>
  <c r="HE58" i="71"/>
  <c r="HD58" i="71"/>
  <c r="HC58" i="71"/>
  <c r="HI57" i="71"/>
  <c r="HH57" i="71"/>
  <c r="HG57" i="71"/>
  <c r="HE57" i="71"/>
  <c r="HD57" i="71"/>
  <c r="HC57" i="71"/>
  <c r="HI56" i="71"/>
  <c r="HH56" i="71"/>
  <c r="HG56" i="71"/>
  <c r="HE56" i="71"/>
  <c r="HD56" i="71"/>
  <c r="HC56" i="71"/>
  <c r="HI55" i="71"/>
  <c r="HH55" i="71"/>
  <c r="HG55" i="71"/>
  <c r="HE55" i="71"/>
  <c r="HD55" i="71"/>
  <c r="HC55" i="71"/>
  <c r="HI54" i="71"/>
  <c r="HH54" i="71"/>
  <c r="HG54" i="71"/>
  <c r="HE54" i="71"/>
  <c r="HD54" i="71"/>
  <c r="HC54" i="71"/>
  <c r="HI53" i="71"/>
  <c r="HH53" i="71"/>
  <c r="HG53" i="71"/>
  <c r="HE53" i="71"/>
  <c r="HD53" i="71"/>
  <c r="HC53" i="71"/>
  <c r="HI52" i="71"/>
  <c r="HH52" i="71"/>
  <c r="HG52" i="71"/>
  <c r="HE52" i="71"/>
  <c r="HD52" i="71"/>
  <c r="HC52" i="71"/>
  <c r="HI51" i="71"/>
  <c r="HH51" i="71"/>
  <c r="HG51" i="71"/>
  <c r="HE51" i="71"/>
  <c r="HD51" i="71"/>
  <c r="HC51" i="71"/>
  <c r="HI50" i="71"/>
  <c r="HH50" i="71"/>
  <c r="HG50" i="71"/>
  <c r="HE50" i="71"/>
  <c r="HD50" i="71"/>
  <c r="HC50" i="71"/>
  <c r="HI49" i="71"/>
  <c r="HH49" i="71"/>
  <c r="HG49" i="71"/>
  <c r="HE49" i="71"/>
  <c r="HD49" i="71"/>
  <c r="HC49" i="71"/>
  <c r="HI48" i="71"/>
  <c r="HH48" i="71"/>
  <c r="HG48" i="71"/>
  <c r="HE48" i="71"/>
  <c r="HD48" i="71"/>
  <c r="HC48" i="71"/>
  <c r="HI47" i="71"/>
  <c r="HH47" i="71"/>
  <c r="HG47" i="71"/>
  <c r="HE47" i="71"/>
  <c r="HD47" i="71"/>
  <c r="HC47" i="71"/>
  <c r="HI46" i="71"/>
  <c r="HH46" i="71"/>
  <c r="HG46" i="71"/>
  <c r="HE46" i="71"/>
  <c r="HD46" i="71"/>
  <c r="HC46" i="71"/>
  <c r="HI45" i="71"/>
  <c r="HH45" i="71"/>
  <c r="HG45" i="71"/>
  <c r="HE45" i="71"/>
  <c r="HD45" i="71"/>
  <c r="HC45" i="71"/>
  <c r="HI44" i="71"/>
  <c r="HH44" i="71"/>
  <c r="HG44" i="71"/>
  <c r="HE44" i="71"/>
  <c r="HD44" i="71"/>
  <c r="HC44" i="71"/>
  <c r="HI43" i="71"/>
  <c r="HH43" i="71"/>
  <c r="HG43" i="71"/>
  <c r="HE43" i="71"/>
  <c r="HD43" i="71"/>
  <c r="HC43" i="71"/>
  <c r="HI42" i="71"/>
  <c r="HH42" i="71"/>
  <c r="HG42" i="71"/>
  <c r="HE42" i="71"/>
  <c r="HD42" i="71"/>
  <c r="HC42" i="71"/>
  <c r="HI41" i="71"/>
  <c r="HH41" i="71"/>
  <c r="HG41" i="71"/>
  <c r="HE41" i="71"/>
  <c r="HD41" i="71"/>
  <c r="HC41" i="71"/>
  <c r="HI40" i="71"/>
  <c r="HH40" i="71"/>
  <c r="HG40" i="71"/>
  <c r="HE40" i="71"/>
  <c r="HD40" i="71"/>
  <c r="HC40" i="71"/>
  <c r="HI39" i="71"/>
  <c r="HH39" i="71"/>
  <c r="HG39" i="71"/>
  <c r="HE39" i="71"/>
  <c r="HD39" i="71"/>
  <c r="HC39" i="71"/>
  <c r="HI38" i="71"/>
  <c r="HH38" i="71"/>
  <c r="HG38" i="71"/>
  <c r="HE38" i="71"/>
  <c r="HD38" i="71"/>
  <c r="HC38" i="71"/>
  <c r="HI37" i="71"/>
  <c r="HH37" i="71"/>
  <c r="HG37" i="71"/>
  <c r="HE37" i="71"/>
  <c r="HD37" i="71"/>
  <c r="HC37" i="71"/>
  <c r="HI36" i="71"/>
  <c r="HH36" i="71"/>
  <c r="HG36" i="71"/>
  <c r="HE36" i="71"/>
  <c r="HD36" i="71"/>
  <c r="HC36" i="71"/>
  <c r="HI35" i="71"/>
  <c r="HH35" i="71"/>
  <c r="HG35" i="71"/>
  <c r="HE35" i="71"/>
  <c r="HD35" i="71"/>
  <c r="HC35" i="71"/>
  <c r="HI34" i="71"/>
  <c r="HH34" i="71"/>
  <c r="HG34" i="71"/>
  <c r="HE34" i="71"/>
  <c r="HD34" i="71"/>
  <c r="HC34" i="71"/>
  <c r="HI33" i="71"/>
  <c r="HH33" i="71"/>
  <c r="HG33" i="71"/>
  <c r="HE33" i="71"/>
  <c r="HD33" i="71"/>
  <c r="HC33" i="71"/>
  <c r="HI32" i="71"/>
  <c r="HH32" i="71"/>
  <c r="HG32" i="71"/>
  <c r="HE32" i="71"/>
  <c r="HD32" i="71"/>
  <c r="HC32" i="71"/>
  <c r="HI31" i="71"/>
  <c r="HH31" i="71"/>
  <c r="HG31" i="71"/>
  <c r="HE31" i="71"/>
  <c r="HD31" i="71"/>
  <c r="HC31" i="71"/>
  <c r="HI30" i="71"/>
  <c r="HH30" i="71"/>
  <c r="HG30" i="71"/>
  <c r="HE30" i="71"/>
  <c r="HD30" i="71"/>
  <c r="HC30" i="71"/>
  <c r="HI29" i="71"/>
  <c r="HH29" i="71"/>
  <c r="HG29" i="71"/>
  <c r="HE29" i="71"/>
  <c r="HD29" i="71"/>
  <c r="HC29" i="71"/>
  <c r="HI28" i="71"/>
  <c r="HH28" i="71"/>
  <c r="HG28" i="71"/>
  <c r="HE28" i="71"/>
  <c r="HD28" i="71"/>
  <c r="HC28" i="71"/>
  <c r="HI27" i="71"/>
  <c r="HH27" i="71"/>
  <c r="HG27" i="71"/>
  <c r="HE27" i="71"/>
  <c r="HD27" i="71"/>
  <c r="HC27" i="71"/>
  <c r="HI26" i="71"/>
  <c r="HH26" i="71"/>
  <c r="HG26" i="71"/>
  <c r="HE26" i="71"/>
  <c r="HD26" i="71"/>
  <c r="HC26" i="71"/>
  <c r="HI25" i="71"/>
  <c r="HH25" i="71"/>
  <c r="HG25" i="71"/>
  <c r="HE25" i="71"/>
  <c r="HD25" i="71"/>
  <c r="HC25" i="71"/>
  <c r="HI24" i="71"/>
  <c r="HH24" i="71"/>
  <c r="HG24" i="71"/>
  <c r="HE24" i="71"/>
  <c r="HD24" i="71"/>
  <c r="HC24" i="71"/>
  <c r="HI23" i="71"/>
  <c r="HH23" i="71"/>
  <c r="HG23" i="71"/>
  <c r="HE23" i="71"/>
  <c r="HD23" i="71"/>
  <c r="HC23" i="71"/>
  <c r="HI22" i="71"/>
  <c r="HH22" i="71"/>
  <c r="HG22" i="71"/>
  <c r="HE22" i="71"/>
  <c r="HD22" i="71"/>
  <c r="HC22" i="71"/>
  <c r="HI21" i="71"/>
  <c r="HH21" i="71"/>
  <c r="HG21" i="71"/>
  <c r="HE21" i="71"/>
  <c r="HD21" i="71"/>
  <c r="HC21" i="71"/>
  <c r="HI20" i="71"/>
  <c r="HH20" i="71"/>
  <c r="HG20" i="71"/>
  <c r="HE20" i="71"/>
  <c r="HD20" i="71"/>
  <c r="HC20" i="71"/>
  <c r="HI19" i="71"/>
  <c r="HH19" i="71"/>
  <c r="HG19" i="71"/>
  <c r="HE19" i="71"/>
  <c r="HD19" i="71"/>
  <c r="HC19" i="71"/>
  <c r="HI18" i="71"/>
  <c r="HH18" i="71"/>
  <c r="HG18" i="71"/>
  <c r="HE18" i="71"/>
  <c r="HD18" i="71"/>
  <c r="HC18" i="71"/>
  <c r="HI17" i="71"/>
  <c r="HH17" i="71"/>
  <c r="HG17" i="71"/>
  <c r="HE17" i="71"/>
  <c r="HD17" i="71"/>
  <c r="HC17" i="71"/>
  <c r="HG12" i="71"/>
  <c r="W104" i="72" s="1"/>
  <c r="HE12" i="71"/>
  <c r="O104" i="72" s="1"/>
  <c r="HG11" i="71"/>
  <c r="HE11" i="71"/>
  <c r="HG10" i="71"/>
  <c r="HE10" i="71"/>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B5" i="71"/>
  <c r="B4" i="71"/>
  <c r="B3" i="71"/>
  <c r="BD287" i="70"/>
  <c r="D287" i="70"/>
  <c r="BD286" i="70"/>
  <c r="D286" i="70"/>
  <c r="C286" i="70"/>
  <c r="BC285" i="70"/>
  <c r="D285" i="70"/>
  <c r="C285" i="70"/>
  <c r="BC284" i="70"/>
  <c r="BD275" i="70"/>
  <c r="D275" i="70"/>
  <c r="BD274" i="70"/>
  <c r="D274" i="70"/>
  <c r="C274" i="70"/>
  <c r="BC273" i="70"/>
  <c r="D273" i="70"/>
  <c r="C273" i="70"/>
  <c r="BC272" i="70"/>
  <c r="BD263" i="70"/>
  <c r="D263" i="70"/>
  <c r="BD262" i="70"/>
  <c r="D262" i="70"/>
  <c r="C262" i="70"/>
  <c r="BC261" i="70"/>
  <c r="D261" i="70"/>
  <c r="C261" i="70"/>
  <c r="BC260" i="70"/>
  <c r="BD251" i="70"/>
  <c r="D251" i="70"/>
  <c r="BD250" i="70"/>
  <c r="D250" i="70"/>
  <c r="C250" i="70"/>
  <c r="BC249" i="70"/>
  <c r="D249" i="70"/>
  <c r="C249" i="70"/>
  <c r="BC248" i="70"/>
  <c r="GY243" i="70"/>
  <c r="GU243" i="70"/>
  <c r="GQ243" i="70"/>
  <c r="GM243" i="70"/>
  <c r="GI243" i="70"/>
  <c r="GE243" i="70"/>
  <c r="GA243" i="70"/>
  <c r="FW243" i="70"/>
  <c r="FS243" i="70"/>
  <c r="FO243" i="70"/>
  <c r="FK243" i="70"/>
  <c r="FG243" i="70"/>
  <c r="FC243" i="70"/>
  <c r="EY243" i="70"/>
  <c r="EU243" i="70"/>
  <c r="EQ243" i="70"/>
  <c r="EM243" i="70"/>
  <c r="EI243" i="70"/>
  <c r="EE243" i="70"/>
  <c r="EA243" i="70"/>
  <c r="DW243" i="70"/>
  <c r="DS243" i="70"/>
  <c r="DO243" i="70"/>
  <c r="DK243" i="70"/>
  <c r="DG243" i="70"/>
  <c r="DC243" i="70"/>
  <c r="CY243" i="70"/>
  <c r="CU243" i="70"/>
  <c r="CQ243" i="70"/>
  <c r="CM243" i="70"/>
  <c r="CI243" i="70"/>
  <c r="CE243" i="70"/>
  <c r="CA243" i="70"/>
  <c r="BW243" i="70"/>
  <c r="BS243" i="70"/>
  <c r="BO243" i="70"/>
  <c r="BK243" i="70"/>
  <c r="BG243" i="70"/>
  <c r="BC243" i="70"/>
  <c r="AY243" i="70"/>
  <c r="AU243" i="70"/>
  <c r="AQ243" i="70"/>
  <c r="AM243" i="70"/>
  <c r="AI243" i="70"/>
  <c r="AE243" i="70"/>
  <c r="AA243" i="70"/>
  <c r="W243" i="70"/>
  <c r="S243" i="70"/>
  <c r="O243" i="70"/>
  <c r="K243" i="70"/>
  <c r="J242" i="70"/>
  <c r="V289" i="73" s="1"/>
  <c r="V295" i="73" s="1"/>
  <c r="V317" i="73" s="1"/>
  <c r="I242" i="70"/>
  <c r="GY241" i="70"/>
  <c r="GU241" i="70"/>
  <c r="GQ241" i="70"/>
  <c r="GM241" i="70"/>
  <c r="GI241" i="70"/>
  <c r="GE241" i="70"/>
  <c r="GA241" i="70"/>
  <c r="FW241" i="70"/>
  <c r="FS241" i="70"/>
  <c r="FO241" i="70"/>
  <c r="FK241" i="70"/>
  <c r="FG241" i="70"/>
  <c r="FC241" i="70"/>
  <c r="EY241" i="70"/>
  <c r="EU241" i="70"/>
  <c r="EQ241" i="70"/>
  <c r="EM241" i="70"/>
  <c r="EI241" i="70"/>
  <c r="EE241" i="70"/>
  <c r="EA241" i="70"/>
  <c r="DW241" i="70"/>
  <c r="DS241" i="70"/>
  <c r="DO241" i="70"/>
  <c r="DK241" i="70"/>
  <c r="DG241" i="70"/>
  <c r="DC241" i="70"/>
  <c r="CY241" i="70"/>
  <c r="CU241" i="70"/>
  <c r="CQ241" i="70"/>
  <c r="CM241" i="70"/>
  <c r="CI241" i="70"/>
  <c r="CE241" i="70"/>
  <c r="CA241" i="70"/>
  <c r="BW241" i="70"/>
  <c r="BS241" i="70"/>
  <c r="BO241" i="70"/>
  <c r="BK241" i="70"/>
  <c r="BG241" i="70"/>
  <c r="BC241" i="70"/>
  <c r="AY241" i="70"/>
  <c r="AU241" i="70"/>
  <c r="AQ241" i="70"/>
  <c r="AM241" i="70"/>
  <c r="AI241" i="70"/>
  <c r="AE241" i="70"/>
  <c r="AA241" i="70"/>
  <c r="W241" i="70"/>
  <c r="S241" i="70"/>
  <c r="O241" i="70"/>
  <c r="K241" i="70"/>
  <c r="J241" i="70"/>
  <c r="V244" i="73" s="1"/>
  <c r="V250" i="73" s="1"/>
  <c r="V272" i="73" s="1"/>
  <c r="I241" i="70"/>
  <c r="HA240" i="70"/>
  <c r="GY240" i="70"/>
  <c r="GW240" i="70"/>
  <c r="GU240" i="70"/>
  <c r="GS240" i="70"/>
  <c r="GQ240" i="70"/>
  <c r="GO240" i="70"/>
  <c r="GM240" i="70"/>
  <c r="GK240" i="70"/>
  <c r="GI240" i="70"/>
  <c r="GG240" i="70"/>
  <c r="GE240" i="70"/>
  <c r="GC240" i="70"/>
  <c r="GA240" i="70"/>
  <c r="FY240" i="70"/>
  <c r="FW240" i="70"/>
  <c r="FU240" i="70"/>
  <c r="FS240" i="70"/>
  <c r="FQ240" i="70"/>
  <c r="FO240" i="70"/>
  <c r="FM240" i="70"/>
  <c r="FK240" i="70"/>
  <c r="FI240" i="70"/>
  <c r="FG240" i="70"/>
  <c r="FE240" i="70"/>
  <c r="FC240" i="70"/>
  <c r="FA240" i="70"/>
  <c r="EY240" i="70"/>
  <c r="EW240" i="70"/>
  <c r="EU240" i="70"/>
  <c r="ES240" i="70"/>
  <c r="EQ240" i="70"/>
  <c r="EO240" i="70"/>
  <c r="EM240" i="70"/>
  <c r="EK240" i="70"/>
  <c r="EI240" i="70"/>
  <c r="EG240" i="70"/>
  <c r="EE240" i="70"/>
  <c r="EC240" i="70"/>
  <c r="EA240" i="70"/>
  <c r="DY240" i="70"/>
  <c r="DW240" i="70"/>
  <c r="DU240" i="70"/>
  <c r="DS240" i="70"/>
  <c r="DQ240" i="70"/>
  <c r="DO240" i="70"/>
  <c r="DM240" i="70"/>
  <c r="DK240" i="70"/>
  <c r="DI240" i="70"/>
  <c r="DG240" i="70"/>
  <c r="DE240" i="70"/>
  <c r="DC240" i="70"/>
  <c r="DA240" i="70"/>
  <c r="CY240" i="70"/>
  <c r="CW240" i="70"/>
  <c r="CU240" i="70"/>
  <c r="CS240" i="70"/>
  <c r="CQ240" i="70"/>
  <c r="CO240" i="70"/>
  <c r="CM240" i="70"/>
  <c r="CK240" i="70"/>
  <c r="CI240" i="70"/>
  <c r="CG240" i="70"/>
  <c r="CE240" i="70"/>
  <c r="CC240" i="70"/>
  <c r="CA240" i="70"/>
  <c r="BY240" i="70"/>
  <c r="BW240" i="70"/>
  <c r="BU240" i="70"/>
  <c r="BS240" i="70"/>
  <c r="BQ240" i="70"/>
  <c r="BO240" i="70"/>
  <c r="BM240" i="70"/>
  <c r="BK240" i="70"/>
  <c r="BI240" i="70"/>
  <c r="BG240" i="70"/>
  <c r="BE240" i="70"/>
  <c r="BC240" i="70"/>
  <c r="BA240" i="70"/>
  <c r="AY240" i="70"/>
  <c r="AW240" i="70"/>
  <c r="AU240" i="70"/>
  <c r="AS240" i="70"/>
  <c r="AQ240" i="70"/>
  <c r="AO240" i="70"/>
  <c r="AM240" i="70"/>
  <c r="AK240" i="70"/>
  <c r="AI240" i="70"/>
  <c r="AG240" i="70"/>
  <c r="AE240" i="70"/>
  <c r="AC240" i="70"/>
  <c r="AA240" i="70"/>
  <c r="Y240" i="70"/>
  <c r="W240" i="70"/>
  <c r="U240" i="70"/>
  <c r="S240" i="70"/>
  <c r="Q240" i="70"/>
  <c r="O240" i="70"/>
  <c r="M240" i="70"/>
  <c r="K240" i="70"/>
  <c r="HA239" i="70"/>
  <c r="GY239" i="70"/>
  <c r="GW239" i="70"/>
  <c r="GU239" i="70"/>
  <c r="GS239" i="70"/>
  <c r="GQ239" i="70"/>
  <c r="GO239" i="70"/>
  <c r="GM239" i="70"/>
  <c r="GK239" i="70"/>
  <c r="GI239" i="70"/>
  <c r="GG239" i="70"/>
  <c r="GE239" i="70"/>
  <c r="GC239" i="70"/>
  <c r="GA239" i="70"/>
  <c r="FY239" i="70"/>
  <c r="FW239" i="70"/>
  <c r="FU239" i="70"/>
  <c r="FS239" i="70"/>
  <c r="FQ239" i="70"/>
  <c r="FO239" i="70"/>
  <c r="FM239" i="70"/>
  <c r="FK239" i="70"/>
  <c r="FI239" i="70"/>
  <c r="FG239" i="70"/>
  <c r="FE239" i="70"/>
  <c r="FC239" i="70"/>
  <c r="FA239" i="70"/>
  <c r="EY239" i="70"/>
  <c r="EW239" i="70"/>
  <c r="EU239" i="70"/>
  <c r="ES239" i="70"/>
  <c r="EQ239" i="70"/>
  <c r="EO239" i="70"/>
  <c r="EM239" i="70"/>
  <c r="EK239" i="70"/>
  <c r="EI239" i="70"/>
  <c r="EG239" i="70"/>
  <c r="EE239" i="70"/>
  <c r="EC239" i="70"/>
  <c r="EA239" i="70"/>
  <c r="DY239" i="70"/>
  <c r="DW239" i="70"/>
  <c r="DU239" i="70"/>
  <c r="DS239" i="70"/>
  <c r="DQ239" i="70"/>
  <c r="DO239" i="70"/>
  <c r="DM239" i="70"/>
  <c r="DK239" i="70"/>
  <c r="DI239" i="70"/>
  <c r="DG239" i="70"/>
  <c r="DE239" i="70"/>
  <c r="DC239" i="70"/>
  <c r="DA239" i="70"/>
  <c r="CY239" i="70"/>
  <c r="CW239" i="70"/>
  <c r="CU239" i="70"/>
  <c r="CS239" i="70"/>
  <c r="CQ239" i="70"/>
  <c r="CO239" i="70"/>
  <c r="CM239" i="70"/>
  <c r="CK239" i="70"/>
  <c r="CI239" i="70"/>
  <c r="CG239" i="70"/>
  <c r="CE239" i="70"/>
  <c r="CC239" i="70"/>
  <c r="CA239" i="70"/>
  <c r="BY239" i="70"/>
  <c r="BW239" i="70"/>
  <c r="BU239" i="70"/>
  <c r="BS239" i="70"/>
  <c r="BQ239" i="70"/>
  <c r="BO239" i="70"/>
  <c r="BM239" i="70"/>
  <c r="BK239" i="70"/>
  <c r="BI239" i="70"/>
  <c r="BG239" i="70"/>
  <c r="BE239" i="70"/>
  <c r="BC239" i="70"/>
  <c r="BA239" i="70"/>
  <c r="AY239" i="70"/>
  <c r="AW239" i="70"/>
  <c r="AU239" i="70"/>
  <c r="AS239" i="70"/>
  <c r="AQ239" i="70"/>
  <c r="AO239" i="70"/>
  <c r="AM239" i="70"/>
  <c r="AK239" i="70"/>
  <c r="AI239" i="70"/>
  <c r="AG239" i="70"/>
  <c r="AE239" i="70"/>
  <c r="AC239" i="70"/>
  <c r="AA239" i="70"/>
  <c r="Y239" i="70"/>
  <c r="W239" i="70"/>
  <c r="U239" i="70"/>
  <c r="S239" i="70"/>
  <c r="Q239" i="70"/>
  <c r="O239" i="70"/>
  <c r="M239" i="70"/>
  <c r="K239" i="70"/>
  <c r="HA238" i="70"/>
  <c r="GY238" i="70"/>
  <c r="GW238" i="70"/>
  <c r="GU238" i="70"/>
  <c r="GS238" i="70"/>
  <c r="GQ238" i="70"/>
  <c r="GO238" i="70"/>
  <c r="GM238" i="70"/>
  <c r="GK238" i="70"/>
  <c r="GI238" i="70"/>
  <c r="GG238" i="70"/>
  <c r="GE238" i="70"/>
  <c r="GC238" i="70"/>
  <c r="GA238" i="70"/>
  <c r="FY238" i="70"/>
  <c r="FW238" i="70"/>
  <c r="FU238" i="70"/>
  <c r="FS238" i="70"/>
  <c r="FQ238" i="70"/>
  <c r="FO238" i="70"/>
  <c r="FM238" i="70"/>
  <c r="FK238" i="70"/>
  <c r="FI238" i="70"/>
  <c r="FG238" i="70"/>
  <c r="FE238" i="70"/>
  <c r="FC238" i="70"/>
  <c r="FA238" i="70"/>
  <c r="EY238" i="70"/>
  <c r="EW238" i="70"/>
  <c r="EU238" i="70"/>
  <c r="ES238" i="70"/>
  <c r="EQ238" i="70"/>
  <c r="EO238" i="70"/>
  <c r="EM238" i="70"/>
  <c r="EK238" i="70"/>
  <c r="EI238" i="70"/>
  <c r="EG238" i="70"/>
  <c r="EE238" i="70"/>
  <c r="EC238" i="70"/>
  <c r="EA238" i="70"/>
  <c r="DY238" i="70"/>
  <c r="DW238" i="70"/>
  <c r="DU238" i="70"/>
  <c r="DS238" i="70"/>
  <c r="DQ238" i="70"/>
  <c r="DO238" i="70"/>
  <c r="DM238" i="70"/>
  <c r="DK238" i="70"/>
  <c r="DI238" i="70"/>
  <c r="DG238" i="70"/>
  <c r="DE238" i="70"/>
  <c r="DC238" i="70"/>
  <c r="DA238" i="70"/>
  <c r="CY238" i="70"/>
  <c r="CW238" i="70"/>
  <c r="CU238" i="70"/>
  <c r="CS238" i="70"/>
  <c r="CQ238" i="70"/>
  <c r="CO238" i="70"/>
  <c r="CM238" i="70"/>
  <c r="CK238" i="70"/>
  <c r="CI238" i="70"/>
  <c r="CG238" i="70"/>
  <c r="CE238" i="70"/>
  <c r="CC238" i="70"/>
  <c r="CA238" i="70"/>
  <c r="BY238" i="70"/>
  <c r="BW238" i="70"/>
  <c r="BU238" i="70"/>
  <c r="BS238" i="70"/>
  <c r="BQ238" i="70"/>
  <c r="BO238" i="70"/>
  <c r="BM238" i="70"/>
  <c r="BK238" i="70"/>
  <c r="BI238" i="70"/>
  <c r="BG238" i="70"/>
  <c r="BE238" i="70"/>
  <c r="BC238" i="70"/>
  <c r="BA238" i="70"/>
  <c r="AY238" i="70"/>
  <c r="AW238" i="70"/>
  <c r="AU238" i="70"/>
  <c r="AS238" i="70"/>
  <c r="AQ238" i="70"/>
  <c r="AO238" i="70"/>
  <c r="AM238" i="70"/>
  <c r="AK238" i="70"/>
  <c r="AI238" i="70"/>
  <c r="AG238" i="70"/>
  <c r="AE238" i="70"/>
  <c r="AC238" i="70"/>
  <c r="AA238" i="70"/>
  <c r="Y238" i="70"/>
  <c r="W238" i="70"/>
  <c r="U238" i="70"/>
  <c r="S238" i="70"/>
  <c r="Q238" i="70"/>
  <c r="O238" i="70"/>
  <c r="M238" i="70"/>
  <c r="K238" i="70"/>
  <c r="HA237" i="70"/>
  <c r="GY237" i="70"/>
  <c r="GW237" i="70"/>
  <c r="GU237" i="70"/>
  <c r="GS237" i="70"/>
  <c r="GQ237" i="70"/>
  <c r="GO237" i="70"/>
  <c r="GM237" i="70"/>
  <c r="GK237" i="70"/>
  <c r="GI237" i="70"/>
  <c r="GG237" i="70"/>
  <c r="GE237" i="70"/>
  <c r="GC237" i="70"/>
  <c r="GA237" i="70"/>
  <c r="FY237" i="70"/>
  <c r="FW237" i="70"/>
  <c r="FU237" i="70"/>
  <c r="FS237" i="70"/>
  <c r="FQ237" i="70"/>
  <c r="FO237" i="70"/>
  <c r="FM237" i="70"/>
  <c r="FK237" i="70"/>
  <c r="FI237" i="70"/>
  <c r="FG237" i="70"/>
  <c r="FE237" i="70"/>
  <c r="FC237" i="70"/>
  <c r="FA237" i="70"/>
  <c r="EY237" i="70"/>
  <c r="EW237" i="70"/>
  <c r="EU237" i="70"/>
  <c r="ES237" i="70"/>
  <c r="EQ237" i="70"/>
  <c r="EO237" i="70"/>
  <c r="EM237" i="70"/>
  <c r="EK237" i="70"/>
  <c r="EI237" i="70"/>
  <c r="EG237" i="70"/>
  <c r="EE237" i="70"/>
  <c r="EC237" i="70"/>
  <c r="EA237" i="70"/>
  <c r="DY237" i="70"/>
  <c r="DW237" i="70"/>
  <c r="DU237" i="70"/>
  <c r="DS237" i="70"/>
  <c r="DQ237" i="70"/>
  <c r="DO237" i="70"/>
  <c r="DM237" i="70"/>
  <c r="DK237" i="70"/>
  <c r="DI237" i="70"/>
  <c r="DG237" i="70"/>
  <c r="DE237" i="70"/>
  <c r="DC237" i="70"/>
  <c r="DA237" i="70"/>
  <c r="CY237" i="70"/>
  <c r="CW237" i="70"/>
  <c r="CU237" i="70"/>
  <c r="CS237" i="70"/>
  <c r="CQ237" i="70"/>
  <c r="CO237" i="70"/>
  <c r="CM237" i="70"/>
  <c r="CK237" i="70"/>
  <c r="CI237" i="70"/>
  <c r="CG237" i="70"/>
  <c r="CE237" i="70"/>
  <c r="CC237" i="70"/>
  <c r="CA237" i="70"/>
  <c r="BY237" i="70"/>
  <c r="BW237" i="70"/>
  <c r="BU237" i="70"/>
  <c r="BS237" i="70"/>
  <c r="BQ237" i="70"/>
  <c r="BO237" i="70"/>
  <c r="BM237" i="70"/>
  <c r="BK237" i="70"/>
  <c r="BI237" i="70"/>
  <c r="BG237" i="70"/>
  <c r="BE237" i="70"/>
  <c r="BC237" i="70"/>
  <c r="BA237" i="70"/>
  <c r="AY237" i="70"/>
  <c r="AW237" i="70"/>
  <c r="AU237" i="70"/>
  <c r="AS237" i="70"/>
  <c r="AQ237" i="70"/>
  <c r="AO237" i="70"/>
  <c r="AM237" i="70"/>
  <c r="AK237" i="70"/>
  <c r="AI237" i="70"/>
  <c r="AG237" i="70"/>
  <c r="AE237" i="70"/>
  <c r="AC237" i="70"/>
  <c r="AA237" i="70"/>
  <c r="Y237" i="70"/>
  <c r="W237" i="70"/>
  <c r="U237" i="70"/>
  <c r="S237" i="70"/>
  <c r="Q237" i="70"/>
  <c r="O237" i="70"/>
  <c r="M237" i="70"/>
  <c r="K237" i="70"/>
  <c r="HA236" i="70"/>
  <c r="GY236" i="70"/>
  <c r="GW236" i="70"/>
  <c r="GU236" i="70"/>
  <c r="GS236" i="70"/>
  <c r="GQ236" i="70"/>
  <c r="GO236" i="70"/>
  <c r="GM236" i="70"/>
  <c r="GK236" i="70"/>
  <c r="GI236" i="70"/>
  <c r="GG236" i="70"/>
  <c r="GE236" i="70"/>
  <c r="GC236" i="70"/>
  <c r="GA236" i="70"/>
  <c r="FY236" i="70"/>
  <c r="FW236" i="70"/>
  <c r="FU236" i="70"/>
  <c r="FS236" i="70"/>
  <c r="FQ236" i="70"/>
  <c r="FO236" i="70"/>
  <c r="FM236" i="70"/>
  <c r="FK236" i="70"/>
  <c r="FI236" i="70"/>
  <c r="FG236" i="70"/>
  <c r="FE236" i="70"/>
  <c r="FC236" i="70"/>
  <c r="FA236" i="70"/>
  <c r="EY236" i="70"/>
  <c r="EW236" i="70"/>
  <c r="EU236" i="70"/>
  <c r="ES236" i="70"/>
  <c r="EQ236" i="70"/>
  <c r="EO236" i="70"/>
  <c r="EM236" i="70"/>
  <c r="EK236" i="70"/>
  <c r="EI236" i="70"/>
  <c r="EG236" i="70"/>
  <c r="EE236" i="70"/>
  <c r="EC236" i="70"/>
  <c r="EA236" i="70"/>
  <c r="DY236" i="70"/>
  <c r="DW236" i="70"/>
  <c r="DU236" i="70"/>
  <c r="DS236" i="70"/>
  <c r="DQ236" i="70"/>
  <c r="DO236" i="70"/>
  <c r="DM236" i="70"/>
  <c r="DK236" i="70"/>
  <c r="DI236" i="70"/>
  <c r="DG236" i="70"/>
  <c r="DE236" i="70"/>
  <c r="DC236" i="70"/>
  <c r="DA236" i="70"/>
  <c r="CY236" i="70"/>
  <c r="CW236" i="70"/>
  <c r="CU236" i="70"/>
  <c r="CS236" i="70"/>
  <c r="CQ236" i="70"/>
  <c r="CO236" i="70"/>
  <c r="CM236" i="70"/>
  <c r="CK236" i="70"/>
  <c r="CI236" i="70"/>
  <c r="CG236" i="70"/>
  <c r="CE236" i="70"/>
  <c r="CC236" i="70"/>
  <c r="CA236" i="70"/>
  <c r="BY236" i="70"/>
  <c r="BW236" i="70"/>
  <c r="BU236" i="70"/>
  <c r="BS236" i="70"/>
  <c r="BQ236" i="70"/>
  <c r="BO236" i="70"/>
  <c r="BM236" i="70"/>
  <c r="BK236" i="70"/>
  <c r="BI236" i="70"/>
  <c r="BG236" i="70"/>
  <c r="BE236" i="70"/>
  <c r="BC236" i="70"/>
  <c r="BA236" i="70"/>
  <c r="AY236" i="70"/>
  <c r="AW236" i="70"/>
  <c r="AU236" i="70"/>
  <c r="AS236" i="70"/>
  <c r="AQ236" i="70"/>
  <c r="AO236" i="70"/>
  <c r="AM236" i="70"/>
  <c r="AK236" i="70"/>
  <c r="AI236" i="70"/>
  <c r="AG236" i="70"/>
  <c r="AE236" i="70"/>
  <c r="AC236" i="70"/>
  <c r="AA236" i="70"/>
  <c r="Y236" i="70"/>
  <c r="W236" i="70"/>
  <c r="U236" i="70"/>
  <c r="S236" i="70"/>
  <c r="Q236" i="70"/>
  <c r="O236" i="70"/>
  <c r="M236" i="70"/>
  <c r="K236" i="70"/>
  <c r="HA235" i="70"/>
  <c r="GY235" i="70"/>
  <c r="GW235" i="70"/>
  <c r="GU235" i="70"/>
  <c r="GS235" i="70"/>
  <c r="GQ235" i="70"/>
  <c r="GO235" i="70"/>
  <c r="GM235" i="70"/>
  <c r="GK235" i="70"/>
  <c r="GI235" i="70"/>
  <c r="GG235" i="70"/>
  <c r="GE235" i="70"/>
  <c r="GC235" i="70"/>
  <c r="GA235" i="70"/>
  <c r="FY235" i="70"/>
  <c r="FW235" i="70"/>
  <c r="FU235" i="70"/>
  <c r="FS235" i="70"/>
  <c r="FQ235" i="70"/>
  <c r="FO235" i="70"/>
  <c r="FM235" i="70"/>
  <c r="FK235" i="70"/>
  <c r="FI235" i="70"/>
  <c r="FG235" i="70"/>
  <c r="FE235" i="70"/>
  <c r="FC235" i="70"/>
  <c r="FA235" i="70"/>
  <c r="EY235" i="70"/>
  <c r="EW235" i="70"/>
  <c r="EU235" i="70"/>
  <c r="ES235" i="70"/>
  <c r="EQ235" i="70"/>
  <c r="EO235" i="70"/>
  <c r="EM235" i="70"/>
  <c r="EK235" i="70"/>
  <c r="EI235" i="70"/>
  <c r="EG235" i="70"/>
  <c r="EE235" i="70"/>
  <c r="EC235" i="70"/>
  <c r="EA235" i="70"/>
  <c r="DY235" i="70"/>
  <c r="DW235" i="70"/>
  <c r="DU235" i="70"/>
  <c r="DS235" i="70"/>
  <c r="DQ235" i="70"/>
  <c r="DO235" i="70"/>
  <c r="DM235" i="70"/>
  <c r="DK235" i="70"/>
  <c r="DI235" i="70"/>
  <c r="DG235" i="70"/>
  <c r="DE235" i="70"/>
  <c r="DC235" i="70"/>
  <c r="DA235" i="70"/>
  <c r="CY235" i="70"/>
  <c r="CW235" i="70"/>
  <c r="CU235" i="70"/>
  <c r="CS235" i="70"/>
  <c r="CQ235" i="70"/>
  <c r="CO235" i="70"/>
  <c r="CM235" i="70"/>
  <c r="CK235" i="70"/>
  <c r="CI235" i="70"/>
  <c r="CG235" i="70"/>
  <c r="CE235" i="70"/>
  <c r="CC235" i="70"/>
  <c r="CA235" i="70"/>
  <c r="BY235" i="70"/>
  <c r="BW235" i="70"/>
  <c r="BU235" i="70"/>
  <c r="BS235" i="70"/>
  <c r="BQ235" i="70"/>
  <c r="BO235" i="70"/>
  <c r="BM235" i="70"/>
  <c r="BK235" i="70"/>
  <c r="BI235" i="70"/>
  <c r="BG235" i="70"/>
  <c r="BE235" i="70"/>
  <c r="BC235" i="70"/>
  <c r="BA235" i="70"/>
  <c r="AY235" i="70"/>
  <c r="AW235" i="70"/>
  <c r="AU235" i="70"/>
  <c r="AS235" i="70"/>
  <c r="AQ235" i="70"/>
  <c r="AO235" i="70"/>
  <c r="AM235" i="70"/>
  <c r="AK235" i="70"/>
  <c r="AI235" i="70"/>
  <c r="AG235" i="70"/>
  <c r="AE235" i="70"/>
  <c r="AC235" i="70"/>
  <c r="AA235" i="70"/>
  <c r="Y235" i="70"/>
  <c r="W235" i="70"/>
  <c r="U235" i="70"/>
  <c r="S235" i="70"/>
  <c r="Q235" i="70"/>
  <c r="O235" i="70"/>
  <c r="M235" i="70"/>
  <c r="K235" i="70"/>
  <c r="HA234" i="70"/>
  <c r="GZ234" i="70"/>
  <c r="GY234" i="70"/>
  <c r="GW234" i="70"/>
  <c r="GV234" i="70"/>
  <c r="GU234" i="70"/>
  <c r="GS234" i="70"/>
  <c r="GR234" i="70"/>
  <c r="GQ234" i="70"/>
  <c r="GO234" i="70"/>
  <c r="GN234" i="70"/>
  <c r="GM234" i="70"/>
  <c r="GK234" i="70"/>
  <c r="GJ234" i="70"/>
  <c r="GI234" i="70"/>
  <c r="GG234" i="70"/>
  <c r="GF234" i="70"/>
  <c r="GE234" i="70"/>
  <c r="GC234" i="70"/>
  <c r="GB234" i="70"/>
  <c r="GA234" i="70"/>
  <c r="FY234" i="70"/>
  <c r="FX234" i="70"/>
  <c r="FW234" i="70"/>
  <c r="FU234" i="70"/>
  <c r="FT234" i="70"/>
  <c r="FS234" i="70"/>
  <c r="FQ234" i="70"/>
  <c r="FP234" i="70"/>
  <c r="FO234" i="70"/>
  <c r="FM234" i="70"/>
  <c r="FL234" i="70"/>
  <c r="FK234" i="70"/>
  <c r="FI234" i="70"/>
  <c r="FH234" i="70"/>
  <c r="FG234" i="70"/>
  <c r="FE234" i="70"/>
  <c r="FD234" i="70"/>
  <c r="FC234" i="70"/>
  <c r="FA234" i="70"/>
  <c r="EZ234" i="70"/>
  <c r="EY234" i="70"/>
  <c r="EW234" i="70"/>
  <c r="EV234" i="70"/>
  <c r="EU234" i="70"/>
  <c r="ES234" i="70"/>
  <c r="ER234" i="70"/>
  <c r="EQ234" i="70"/>
  <c r="EO234" i="70"/>
  <c r="EN234" i="70"/>
  <c r="EM234" i="70"/>
  <c r="EK234" i="70"/>
  <c r="EJ234" i="70"/>
  <c r="EI234" i="70"/>
  <c r="EG234" i="70"/>
  <c r="EF234" i="70"/>
  <c r="EE234" i="70"/>
  <c r="EC234" i="70"/>
  <c r="EB234" i="70"/>
  <c r="EA234" i="70"/>
  <c r="DY234" i="70"/>
  <c r="DX234" i="70"/>
  <c r="DW234" i="70"/>
  <c r="DU234" i="70"/>
  <c r="DT234" i="70"/>
  <c r="DS234" i="70"/>
  <c r="DQ234" i="70"/>
  <c r="DP234" i="70"/>
  <c r="DO234" i="70"/>
  <c r="DM234" i="70"/>
  <c r="DL234" i="70"/>
  <c r="DK234" i="70"/>
  <c r="DI234" i="70"/>
  <c r="DH234" i="70"/>
  <c r="DG234" i="70"/>
  <c r="DE234" i="70"/>
  <c r="DD234" i="70"/>
  <c r="DC234" i="70"/>
  <c r="DA234" i="70"/>
  <c r="CZ234" i="70"/>
  <c r="CY234" i="70"/>
  <c r="CW234" i="70"/>
  <c r="CV234" i="70"/>
  <c r="CU234" i="70"/>
  <c r="CS234" i="70"/>
  <c r="CR234" i="70"/>
  <c r="CQ234" i="70"/>
  <c r="CO234" i="70"/>
  <c r="CN234" i="70"/>
  <c r="CM234" i="70"/>
  <c r="CK234" i="70"/>
  <c r="CJ234" i="70"/>
  <c r="CI234" i="70"/>
  <c r="CG234" i="70"/>
  <c r="CF234" i="70"/>
  <c r="CE234" i="70"/>
  <c r="CC234" i="70"/>
  <c r="CB234" i="70"/>
  <c r="CA234" i="70"/>
  <c r="BY234" i="70"/>
  <c r="BX234" i="70"/>
  <c r="BW234" i="70"/>
  <c r="BU234" i="70"/>
  <c r="BT234" i="70"/>
  <c r="BS234" i="70"/>
  <c r="BQ234" i="70"/>
  <c r="BP234" i="70"/>
  <c r="BO234" i="70"/>
  <c r="BM234" i="70"/>
  <c r="BL234" i="70"/>
  <c r="BK234" i="70"/>
  <c r="BI234" i="70"/>
  <c r="BH234" i="70"/>
  <c r="BG234" i="70"/>
  <c r="BE234" i="70"/>
  <c r="BD234" i="70"/>
  <c r="BC234" i="70"/>
  <c r="BA234" i="70"/>
  <c r="AZ234" i="70"/>
  <c r="AY234" i="70"/>
  <c r="AW234" i="70"/>
  <c r="AV234" i="70"/>
  <c r="AU234" i="70"/>
  <c r="AS234" i="70"/>
  <c r="AR234" i="70"/>
  <c r="AQ234" i="70"/>
  <c r="AO234" i="70"/>
  <c r="AN234" i="70"/>
  <c r="AM234" i="70"/>
  <c r="AK234" i="70"/>
  <c r="AJ234" i="70"/>
  <c r="AI234" i="70"/>
  <c r="AG234" i="70"/>
  <c r="AF234" i="70"/>
  <c r="AE234" i="70"/>
  <c r="AC234" i="70"/>
  <c r="AB234" i="70"/>
  <c r="AA234" i="70"/>
  <c r="Y234" i="70"/>
  <c r="X234" i="70"/>
  <c r="W234" i="70"/>
  <c r="U234" i="70"/>
  <c r="T234" i="70"/>
  <c r="S234" i="70"/>
  <c r="Q234" i="70"/>
  <c r="P234" i="70"/>
  <c r="O234" i="70"/>
  <c r="M234" i="70"/>
  <c r="L234" i="70"/>
  <c r="K234" i="70"/>
  <c r="J234" i="70"/>
  <c r="V282" i="73" s="1"/>
  <c r="V294" i="73" s="1"/>
  <c r="I234" i="70"/>
  <c r="HA233" i="70"/>
  <c r="GZ233" i="70"/>
  <c r="GY233" i="70"/>
  <c r="GW233" i="70"/>
  <c r="GV233" i="70"/>
  <c r="GU233" i="70"/>
  <c r="GS233" i="70"/>
  <c r="GR233" i="70"/>
  <c r="GQ233" i="70"/>
  <c r="GO233" i="70"/>
  <c r="GN233" i="70"/>
  <c r="GM233" i="70"/>
  <c r="GK233" i="70"/>
  <c r="GJ233" i="70"/>
  <c r="GI233" i="70"/>
  <c r="GG233" i="70"/>
  <c r="GF233" i="70"/>
  <c r="GE233" i="70"/>
  <c r="GC233" i="70"/>
  <c r="GB233" i="70"/>
  <c r="GA233" i="70"/>
  <c r="FY233" i="70"/>
  <c r="FX233" i="70"/>
  <c r="FW233" i="70"/>
  <c r="FU233" i="70"/>
  <c r="FT233" i="70"/>
  <c r="FS233" i="70"/>
  <c r="FQ233" i="70"/>
  <c r="FP233" i="70"/>
  <c r="FO233" i="70"/>
  <c r="FM233" i="70"/>
  <c r="FL233" i="70"/>
  <c r="FK233" i="70"/>
  <c r="FI233" i="70"/>
  <c r="FH233" i="70"/>
  <c r="FG233" i="70"/>
  <c r="FE233" i="70"/>
  <c r="FD233" i="70"/>
  <c r="FC233" i="70"/>
  <c r="FA233" i="70"/>
  <c r="EZ233" i="70"/>
  <c r="EY233" i="70"/>
  <c r="EW233" i="70"/>
  <c r="EV233" i="70"/>
  <c r="EU233" i="70"/>
  <c r="ES233" i="70"/>
  <c r="ER233" i="70"/>
  <c r="EQ233" i="70"/>
  <c r="EO233" i="70"/>
  <c r="EN233" i="70"/>
  <c r="EM233" i="70"/>
  <c r="EK233" i="70"/>
  <c r="EJ233" i="70"/>
  <c r="EI233" i="70"/>
  <c r="EG233" i="70"/>
  <c r="EF233" i="70"/>
  <c r="EE233" i="70"/>
  <c r="EC233" i="70"/>
  <c r="EB233" i="70"/>
  <c r="EA233" i="70"/>
  <c r="DY233" i="70"/>
  <c r="DX233" i="70"/>
  <c r="DW233" i="70"/>
  <c r="DU233" i="70"/>
  <c r="DT233" i="70"/>
  <c r="DS233" i="70"/>
  <c r="DQ233" i="70"/>
  <c r="DP233" i="70"/>
  <c r="DO233" i="70"/>
  <c r="DM233" i="70"/>
  <c r="DL233" i="70"/>
  <c r="DK233" i="70"/>
  <c r="DI233" i="70"/>
  <c r="DH233" i="70"/>
  <c r="DG233" i="70"/>
  <c r="DE233" i="70"/>
  <c r="DD233" i="70"/>
  <c r="DC233" i="70"/>
  <c r="DA233" i="70"/>
  <c r="CZ233" i="70"/>
  <c r="CY233" i="70"/>
  <c r="CW233" i="70"/>
  <c r="CV233" i="70"/>
  <c r="CU233" i="70"/>
  <c r="CS233" i="70"/>
  <c r="CR233" i="70"/>
  <c r="CQ233" i="70"/>
  <c r="CO233" i="70"/>
  <c r="CN233" i="70"/>
  <c r="CM233" i="70"/>
  <c r="CK233" i="70"/>
  <c r="CJ233" i="70"/>
  <c r="CI233" i="70"/>
  <c r="CG233" i="70"/>
  <c r="CF233" i="70"/>
  <c r="CE233" i="70"/>
  <c r="CC233" i="70"/>
  <c r="CB233" i="70"/>
  <c r="CA233" i="70"/>
  <c r="BY233" i="70"/>
  <c r="BX233" i="70"/>
  <c r="BW233" i="70"/>
  <c r="BU233" i="70"/>
  <c r="BT233" i="70"/>
  <c r="BS233" i="70"/>
  <c r="BQ233" i="70"/>
  <c r="BP233" i="70"/>
  <c r="BO233" i="70"/>
  <c r="BM233" i="70"/>
  <c r="BL233" i="70"/>
  <c r="BK233" i="70"/>
  <c r="BI233" i="70"/>
  <c r="BH233" i="70"/>
  <c r="BG233" i="70"/>
  <c r="BE233" i="70"/>
  <c r="BD233" i="70"/>
  <c r="BC233" i="70"/>
  <c r="BA233" i="70"/>
  <c r="AZ233" i="70"/>
  <c r="AY233" i="70"/>
  <c r="AW233" i="70"/>
  <c r="AV233" i="70"/>
  <c r="AU233" i="70"/>
  <c r="AS233" i="70"/>
  <c r="AR233" i="70"/>
  <c r="AQ233" i="70"/>
  <c r="AO233" i="70"/>
  <c r="AN233" i="70"/>
  <c r="AM233" i="70"/>
  <c r="AK233" i="70"/>
  <c r="AJ233" i="70"/>
  <c r="AI233" i="70"/>
  <c r="AG233" i="70"/>
  <c r="AF233" i="70"/>
  <c r="AE233" i="70"/>
  <c r="AC233" i="70"/>
  <c r="AB233" i="70"/>
  <c r="AA233" i="70"/>
  <c r="Y233" i="70"/>
  <c r="X233" i="70"/>
  <c r="W233" i="70"/>
  <c r="U233" i="70"/>
  <c r="T233" i="70"/>
  <c r="S233" i="70"/>
  <c r="Q233" i="70"/>
  <c r="P233" i="70"/>
  <c r="O233" i="70"/>
  <c r="M233" i="70"/>
  <c r="L233" i="70"/>
  <c r="K233" i="70"/>
  <c r="J233" i="70"/>
  <c r="V237" i="73" s="1"/>
  <c r="V249" i="73" s="1"/>
  <c r="I233" i="70"/>
  <c r="GZ232" i="70"/>
  <c r="GV232" i="70"/>
  <c r="GR232" i="70"/>
  <c r="GN232" i="70"/>
  <c r="GJ232" i="70"/>
  <c r="GF232" i="70"/>
  <c r="GB232" i="70"/>
  <c r="FX232" i="70"/>
  <c r="FT232" i="70"/>
  <c r="FP232" i="70"/>
  <c r="FL232" i="70"/>
  <c r="FH232" i="70"/>
  <c r="FD232" i="70"/>
  <c r="EZ232" i="70"/>
  <c r="EV232" i="70"/>
  <c r="ER232" i="70"/>
  <c r="EN232" i="70"/>
  <c r="EJ232" i="70"/>
  <c r="EF232" i="70"/>
  <c r="EB232" i="70"/>
  <c r="DX232" i="70"/>
  <c r="DT232" i="70"/>
  <c r="DP232" i="70"/>
  <c r="DL232" i="70"/>
  <c r="DH232" i="70"/>
  <c r="DD232" i="70"/>
  <c r="CZ232" i="70"/>
  <c r="CV232" i="70"/>
  <c r="CR232" i="70"/>
  <c r="CN232" i="70"/>
  <c r="CJ232" i="70"/>
  <c r="CF232" i="70"/>
  <c r="CB232" i="70"/>
  <c r="BX232" i="70"/>
  <c r="BT232" i="70"/>
  <c r="BP232" i="70"/>
  <c r="BL232" i="70"/>
  <c r="BH232" i="70"/>
  <c r="BD232" i="70"/>
  <c r="AZ232" i="70"/>
  <c r="AV232" i="70"/>
  <c r="AR232" i="70"/>
  <c r="AN232" i="70"/>
  <c r="AJ232" i="70"/>
  <c r="AF232" i="70"/>
  <c r="AB232" i="70"/>
  <c r="X232" i="70"/>
  <c r="T232" i="70"/>
  <c r="P232" i="70"/>
  <c r="L232" i="70"/>
  <c r="GY230" i="70"/>
  <c r="GU230" i="70"/>
  <c r="GQ230" i="70"/>
  <c r="GM230" i="70"/>
  <c r="GI230" i="70"/>
  <c r="GE230" i="70"/>
  <c r="GA230" i="70"/>
  <c r="FW230" i="70"/>
  <c r="FS230" i="70"/>
  <c r="FO230" i="70"/>
  <c r="FK230" i="70"/>
  <c r="FG230" i="70"/>
  <c r="FC230" i="70"/>
  <c r="EY230" i="70"/>
  <c r="EU230" i="70"/>
  <c r="EQ230" i="70"/>
  <c r="EM230" i="70"/>
  <c r="EI230" i="70"/>
  <c r="EE230" i="70"/>
  <c r="EA230" i="70"/>
  <c r="DW230" i="70"/>
  <c r="DS230" i="70"/>
  <c r="DO230" i="70"/>
  <c r="DK230" i="70"/>
  <c r="DG230" i="70"/>
  <c r="DC230" i="70"/>
  <c r="CY230" i="70"/>
  <c r="CU230" i="70"/>
  <c r="CQ230" i="70"/>
  <c r="CM230" i="70"/>
  <c r="CI230" i="70"/>
  <c r="CE230" i="70"/>
  <c r="CA230" i="70"/>
  <c r="BW230" i="70"/>
  <c r="BS230" i="70"/>
  <c r="BO230" i="70"/>
  <c r="BK230" i="70"/>
  <c r="BG230" i="70"/>
  <c r="BC230" i="70"/>
  <c r="AY230" i="70"/>
  <c r="AU230" i="70"/>
  <c r="AQ230" i="70"/>
  <c r="AM230" i="70"/>
  <c r="AI230" i="70"/>
  <c r="AE230" i="70"/>
  <c r="AA230" i="70"/>
  <c r="W230" i="70"/>
  <c r="S230" i="70"/>
  <c r="O230" i="70"/>
  <c r="K230" i="70"/>
  <c r="HB228" i="70"/>
  <c r="HB229" i="70" s="1"/>
  <c r="HA228" i="70"/>
  <c r="HA229" i="70" s="1"/>
  <c r="GZ228" i="70"/>
  <c r="GZ229" i="70" s="1"/>
  <c r="GY228" i="70"/>
  <c r="GY229" i="70" s="1"/>
  <c r="GX228" i="70"/>
  <c r="GX229" i="70" s="1"/>
  <c r="GW228" i="70"/>
  <c r="GW229" i="70" s="1"/>
  <c r="GV228" i="70"/>
  <c r="GV229" i="70" s="1"/>
  <c r="GU228" i="70"/>
  <c r="GU229" i="70" s="1"/>
  <c r="GT228" i="70"/>
  <c r="GT229" i="70" s="1"/>
  <c r="GS228" i="70"/>
  <c r="GS229" i="70" s="1"/>
  <c r="GR228" i="70"/>
  <c r="GR229" i="70" s="1"/>
  <c r="GQ228" i="70"/>
  <c r="GQ229" i="70" s="1"/>
  <c r="GP228" i="70"/>
  <c r="GP229" i="70" s="1"/>
  <c r="GO228" i="70"/>
  <c r="GO229" i="70" s="1"/>
  <c r="GN228" i="70"/>
  <c r="GN229" i="70" s="1"/>
  <c r="GM228" i="70"/>
  <c r="GM229" i="70" s="1"/>
  <c r="GL228" i="70"/>
  <c r="GL229" i="70" s="1"/>
  <c r="GK228" i="70"/>
  <c r="GK229" i="70" s="1"/>
  <c r="GJ228" i="70"/>
  <c r="GJ229" i="70" s="1"/>
  <c r="GI228" i="70"/>
  <c r="GI229" i="70" s="1"/>
  <c r="GH228" i="70"/>
  <c r="GH229" i="70" s="1"/>
  <c r="GG228" i="70"/>
  <c r="GG229" i="70" s="1"/>
  <c r="GF228" i="70"/>
  <c r="GF229" i="70" s="1"/>
  <c r="GE228" i="70"/>
  <c r="GE229" i="70" s="1"/>
  <c r="GD228" i="70"/>
  <c r="GD229" i="70" s="1"/>
  <c r="GC228" i="70"/>
  <c r="GC229" i="70" s="1"/>
  <c r="GB228" i="70"/>
  <c r="GB229" i="70" s="1"/>
  <c r="GA228" i="70"/>
  <c r="GA229" i="70" s="1"/>
  <c r="FZ228" i="70"/>
  <c r="FZ229" i="70" s="1"/>
  <c r="FY228" i="70"/>
  <c r="FY229" i="70" s="1"/>
  <c r="FX228" i="70"/>
  <c r="FX229" i="70" s="1"/>
  <c r="FW228" i="70"/>
  <c r="FW229" i="70" s="1"/>
  <c r="FV228" i="70"/>
  <c r="FV229" i="70" s="1"/>
  <c r="FU228" i="70"/>
  <c r="FU229" i="70" s="1"/>
  <c r="FT228" i="70"/>
  <c r="FT229" i="70" s="1"/>
  <c r="FS228" i="70"/>
  <c r="FS229" i="70" s="1"/>
  <c r="FR228" i="70"/>
  <c r="FR229" i="70" s="1"/>
  <c r="FQ228" i="70"/>
  <c r="FQ229" i="70" s="1"/>
  <c r="FP228" i="70"/>
  <c r="FP229" i="70" s="1"/>
  <c r="FO228" i="70"/>
  <c r="FO229" i="70" s="1"/>
  <c r="FN228" i="70"/>
  <c r="FN229" i="70" s="1"/>
  <c r="FM228" i="70"/>
  <c r="FM229" i="70" s="1"/>
  <c r="FL228" i="70"/>
  <c r="FL229" i="70" s="1"/>
  <c r="FK228" i="70"/>
  <c r="FK229" i="70" s="1"/>
  <c r="FJ228" i="70"/>
  <c r="FJ229" i="70" s="1"/>
  <c r="FI228" i="70"/>
  <c r="FI229" i="70" s="1"/>
  <c r="FH228" i="70"/>
  <c r="FH229" i="70" s="1"/>
  <c r="FG228" i="70"/>
  <c r="FG229" i="70" s="1"/>
  <c r="FF228" i="70"/>
  <c r="FF229" i="70" s="1"/>
  <c r="FE228" i="70"/>
  <c r="FE229" i="70" s="1"/>
  <c r="FD228" i="70"/>
  <c r="FD229" i="70" s="1"/>
  <c r="FC228" i="70"/>
  <c r="FC229" i="70" s="1"/>
  <c r="FB228" i="70"/>
  <c r="FB229" i="70" s="1"/>
  <c r="FA228" i="70"/>
  <c r="FA229" i="70" s="1"/>
  <c r="EZ228" i="70"/>
  <c r="EZ229" i="70" s="1"/>
  <c r="EY228" i="70"/>
  <c r="EY229" i="70" s="1"/>
  <c r="EX228" i="70"/>
  <c r="EX229" i="70" s="1"/>
  <c r="EW228" i="70"/>
  <c r="EW229" i="70" s="1"/>
  <c r="EV228" i="70"/>
  <c r="EV229" i="70" s="1"/>
  <c r="EU228" i="70"/>
  <c r="EU229" i="70" s="1"/>
  <c r="ET228" i="70"/>
  <c r="ET229" i="70" s="1"/>
  <c r="ES228" i="70"/>
  <c r="ES229" i="70" s="1"/>
  <c r="ER228" i="70"/>
  <c r="ER229" i="70" s="1"/>
  <c r="EQ228" i="70"/>
  <c r="EQ229" i="70" s="1"/>
  <c r="EP228" i="70"/>
  <c r="EP229" i="70" s="1"/>
  <c r="EO228" i="70"/>
  <c r="EO229" i="70" s="1"/>
  <c r="EN228" i="70"/>
  <c r="EN229" i="70" s="1"/>
  <c r="EM228" i="70"/>
  <c r="EM229" i="70" s="1"/>
  <c r="EL228" i="70"/>
  <c r="EL229" i="70" s="1"/>
  <c r="EK228" i="70"/>
  <c r="EK229" i="70" s="1"/>
  <c r="EJ228" i="70"/>
  <c r="EJ229" i="70" s="1"/>
  <c r="EI228" i="70"/>
  <c r="EI229" i="70" s="1"/>
  <c r="EH228" i="70"/>
  <c r="EH229" i="70" s="1"/>
  <c r="EG228" i="70"/>
  <c r="EG229" i="70" s="1"/>
  <c r="EF228" i="70"/>
  <c r="EF229" i="70" s="1"/>
  <c r="EE228" i="70"/>
  <c r="EE229" i="70" s="1"/>
  <c r="ED228" i="70"/>
  <c r="ED229" i="70" s="1"/>
  <c r="EC228" i="70"/>
  <c r="EC229" i="70" s="1"/>
  <c r="EB228" i="70"/>
  <c r="EB229" i="70" s="1"/>
  <c r="EA228" i="70"/>
  <c r="EA229" i="70" s="1"/>
  <c r="DZ228" i="70"/>
  <c r="DZ229" i="70" s="1"/>
  <c r="DY228" i="70"/>
  <c r="DY229" i="70" s="1"/>
  <c r="DX228" i="70"/>
  <c r="DX229" i="70" s="1"/>
  <c r="DW228" i="70"/>
  <c r="DW229" i="70" s="1"/>
  <c r="DV228" i="70"/>
  <c r="DV229" i="70" s="1"/>
  <c r="DU228" i="70"/>
  <c r="DU229" i="70" s="1"/>
  <c r="DT228" i="70"/>
  <c r="DT229" i="70" s="1"/>
  <c r="DS228" i="70"/>
  <c r="DS229" i="70" s="1"/>
  <c r="DR228" i="70"/>
  <c r="DR229" i="70" s="1"/>
  <c r="DQ228" i="70"/>
  <c r="DQ229" i="70" s="1"/>
  <c r="DP228" i="70"/>
  <c r="DP229" i="70" s="1"/>
  <c r="DO228" i="70"/>
  <c r="DO229" i="70" s="1"/>
  <c r="DN228" i="70"/>
  <c r="DN229" i="70" s="1"/>
  <c r="DM228" i="70"/>
  <c r="DM229" i="70" s="1"/>
  <c r="DL228" i="70"/>
  <c r="DL229" i="70" s="1"/>
  <c r="DK228" i="70"/>
  <c r="DK229" i="70" s="1"/>
  <c r="DJ228" i="70"/>
  <c r="DJ229" i="70" s="1"/>
  <c r="DI228" i="70"/>
  <c r="DI229" i="70" s="1"/>
  <c r="DH228" i="70"/>
  <c r="DH229" i="70" s="1"/>
  <c r="DG228" i="70"/>
  <c r="DG229" i="70" s="1"/>
  <c r="DF228" i="70"/>
  <c r="DF229" i="70" s="1"/>
  <c r="DE228" i="70"/>
  <c r="DE229" i="70" s="1"/>
  <c r="DD228" i="70"/>
  <c r="DD229" i="70" s="1"/>
  <c r="DC228" i="70"/>
  <c r="DC229" i="70" s="1"/>
  <c r="DB228" i="70"/>
  <c r="DB229" i="70" s="1"/>
  <c r="DA228" i="70"/>
  <c r="DA229" i="70" s="1"/>
  <c r="CZ228" i="70"/>
  <c r="CZ229" i="70" s="1"/>
  <c r="CY228" i="70"/>
  <c r="CY229" i="70" s="1"/>
  <c r="CX228" i="70"/>
  <c r="CX229" i="70" s="1"/>
  <c r="CW228" i="70"/>
  <c r="CW229" i="70" s="1"/>
  <c r="CV228" i="70"/>
  <c r="CV229" i="70" s="1"/>
  <c r="CU228" i="70"/>
  <c r="CU229" i="70" s="1"/>
  <c r="CT228" i="70"/>
  <c r="CT229" i="70" s="1"/>
  <c r="CS228" i="70"/>
  <c r="CS229" i="70" s="1"/>
  <c r="CR228" i="70"/>
  <c r="CR229" i="70" s="1"/>
  <c r="CQ228" i="70"/>
  <c r="CQ229" i="70" s="1"/>
  <c r="CP228" i="70"/>
  <c r="CP229" i="70" s="1"/>
  <c r="CO228" i="70"/>
  <c r="CO229" i="70" s="1"/>
  <c r="CN228" i="70"/>
  <c r="CN229" i="70" s="1"/>
  <c r="CM228" i="70"/>
  <c r="CM229" i="70" s="1"/>
  <c r="CL228" i="70"/>
  <c r="CL229" i="70" s="1"/>
  <c r="CK228" i="70"/>
  <c r="CK229" i="70" s="1"/>
  <c r="CJ228" i="70"/>
  <c r="CJ229" i="70" s="1"/>
  <c r="CI228" i="70"/>
  <c r="CI229" i="70" s="1"/>
  <c r="CH228" i="70"/>
  <c r="CH229" i="70" s="1"/>
  <c r="CG228" i="70"/>
  <c r="CG229" i="70" s="1"/>
  <c r="CF228" i="70"/>
  <c r="CF229" i="70" s="1"/>
  <c r="CE228" i="70"/>
  <c r="CE229" i="70" s="1"/>
  <c r="CD228" i="70"/>
  <c r="CD229" i="70" s="1"/>
  <c r="CC228" i="70"/>
  <c r="CC229" i="70" s="1"/>
  <c r="CB228" i="70"/>
  <c r="CB229" i="70" s="1"/>
  <c r="CA228" i="70"/>
  <c r="CA229" i="70" s="1"/>
  <c r="BZ228" i="70"/>
  <c r="BZ229" i="70" s="1"/>
  <c r="BY228" i="70"/>
  <c r="BY229" i="70" s="1"/>
  <c r="BX228" i="70"/>
  <c r="BX229" i="70" s="1"/>
  <c r="BW228" i="70"/>
  <c r="BW229" i="70" s="1"/>
  <c r="BV228" i="70"/>
  <c r="BV229" i="70" s="1"/>
  <c r="BU228" i="70"/>
  <c r="BU229" i="70" s="1"/>
  <c r="BT228" i="70"/>
  <c r="BT229" i="70" s="1"/>
  <c r="BS228" i="70"/>
  <c r="BS229" i="70" s="1"/>
  <c r="BR228" i="70"/>
  <c r="BR229" i="70" s="1"/>
  <c r="BQ228" i="70"/>
  <c r="BQ229" i="70" s="1"/>
  <c r="BP228" i="70"/>
  <c r="BP229" i="70" s="1"/>
  <c r="BO228" i="70"/>
  <c r="BO229" i="70" s="1"/>
  <c r="BN228" i="70"/>
  <c r="BN229" i="70" s="1"/>
  <c r="BM228" i="70"/>
  <c r="BM229" i="70" s="1"/>
  <c r="BL228" i="70"/>
  <c r="BL229" i="70" s="1"/>
  <c r="BK228" i="70"/>
  <c r="BK229" i="70" s="1"/>
  <c r="BJ228" i="70"/>
  <c r="BJ229" i="70" s="1"/>
  <c r="BI228" i="70"/>
  <c r="BI229" i="70" s="1"/>
  <c r="BH228" i="70"/>
  <c r="BH229" i="70" s="1"/>
  <c r="BG228" i="70"/>
  <c r="BG229" i="70" s="1"/>
  <c r="BF228" i="70"/>
  <c r="BF229" i="70" s="1"/>
  <c r="BE228" i="70"/>
  <c r="BE229" i="70" s="1"/>
  <c r="BD228" i="70"/>
  <c r="BD229" i="70" s="1"/>
  <c r="BC228" i="70"/>
  <c r="BC229" i="70" s="1"/>
  <c r="BB228" i="70"/>
  <c r="BB229" i="70" s="1"/>
  <c r="BA228" i="70"/>
  <c r="BA229" i="70" s="1"/>
  <c r="AZ228" i="70"/>
  <c r="AZ229" i="70" s="1"/>
  <c r="AY228" i="70"/>
  <c r="AY229" i="70" s="1"/>
  <c r="AX228" i="70"/>
  <c r="AX229" i="70" s="1"/>
  <c r="AW228" i="70"/>
  <c r="AW229" i="70" s="1"/>
  <c r="AV228" i="70"/>
  <c r="AV229" i="70" s="1"/>
  <c r="AU228" i="70"/>
  <c r="AU229" i="70" s="1"/>
  <c r="AT228" i="70"/>
  <c r="AT229" i="70" s="1"/>
  <c r="AS228" i="70"/>
  <c r="AS229" i="70" s="1"/>
  <c r="AR228" i="70"/>
  <c r="AR229" i="70" s="1"/>
  <c r="AQ228" i="70"/>
  <c r="AQ229" i="70" s="1"/>
  <c r="AP228" i="70"/>
  <c r="AP229" i="70" s="1"/>
  <c r="AO228" i="70"/>
  <c r="AO229" i="70" s="1"/>
  <c r="AN228" i="70"/>
  <c r="AN229" i="70" s="1"/>
  <c r="AM228" i="70"/>
  <c r="AM229" i="70" s="1"/>
  <c r="AL228" i="70"/>
  <c r="AL229" i="70" s="1"/>
  <c r="AK228" i="70"/>
  <c r="AK229" i="70" s="1"/>
  <c r="AJ228" i="70"/>
  <c r="AJ229" i="70" s="1"/>
  <c r="AI228" i="70"/>
  <c r="AI229" i="70" s="1"/>
  <c r="AH228" i="70"/>
  <c r="AH229" i="70" s="1"/>
  <c r="AG228" i="70"/>
  <c r="AG229" i="70" s="1"/>
  <c r="AF228" i="70"/>
  <c r="AF229" i="70" s="1"/>
  <c r="AE228" i="70"/>
  <c r="AE229" i="70" s="1"/>
  <c r="AD228" i="70"/>
  <c r="AD229" i="70" s="1"/>
  <c r="AC228" i="70"/>
  <c r="AC229" i="70" s="1"/>
  <c r="AB228" i="70"/>
  <c r="AB229" i="70" s="1"/>
  <c r="AA228" i="70"/>
  <c r="AA229" i="70" s="1"/>
  <c r="Z228" i="70"/>
  <c r="Z229" i="70" s="1"/>
  <c r="Y228" i="70"/>
  <c r="Y229" i="70" s="1"/>
  <c r="X228" i="70"/>
  <c r="X229" i="70" s="1"/>
  <c r="W228" i="70"/>
  <c r="W229" i="70" s="1"/>
  <c r="V228" i="70"/>
  <c r="V229" i="70" s="1"/>
  <c r="U228" i="70"/>
  <c r="U229" i="70" s="1"/>
  <c r="T228" i="70"/>
  <c r="T229" i="70" s="1"/>
  <c r="S228" i="70"/>
  <c r="S229" i="70" s="1"/>
  <c r="R228" i="70"/>
  <c r="R229" i="70" s="1"/>
  <c r="Q228" i="70"/>
  <c r="Q229" i="70" s="1"/>
  <c r="P228" i="70"/>
  <c r="P229" i="70" s="1"/>
  <c r="O228" i="70"/>
  <c r="O229" i="70" s="1"/>
  <c r="N228" i="70"/>
  <c r="N229" i="70" s="1"/>
  <c r="M228" i="70"/>
  <c r="M229" i="70" s="1"/>
  <c r="L228" i="70"/>
  <c r="L229" i="70" s="1"/>
  <c r="K228" i="70"/>
  <c r="K229" i="70" s="1"/>
  <c r="J228" i="70"/>
  <c r="V158" i="72" s="1"/>
  <c r="V160" i="72" s="1"/>
  <c r="V162" i="72" s="1"/>
  <c r="I228" i="70"/>
  <c r="GY226" i="70"/>
  <c r="GU226" i="70"/>
  <c r="GQ226" i="70"/>
  <c r="GM226" i="70"/>
  <c r="GI226" i="70"/>
  <c r="GE226" i="70"/>
  <c r="GA226" i="70"/>
  <c r="FW226" i="70"/>
  <c r="FS226" i="70"/>
  <c r="FO226" i="70"/>
  <c r="FK226" i="70"/>
  <c r="FG226" i="70"/>
  <c r="FC226" i="70"/>
  <c r="EY226" i="70"/>
  <c r="EU226" i="70"/>
  <c r="EQ226" i="70"/>
  <c r="EM226" i="70"/>
  <c r="EI226" i="70"/>
  <c r="EE226" i="70"/>
  <c r="EA226" i="70"/>
  <c r="DW226" i="70"/>
  <c r="DS226" i="70"/>
  <c r="DO226" i="70"/>
  <c r="DK226" i="70"/>
  <c r="DG226" i="70"/>
  <c r="DC226" i="70"/>
  <c r="CY226" i="70"/>
  <c r="CU226" i="70"/>
  <c r="CQ226" i="70"/>
  <c r="CM226" i="70"/>
  <c r="CI226" i="70"/>
  <c r="CE226" i="70"/>
  <c r="CA226" i="70"/>
  <c r="BW226" i="70"/>
  <c r="BS226" i="70"/>
  <c r="BO226" i="70"/>
  <c r="BK226" i="70"/>
  <c r="BG226" i="70"/>
  <c r="BC226" i="70"/>
  <c r="AY226" i="70"/>
  <c r="AU226" i="70"/>
  <c r="AQ226" i="70"/>
  <c r="AM226" i="70"/>
  <c r="AI226" i="70"/>
  <c r="AE226" i="70"/>
  <c r="AA226" i="70"/>
  <c r="W226" i="70"/>
  <c r="S226" i="70"/>
  <c r="O226" i="70"/>
  <c r="K226" i="70"/>
  <c r="HG160" i="70"/>
  <c r="HC160" i="70"/>
  <c r="HG159" i="70"/>
  <c r="HC159" i="70"/>
  <c r="HG158" i="70"/>
  <c r="HC158" i="70"/>
  <c r="HG157" i="70"/>
  <c r="HC157" i="70"/>
  <c r="HG156" i="70"/>
  <c r="HC156" i="70"/>
  <c r="HG155" i="70"/>
  <c r="HC155" i="70"/>
  <c r="HG154" i="70"/>
  <c r="HC154" i="70"/>
  <c r="HG153" i="70"/>
  <c r="HC153" i="70"/>
  <c r="HG152" i="70"/>
  <c r="HC152" i="70"/>
  <c r="HG151" i="70"/>
  <c r="HC151" i="70"/>
  <c r="HG150" i="70"/>
  <c r="HC150" i="70"/>
  <c r="HG149" i="70"/>
  <c r="HC149" i="70"/>
  <c r="HG148" i="70"/>
  <c r="HC148" i="70"/>
  <c r="HG147" i="70"/>
  <c r="HC147" i="70"/>
  <c r="HG146" i="70"/>
  <c r="HC146" i="70"/>
  <c r="HG145" i="70"/>
  <c r="HC145" i="70"/>
  <c r="HG144" i="70"/>
  <c r="HC144" i="70"/>
  <c r="HG143" i="70"/>
  <c r="HC143" i="70"/>
  <c r="HG142" i="70"/>
  <c r="HC142" i="70"/>
  <c r="HG141" i="70"/>
  <c r="HC141" i="70"/>
  <c r="HG140" i="70"/>
  <c r="HC140" i="70"/>
  <c r="HG139" i="70"/>
  <c r="HC139" i="70"/>
  <c r="HG138" i="70"/>
  <c r="HC138" i="70"/>
  <c r="HG137" i="70"/>
  <c r="HC137" i="70"/>
  <c r="HG136" i="70"/>
  <c r="HC136" i="70"/>
  <c r="HG135" i="70"/>
  <c r="HC135" i="70"/>
  <c r="HG134" i="70"/>
  <c r="HC134" i="70"/>
  <c r="HG133" i="70"/>
  <c r="HC133" i="70"/>
  <c r="HG132" i="70"/>
  <c r="HC132" i="70"/>
  <c r="HG131" i="70"/>
  <c r="HC131" i="70"/>
  <c r="HJ130" i="70"/>
  <c r="HI130" i="70"/>
  <c r="HG130" i="70"/>
  <c r="HF130" i="70"/>
  <c r="HE130" i="70"/>
  <c r="HC130" i="70"/>
  <c r="HJ129" i="70"/>
  <c r="HI129" i="70"/>
  <c r="HG129" i="70"/>
  <c r="HF129" i="70"/>
  <c r="HE129" i="70"/>
  <c r="HC129" i="70"/>
  <c r="HJ128" i="70"/>
  <c r="HI128" i="70"/>
  <c r="HG128" i="70"/>
  <c r="HF128" i="70"/>
  <c r="HE128" i="70"/>
  <c r="HC128" i="70"/>
  <c r="HJ127" i="70"/>
  <c r="HI127" i="70"/>
  <c r="HG127" i="70"/>
  <c r="HF127" i="70"/>
  <c r="HE127" i="70"/>
  <c r="HC127" i="70"/>
  <c r="HJ126" i="70"/>
  <c r="HI126" i="70"/>
  <c r="HG126" i="70"/>
  <c r="HF126" i="70"/>
  <c r="HE126" i="70"/>
  <c r="HC126" i="70"/>
  <c r="HJ125" i="70"/>
  <c r="HI125" i="70"/>
  <c r="HG125" i="70"/>
  <c r="HF125" i="70"/>
  <c r="HE125" i="70"/>
  <c r="HC125" i="70"/>
  <c r="HJ124" i="70"/>
  <c r="HI124" i="70"/>
  <c r="HG124" i="70"/>
  <c r="HF124" i="70"/>
  <c r="HE124" i="70"/>
  <c r="HC124" i="70"/>
  <c r="HJ123" i="70"/>
  <c r="HI123" i="70"/>
  <c r="HG123" i="70"/>
  <c r="HF123" i="70"/>
  <c r="HE123" i="70"/>
  <c r="HC123" i="70"/>
  <c r="HJ122" i="70"/>
  <c r="HI122" i="70"/>
  <c r="HG122" i="70"/>
  <c r="HF122" i="70"/>
  <c r="HE122" i="70"/>
  <c r="HC122" i="70"/>
  <c r="HI121" i="70"/>
  <c r="HH121" i="70"/>
  <c r="HG121" i="70"/>
  <c r="HE121" i="70"/>
  <c r="HD121" i="70"/>
  <c r="HC121" i="70"/>
  <c r="HI120" i="70"/>
  <c r="HH120" i="70"/>
  <c r="HG120" i="70"/>
  <c r="HE120" i="70"/>
  <c r="HD120" i="70"/>
  <c r="HC120" i="70"/>
  <c r="HI119" i="70"/>
  <c r="HH119" i="70"/>
  <c r="HG119" i="70"/>
  <c r="HE119" i="70"/>
  <c r="HD119" i="70"/>
  <c r="HC119" i="70"/>
  <c r="HI118" i="70"/>
  <c r="HH118" i="70"/>
  <c r="HG118" i="70"/>
  <c r="HE118" i="70"/>
  <c r="HD118" i="70"/>
  <c r="HC118" i="70"/>
  <c r="HI117" i="70"/>
  <c r="HH117" i="70"/>
  <c r="HG117" i="70"/>
  <c r="HE117" i="70"/>
  <c r="HD117" i="70"/>
  <c r="HC117" i="70"/>
  <c r="HI116" i="70"/>
  <c r="HH116" i="70"/>
  <c r="HG116" i="70"/>
  <c r="HE116" i="70"/>
  <c r="HD116" i="70"/>
  <c r="HC116" i="70"/>
  <c r="HI115" i="70"/>
  <c r="HH115" i="70"/>
  <c r="HG115" i="70"/>
  <c r="HE115" i="70"/>
  <c r="HD115" i="70"/>
  <c r="HC115" i="70"/>
  <c r="HI114" i="70"/>
  <c r="HH114" i="70"/>
  <c r="HG114" i="70"/>
  <c r="HE114" i="70"/>
  <c r="HD114" i="70"/>
  <c r="HC114" i="70"/>
  <c r="HI113" i="70"/>
  <c r="HH113" i="70"/>
  <c r="HG113" i="70"/>
  <c r="HE113" i="70"/>
  <c r="HD113" i="70"/>
  <c r="HC113" i="70"/>
  <c r="HI112" i="70"/>
  <c r="HH112" i="70"/>
  <c r="HG112" i="70"/>
  <c r="HE112" i="70"/>
  <c r="HD112" i="70"/>
  <c r="HC112" i="70"/>
  <c r="HI107" i="70"/>
  <c r="HG107" i="70"/>
  <c r="HE107" i="70"/>
  <c r="HC107" i="70"/>
  <c r="HI106" i="70"/>
  <c r="HG106" i="70"/>
  <c r="HE106" i="70"/>
  <c r="HC106" i="70"/>
  <c r="HI105" i="70"/>
  <c r="HG105" i="70"/>
  <c r="HE105" i="70"/>
  <c r="HC105" i="70"/>
  <c r="HI104" i="70"/>
  <c r="HG104" i="70"/>
  <c r="HE104" i="70"/>
  <c r="HC104" i="70"/>
  <c r="HG103" i="70"/>
  <c r="HC103" i="70"/>
  <c r="HI102" i="70"/>
  <c r="HG102" i="70"/>
  <c r="HE102" i="70"/>
  <c r="HC102" i="70"/>
  <c r="HG101" i="70"/>
  <c r="HC101" i="70"/>
  <c r="HI100" i="70"/>
  <c r="HG100" i="70"/>
  <c r="HE100" i="70"/>
  <c r="HC100" i="70"/>
  <c r="HG99" i="70"/>
  <c r="HC99" i="70"/>
  <c r="HI98" i="70"/>
  <c r="HG98" i="70"/>
  <c r="HE98" i="70"/>
  <c r="HC98" i="70"/>
  <c r="HG97" i="70"/>
  <c r="HC97" i="70"/>
  <c r="HI96" i="70"/>
  <c r="HG96" i="70"/>
  <c r="HE96" i="70"/>
  <c r="HC96" i="70"/>
  <c r="HG95" i="70"/>
  <c r="HC95" i="70"/>
  <c r="HI94" i="70"/>
  <c r="HG94" i="70"/>
  <c r="HE94" i="70"/>
  <c r="HC94" i="70"/>
  <c r="HG93" i="70"/>
  <c r="HC93" i="70"/>
  <c r="HI92" i="70"/>
  <c r="HG92" i="70"/>
  <c r="HE92" i="70"/>
  <c r="HC92" i="70"/>
  <c r="HG91" i="70"/>
  <c r="HC91" i="70"/>
  <c r="HG90" i="70"/>
  <c r="HC90" i="70"/>
  <c r="HG89" i="70"/>
  <c r="HC89" i="70"/>
  <c r="HG88" i="70"/>
  <c r="HC88" i="70"/>
  <c r="HG87" i="70"/>
  <c r="HC87" i="70"/>
  <c r="HG86" i="70"/>
  <c r="HC86" i="70"/>
  <c r="HG85" i="70"/>
  <c r="HC85" i="70"/>
  <c r="HG84" i="70"/>
  <c r="HC84" i="70"/>
  <c r="HG83" i="70"/>
  <c r="HC83" i="70"/>
  <c r="HG82" i="70"/>
  <c r="HC82" i="70"/>
  <c r="HG81" i="70"/>
  <c r="HC81" i="70"/>
  <c r="HJ80" i="70"/>
  <c r="HI80" i="70"/>
  <c r="HG80" i="70"/>
  <c r="HF80" i="70"/>
  <c r="HE80" i="70"/>
  <c r="HC80" i="70"/>
  <c r="HJ79" i="70"/>
  <c r="HI79" i="70"/>
  <c r="HG79" i="70"/>
  <c r="HF79" i="70"/>
  <c r="HE79" i="70"/>
  <c r="HC79" i="70"/>
  <c r="HJ78" i="70"/>
  <c r="HI78" i="70"/>
  <c r="HG78" i="70"/>
  <c r="HF78" i="70"/>
  <c r="HE78" i="70"/>
  <c r="HC78" i="70"/>
  <c r="HJ77" i="70"/>
  <c r="HI77" i="70"/>
  <c r="HG77" i="70"/>
  <c r="HF77" i="70"/>
  <c r="HE77" i="70"/>
  <c r="HC77" i="70"/>
  <c r="HJ76" i="70"/>
  <c r="HI76" i="70"/>
  <c r="HG76" i="70"/>
  <c r="HF76" i="70"/>
  <c r="HE76" i="70"/>
  <c r="HC76" i="70"/>
  <c r="HJ75" i="70"/>
  <c r="HI75" i="70"/>
  <c r="HG75" i="70"/>
  <c r="HF75" i="70"/>
  <c r="HE75" i="70"/>
  <c r="HC75" i="70"/>
  <c r="HJ74" i="70"/>
  <c r="HI74" i="70"/>
  <c r="HG74" i="70"/>
  <c r="HF74" i="70"/>
  <c r="HE74" i="70"/>
  <c r="HC74" i="70"/>
  <c r="HJ73" i="70"/>
  <c r="HI73" i="70"/>
  <c r="HG73" i="70"/>
  <c r="HF73" i="70"/>
  <c r="HE73" i="70"/>
  <c r="HC73" i="70"/>
  <c r="HJ72" i="70"/>
  <c r="HI72" i="70"/>
  <c r="HG72" i="70"/>
  <c r="HF72" i="70"/>
  <c r="HE72" i="70"/>
  <c r="HC72" i="70"/>
  <c r="HJ71" i="70"/>
  <c r="HI71" i="70"/>
  <c r="HG71" i="70"/>
  <c r="HF71" i="70"/>
  <c r="HE71" i="70"/>
  <c r="HC71" i="70"/>
  <c r="HJ70" i="70"/>
  <c r="HI70" i="70"/>
  <c r="HG70" i="70"/>
  <c r="HF70" i="70"/>
  <c r="HE70" i="70"/>
  <c r="HC70" i="70"/>
  <c r="HJ69" i="70"/>
  <c r="HI69" i="70"/>
  <c r="HG69" i="70"/>
  <c r="HF69" i="70"/>
  <c r="HE69" i="70"/>
  <c r="HC69" i="70"/>
  <c r="HJ68" i="70"/>
  <c r="HI68" i="70"/>
  <c r="HG68" i="70"/>
  <c r="HF68" i="70"/>
  <c r="HE68" i="70"/>
  <c r="HC68" i="70"/>
  <c r="HJ67" i="70"/>
  <c r="HI67" i="70"/>
  <c r="HG67" i="70"/>
  <c r="HF67" i="70"/>
  <c r="HE67" i="70"/>
  <c r="HC67" i="70"/>
  <c r="HJ66" i="70"/>
  <c r="HI66" i="70"/>
  <c r="HG66" i="70"/>
  <c r="HF66" i="70"/>
  <c r="HE66" i="70"/>
  <c r="HC66" i="70"/>
  <c r="HJ65" i="70"/>
  <c r="HI65" i="70"/>
  <c r="HG65" i="70"/>
  <c r="HF65" i="70"/>
  <c r="HE65" i="70"/>
  <c r="HC65" i="70"/>
  <c r="HI64" i="70"/>
  <c r="HH64" i="70"/>
  <c r="HG64" i="70"/>
  <c r="HE64" i="70"/>
  <c r="HD64" i="70"/>
  <c r="HC64" i="70"/>
  <c r="HI63" i="70"/>
  <c r="HH63" i="70"/>
  <c r="HG63" i="70"/>
  <c r="HE63" i="70"/>
  <c r="HD63" i="70"/>
  <c r="HC63" i="70"/>
  <c r="HI62" i="70"/>
  <c r="HH62" i="70"/>
  <c r="HG62" i="70"/>
  <c r="HE62" i="70"/>
  <c r="HD62" i="70"/>
  <c r="HC62" i="70"/>
  <c r="HI61" i="70"/>
  <c r="HH61" i="70"/>
  <c r="HG61" i="70"/>
  <c r="HE61" i="70"/>
  <c r="HD61" i="70"/>
  <c r="HC61" i="70"/>
  <c r="HI60" i="70"/>
  <c r="HH60" i="70"/>
  <c r="HG60" i="70"/>
  <c r="HE60" i="70"/>
  <c r="HD60" i="70"/>
  <c r="HC60" i="70"/>
  <c r="HI59" i="70"/>
  <c r="HH59" i="70"/>
  <c r="HG59" i="70"/>
  <c r="HE59" i="70"/>
  <c r="HD59" i="70"/>
  <c r="HC59" i="70"/>
  <c r="HI58" i="70"/>
  <c r="HH58" i="70"/>
  <c r="HG58" i="70"/>
  <c r="HE58" i="70"/>
  <c r="HD58" i="70"/>
  <c r="HC58" i="70"/>
  <c r="HI57" i="70"/>
  <c r="HH57" i="70"/>
  <c r="HG57" i="70"/>
  <c r="HE57" i="70"/>
  <c r="HD57" i="70"/>
  <c r="HC57" i="70"/>
  <c r="HI56" i="70"/>
  <c r="HH56" i="70"/>
  <c r="HG56" i="70"/>
  <c r="HE56" i="70"/>
  <c r="HD56" i="70"/>
  <c r="HC56" i="70"/>
  <c r="HI55" i="70"/>
  <c r="HH55" i="70"/>
  <c r="HG55" i="70"/>
  <c r="HE55" i="70"/>
  <c r="HD55" i="70"/>
  <c r="HC55" i="70"/>
  <c r="HI54" i="70"/>
  <c r="HH54" i="70"/>
  <c r="HG54" i="70"/>
  <c r="HE54" i="70"/>
  <c r="HD54" i="70"/>
  <c r="HC54" i="70"/>
  <c r="HI53" i="70"/>
  <c r="HH53" i="70"/>
  <c r="HG53" i="70"/>
  <c r="HE53" i="70"/>
  <c r="HD53" i="70"/>
  <c r="HC53" i="70"/>
  <c r="HI52" i="70"/>
  <c r="HH52" i="70"/>
  <c r="HG52" i="70"/>
  <c r="HE52" i="70"/>
  <c r="HD52" i="70"/>
  <c r="HC52" i="70"/>
  <c r="HI51" i="70"/>
  <c r="HH51" i="70"/>
  <c r="HG51" i="70"/>
  <c r="HE51" i="70"/>
  <c r="HD51" i="70"/>
  <c r="HC51" i="70"/>
  <c r="HI50" i="70"/>
  <c r="HH50" i="70"/>
  <c r="HG50" i="70"/>
  <c r="HE50" i="70"/>
  <c r="HD50" i="70"/>
  <c r="HC50" i="70"/>
  <c r="HI49" i="70"/>
  <c r="HH49" i="70"/>
  <c r="HG49" i="70"/>
  <c r="HE49" i="70"/>
  <c r="HD49" i="70"/>
  <c r="HC49" i="70"/>
  <c r="HI48" i="70"/>
  <c r="HH48" i="70"/>
  <c r="HG48" i="70"/>
  <c r="HE48" i="70"/>
  <c r="HD48" i="70"/>
  <c r="HC48" i="70"/>
  <c r="HI47" i="70"/>
  <c r="HH47" i="70"/>
  <c r="HG47" i="70"/>
  <c r="HE47" i="70"/>
  <c r="HD47" i="70"/>
  <c r="HC47" i="70"/>
  <c r="HI46" i="70"/>
  <c r="HH46" i="70"/>
  <c r="HG46" i="70"/>
  <c r="HE46" i="70"/>
  <c r="HD46" i="70"/>
  <c r="HC46" i="70"/>
  <c r="HI45" i="70"/>
  <c r="HH45" i="70"/>
  <c r="HG45" i="70"/>
  <c r="HE45" i="70"/>
  <c r="HD45" i="70"/>
  <c r="HC45" i="70"/>
  <c r="HI44" i="70"/>
  <c r="HH44" i="70"/>
  <c r="HG44" i="70"/>
  <c r="HE44" i="70"/>
  <c r="HD44" i="70"/>
  <c r="HC44" i="70"/>
  <c r="HI43" i="70"/>
  <c r="HH43" i="70"/>
  <c r="HG43" i="70"/>
  <c r="HE43" i="70"/>
  <c r="HD43" i="70"/>
  <c r="HC43" i="70"/>
  <c r="HI42" i="70"/>
  <c r="HH42" i="70"/>
  <c r="HG42" i="70"/>
  <c r="HE42" i="70"/>
  <c r="HD42" i="70"/>
  <c r="HC42" i="70"/>
  <c r="HI41" i="70"/>
  <c r="HH41" i="70"/>
  <c r="HG41" i="70"/>
  <c r="HE41" i="70"/>
  <c r="HD41" i="70"/>
  <c r="HC41" i="70"/>
  <c r="HI40" i="70"/>
  <c r="HH40" i="70"/>
  <c r="HG40" i="70"/>
  <c r="HE40" i="70"/>
  <c r="HD40" i="70"/>
  <c r="HC40" i="70"/>
  <c r="HI39" i="70"/>
  <c r="HH39" i="70"/>
  <c r="HG39" i="70"/>
  <c r="HE39" i="70"/>
  <c r="HD39" i="70"/>
  <c r="HC39" i="70"/>
  <c r="HI38" i="70"/>
  <c r="HH38" i="70"/>
  <c r="HG38" i="70"/>
  <c r="HE38" i="70"/>
  <c r="HD38" i="70"/>
  <c r="HC38" i="70"/>
  <c r="HI37" i="70"/>
  <c r="HH37" i="70"/>
  <c r="HG37" i="70"/>
  <c r="HE37" i="70"/>
  <c r="HD37" i="70"/>
  <c r="HC37" i="70"/>
  <c r="HI36" i="70"/>
  <c r="HH36" i="70"/>
  <c r="HG36" i="70"/>
  <c r="HE36" i="70"/>
  <c r="HD36" i="70"/>
  <c r="HC36" i="70"/>
  <c r="HI35" i="70"/>
  <c r="HH35" i="70"/>
  <c r="HG35" i="70"/>
  <c r="HE35" i="70"/>
  <c r="HD35" i="70"/>
  <c r="HC35" i="70"/>
  <c r="HI34" i="70"/>
  <c r="HH34" i="70"/>
  <c r="HG34" i="70"/>
  <c r="HE34" i="70"/>
  <c r="HD34" i="70"/>
  <c r="HC34" i="70"/>
  <c r="HI33" i="70"/>
  <c r="HH33" i="70"/>
  <c r="HG33" i="70"/>
  <c r="HE33" i="70"/>
  <c r="HD33" i="70"/>
  <c r="HC33" i="70"/>
  <c r="HI32" i="70"/>
  <c r="HH32" i="70"/>
  <c r="HG32" i="70"/>
  <c r="HE32" i="70"/>
  <c r="HD32" i="70"/>
  <c r="HC32" i="70"/>
  <c r="HI31" i="70"/>
  <c r="HH31" i="70"/>
  <c r="HG31" i="70"/>
  <c r="HE31" i="70"/>
  <c r="HD31" i="70"/>
  <c r="HC31" i="70"/>
  <c r="HI30" i="70"/>
  <c r="HH30" i="70"/>
  <c r="HG30" i="70"/>
  <c r="HE30" i="70"/>
  <c r="HD30" i="70"/>
  <c r="HC30" i="70"/>
  <c r="HI29" i="70"/>
  <c r="HH29" i="70"/>
  <c r="HG29" i="70"/>
  <c r="HE29" i="70"/>
  <c r="HD29" i="70"/>
  <c r="HC29" i="70"/>
  <c r="HI28" i="70"/>
  <c r="HH28" i="70"/>
  <c r="HG28" i="70"/>
  <c r="HE28" i="70"/>
  <c r="HD28" i="70"/>
  <c r="HC28" i="70"/>
  <c r="HI27" i="70"/>
  <c r="HH27" i="70"/>
  <c r="HG27" i="70"/>
  <c r="HE27" i="70"/>
  <c r="HD27" i="70"/>
  <c r="HC27" i="70"/>
  <c r="HI26" i="70"/>
  <c r="HH26" i="70"/>
  <c r="HG26" i="70"/>
  <c r="HE26" i="70"/>
  <c r="HD26" i="70"/>
  <c r="HC26" i="70"/>
  <c r="HI25" i="70"/>
  <c r="HH25" i="70"/>
  <c r="HG25" i="70"/>
  <c r="HE25" i="70"/>
  <c r="HD25" i="70"/>
  <c r="HC25" i="70"/>
  <c r="HI24" i="70"/>
  <c r="HH24" i="70"/>
  <c r="HG24" i="70"/>
  <c r="HE24" i="70"/>
  <c r="HD24" i="70"/>
  <c r="HC24" i="70"/>
  <c r="HI23" i="70"/>
  <c r="HH23" i="70"/>
  <c r="HG23" i="70"/>
  <c r="HE23" i="70"/>
  <c r="HD23" i="70"/>
  <c r="HC23" i="70"/>
  <c r="HI22" i="70"/>
  <c r="HH22" i="70"/>
  <c r="HG22" i="70"/>
  <c r="HE22" i="70"/>
  <c r="HD22" i="70"/>
  <c r="HC22" i="70"/>
  <c r="HI21" i="70"/>
  <c r="HH21" i="70"/>
  <c r="HG21" i="70"/>
  <c r="HE21" i="70"/>
  <c r="HD21" i="70"/>
  <c r="HC21" i="70"/>
  <c r="HI20" i="70"/>
  <c r="HH20" i="70"/>
  <c r="HG20" i="70"/>
  <c r="HE20" i="70"/>
  <c r="HD20" i="70"/>
  <c r="HC20" i="70"/>
  <c r="HI19" i="70"/>
  <c r="HH19" i="70"/>
  <c r="HG19" i="70"/>
  <c r="HE19" i="70"/>
  <c r="HD19" i="70"/>
  <c r="HC19" i="70"/>
  <c r="HI18" i="70"/>
  <c r="HH18" i="70"/>
  <c r="HG18" i="70"/>
  <c r="HE18" i="70"/>
  <c r="HD18" i="70"/>
  <c r="HC18" i="70"/>
  <c r="HI17" i="70"/>
  <c r="HH17" i="70"/>
  <c r="HG17" i="70"/>
  <c r="HE17" i="70"/>
  <c r="HD17" i="70"/>
  <c r="HC17" i="70"/>
  <c r="GZ6" i="70"/>
  <c r="GV6" i="70"/>
  <c r="GR6" i="70"/>
  <c r="GN6" i="70"/>
  <c r="GJ6" i="70"/>
  <c r="GF6" i="70"/>
  <c r="GB6" i="70"/>
  <c r="FX6" i="70"/>
  <c r="FT6" i="70"/>
  <c r="FP6" i="70"/>
  <c r="FL6" i="70"/>
  <c r="FH6" i="70"/>
  <c r="FD6" i="70"/>
  <c r="EZ6" i="70"/>
  <c r="EV6" i="70"/>
  <c r="ER6" i="70"/>
  <c r="EN6" i="70"/>
  <c r="EJ6" i="70"/>
  <c r="EF6" i="70"/>
  <c r="EB6" i="70"/>
  <c r="DX6" i="70"/>
  <c r="DT6" i="70"/>
  <c r="DP6" i="70"/>
  <c r="DL6" i="70"/>
  <c r="DH6" i="70"/>
  <c r="DD6" i="70"/>
  <c r="CZ6" i="70"/>
  <c r="CV6" i="70"/>
  <c r="CR6" i="70"/>
  <c r="CN6" i="70"/>
  <c r="CJ6" i="70"/>
  <c r="CF6" i="70"/>
  <c r="CB6" i="70"/>
  <c r="BX6" i="70"/>
  <c r="BT6" i="70"/>
  <c r="BP6" i="70"/>
  <c r="BL6" i="70"/>
  <c r="BH6" i="70"/>
  <c r="BD6" i="70"/>
  <c r="AZ6" i="70"/>
  <c r="AV6" i="70"/>
  <c r="AR6" i="70"/>
  <c r="AN6" i="70"/>
  <c r="AJ6" i="70"/>
  <c r="AF6" i="70"/>
  <c r="AB6" i="70"/>
  <c r="X6" i="70"/>
  <c r="T6" i="70"/>
  <c r="P6" i="70"/>
  <c r="L6" i="70"/>
  <c r="BD287" i="69"/>
  <c r="D287" i="69"/>
  <c r="BD286" i="69"/>
  <c r="D286" i="69"/>
  <c r="C286" i="69"/>
  <c r="BC285" i="69"/>
  <c r="D285" i="69"/>
  <c r="C285" i="69"/>
  <c r="BC284" i="69"/>
  <c r="BD275" i="69"/>
  <c r="D275" i="69"/>
  <c r="BD274" i="69"/>
  <c r="D274" i="69"/>
  <c r="C274" i="69"/>
  <c r="BC273" i="69"/>
  <c r="D273" i="69"/>
  <c r="C273" i="69"/>
  <c r="BC272" i="69"/>
  <c r="BD263" i="69"/>
  <c r="D263" i="69"/>
  <c r="BD262" i="69"/>
  <c r="D262" i="69"/>
  <c r="C262" i="69"/>
  <c r="BC261" i="69"/>
  <c r="D261" i="69"/>
  <c r="C261" i="69"/>
  <c r="BC260" i="69"/>
  <c r="BD251" i="69"/>
  <c r="D251" i="69"/>
  <c r="BD250" i="69"/>
  <c r="D250" i="69"/>
  <c r="C250" i="69"/>
  <c r="BC249" i="69"/>
  <c r="D249" i="69"/>
  <c r="C249" i="69"/>
  <c r="BC248" i="69"/>
  <c r="GY243" i="69"/>
  <c r="GU243" i="69"/>
  <c r="GQ243" i="69"/>
  <c r="GM243" i="69"/>
  <c r="GI243" i="69"/>
  <c r="GE243" i="69"/>
  <c r="GA243" i="69"/>
  <c r="FW243" i="69"/>
  <c r="FS243" i="69"/>
  <c r="FO243" i="69"/>
  <c r="FK243" i="69"/>
  <c r="FG243" i="69"/>
  <c r="FC243" i="69"/>
  <c r="EY243" i="69"/>
  <c r="EU243" i="69"/>
  <c r="EQ243" i="69"/>
  <c r="EM243" i="69"/>
  <c r="EI243" i="69"/>
  <c r="EE243" i="69"/>
  <c r="EA243" i="69"/>
  <c r="DW243" i="69"/>
  <c r="DS243" i="69"/>
  <c r="DO243" i="69"/>
  <c r="DK243" i="69"/>
  <c r="DG243" i="69"/>
  <c r="DC243" i="69"/>
  <c r="CY243" i="69"/>
  <c r="CU243" i="69"/>
  <c r="CQ243" i="69"/>
  <c r="CM243" i="69"/>
  <c r="CI243" i="69"/>
  <c r="CE243" i="69"/>
  <c r="CA243" i="69"/>
  <c r="BW243" i="69"/>
  <c r="BS243" i="69"/>
  <c r="BO243" i="69"/>
  <c r="BK243" i="69"/>
  <c r="BG243" i="69"/>
  <c r="BC243" i="69"/>
  <c r="AY243" i="69"/>
  <c r="AU243" i="69"/>
  <c r="AQ243" i="69"/>
  <c r="AM243" i="69"/>
  <c r="AI243" i="69"/>
  <c r="AE243" i="69"/>
  <c r="AA243" i="69"/>
  <c r="W243" i="69"/>
  <c r="S243" i="69"/>
  <c r="O243" i="69"/>
  <c r="K243" i="69"/>
  <c r="J242" i="69"/>
  <c r="U289" i="73" s="1"/>
  <c r="U295" i="73" s="1"/>
  <c r="U317" i="73" s="1"/>
  <c r="I242" i="69"/>
  <c r="GY241" i="69"/>
  <c r="GU241" i="69"/>
  <c r="GQ241" i="69"/>
  <c r="GM241" i="69"/>
  <c r="GI241" i="69"/>
  <c r="GE241" i="69"/>
  <c r="GA241" i="69"/>
  <c r="FW241" i="69"/>
  <c r="FS241" i="69"/>
  <c r="FO241" i="69"/>
  <c r="FK241" i="69"/>
  <c r="FG241" i="69"/>
  <c r="FC241" i="69"/>
  <c r="EY241" i="69"/>
  <c r="EU241" i="69"/>
  <c r="EQ241" i="69"/>
  <c r="EM241" i="69"/>
  <c r="EI241" i="69"/>
  <c r="EE241" i="69"/>
  <c r="EA241" i="69"/>
  <c r="DW241" i="69"/>
  <c r="DS241" i="69"/>
  <c r="DO241" i="69"/>
  <c r="DK241" i="69"/>
  <c r="DG241" i="69"/>
  <c r="DC241" i="69"/>
  <c r="CY241" i="69"/>
  <c r="CU241" i="69"/>
  <c r="CQ241" i="69"/>
  <c r="CM241" i="69"/>
  <c r="CI241" i="69"/>
  <c r="CE241" i="69"/>
  <c r="CA241" i="69"/>
  <c r="BW241" i="69"/>
  <c r="BS241" i="69"/>
  <c r="BO241" i="69"/>
  <c r="BK241" i="69"/>
  <c r="BG241" i="69"/>
  <c r="BC241" i="69"/>
  <c r="AY241" i="69"/>
  <c r="AU241" i="69"/>
  <c r="AQ241" i="69"/>
  <c r="AM241" i="69"/>
  <c r="AI241" i="69"/>
  <c r="AE241" i="69"/>
  <c r="AA241" i="69"/>
  <c r="W241" i="69"/>
  <c r="S241" i="69"/>
  <c r="O241" i="69"/>
  <c r="K241" i="69"/>
  <c r="J241" i="69"/>
  <c r="U244" i="73" s="1"/>
  <c r="U250" i="73" s="1"/>
  <c r="U272" i="73" s="1"/>
  <c r="I241" i="69"/>
  <c r="HA240" i="69"/>
  <c r="GY240" i="69"/>
  <c r="GW240" i="69"/>
  <c r="GU240" i="69"/>
  <c r="GS240" i="69"/>
  <c r="GQ240" i="69"/>
  <c r="GO240" i="69"/>
  <c r="GM240" i="69"/>
  <c r="GK240" i="69"/>
  <c r="GI240" i="69"/>
  <c r="GG240" i="69"/>
  <c r="GE240" i="69"/>
  <c r="GC240" i="69"/>
  <c r="GA240" i="69"/>
  <c r="FY240" i="69"/>
  <c r="FW240" i="69"/>
  <c r="FU240" i="69"/>
  <c r="FS240" i="69"/>
  <c r="FQ240" i="69"/>
  <c r="FO240" i="69"/>
  <c r="FM240" i="69"/>
  <c r="FK240" i="69"/>
  <c r="FI240" i="69"/>
  <c r="FG240" i="69"/>
  <c r="FE240" i="69"/>
  <c r="FC240" i="69"/>
  <c r="FA240" i="69"/>
  <c r="EY240" i="69"/>
  <c r="EW240" i="69"/>
  <c r="EU240" i="69"/>
  <c r="ES240" i="69"/>
  <c r="EQ240" i="69"/>
  <c r="EO240" i="69"/>
  <c r="EM240" i="69"/>
  <c r="EK240" i="69"/>
  <c r="EI240" i="69"/>
  <c r="EG240" i="69"/>
  <c r="EE240" i="69"/>
  <c r="EC240" i="69"/>
  <c r="EA240" i="69"/>
  <c r="DY240" i="69"/>
  <c r="DW240" i="69"/>
  <c r="DU240" i="69"/>
  <c r="DS240" i="69"/>
  <c r="DQ240" i="69"/>
  <c r="DO240" i="69"/>
  <c r="DM240" i="69"/>
  <c r="DK240" i="69"/>
  <c r="DI240" i="69"/>
  <c r="DG240" i="69"/>
  <c r="DE240" i="69"/>
  <c r="DC240" i="69"/>
  <c r="DA240" i="69"/>
  <c r="CY240" i="69"/>
  <c r="CW240" i="69"/>
  <c r="CU240" i="69"/>
  <c r="CS240" i="69"/>
  <c r="CQ240" i="69"/>
  <c r="CO240" i="69"/>
  <c r="CM240" i="69"/>
  <c r="CK240" i="69"/>
  <c r="CI240" i="69"/>
  <c r="CG240" i="69"/>
  <c r="CE240" i="69"/>
  <c r="CC240" i="69"/>
  <c r="CA240" i="69"/>
  <c r="BY240" i="69"/>
  <c r="BW240" i="69"/>
  <c r="BU240" i="69"/>
  <c r="BS240" i="69"/>
  <c r="BQ240" i="69"/>
  <c r="BO240" i="69"/>
  <c r="BM240" i="69"/>
  <c r="BK240" i="69"/>
  <c r="BI240" i="69"/>
  <c r="BG240" i="69"/>
  <c r="BE240" i="69"/>
  <c r="BC240" i="69"/>
  <c r="BA240" i="69"/>
  <c r="AY240" i="69"/>
  <c r="AW240" i="69"/>
  <c r="AU240" i="69"/>
  <c r="AS240" i="69"/>
  <c r="AQ240" i="69"/>
  <c r="AO240" i="69"/>
  <c r="AM240" i="69"/>
  <c r="AK240" i="69"/>
  <c r="AI240" i="69"/>
  <c r="AG240" i="69"/>
  <c r="AE240" i="69"/>
  <c r="AC240" i="69"/>
  <c r="AA240" i="69"/>
  <c r="Y240" i="69"/>
  <c r="W240" i="69"/>
  <c r="U240" i="69"/>
  <c r="S240" i="69"/>
  <c r="Q240" i="69"/>
  <c r="O240" i="69"/>
  <c r="M240" i="69"/>
  <c r="K240" i="69"/>
  <c r="HA239" i="69"/>
  <c r="GY239" i="69"/>
  <c r="GW239" i="69"/>
  <c r="GU239" i="69"/>
  <c r="GS239" i="69"/>
  <c r="GQ239" i="69"/>
  <c r="GO239" i="69"/>
  <c r="GM239" i="69"/>
  <c r="GK239" i="69"/>
  <c r="GI239" i="69"/>
  <c r="GG239" i="69"/>
  <c r="GE239" i="69"/>
  <c r="GC239" i="69"/>
  <c r="GA239" i="69"/>
  <c r="FY239" i="69"/>
  <c r="FW239" i="69"/>
  <c r="FU239" i="69"/>
  <c r="FS239" i="69"/>
  <c r="FQ239" i="69"/>
  <c r="FO239" i="69"/>
  <c r="FM239" i="69"/>
  <c r="FK239" i="69"/>
  <c r="FI239" i="69"/>
  <c r="FG239" i="69"/>
  <c r="FE239" i="69"/>
  <c r="FC239" i="69"/>
  <c r="FA239" i="69"/>
  <c r="EY239" i="69"/>
  <c r="EW239" i="69"/>
  <c r="EU239" i="69"/>
  <c r="ES239" i="69"/>
  <c r="EQ239" i="69"/>
  <c r="EO239" i="69"/>
  <c r="EM239" i="69"/>
  <c r="EK239" i="69"/>
  <c r="EI239" i="69"/>
  <c r="EG239" i="69"/>
  <c r="EE239" i="69"/>
  <c r="EC239" i="69"/>
  <c r="EA239" i="69"/>
  <c r="DY239" i="69"/>
  <c r="DW239" i="69"/>
  <c r="DU239" i="69"/>
  <c r="DS239" i="69"/>
  <c r="DQ239" i="69"/>
  <c r="DO239" i="69"/>
  <c r="DM239" i="69"/>
  <c r="DK239" i="69"/>
  <c r="DI239" i="69"/>
  <c r="DG239" i="69"/>
  <c r="DE239" i="69"/>
  <c r="DC239" i="69"/>
  <c r="DA239" i="69"/>
  <c r="CY239" i="69"/>
  <c r="CW239" i="69"/>
  <c r="CU239" i="69"/>
  <c r="CS239" i="69"/>
  <c r="CQ239" i="69"/>
  <c r="CO239" i="69"/>
  <c r="CM239" i="69"/>
  <c r="CK239" i="69"/>
  <c r="CI239" i="69"/>
  <c r="CG239" i="69"/>
  <c r="CE239" i="69"/>
  <c r="CC239" i="69"/>
  <c r="CA239" i="69"/>
  <c r="BY239" i="69"/>
  <c r="BW239" i="69"/>
  <c r="BU239" i="69"/>
  <c r="BS239" i="69"/>
  <c r="BQ239" i="69"/>
  <c r="BO239" i="69"/>
  <c r="BM239" i="69"/>
  <c r="BK239" i="69"/>
  <c r="BI239" i="69"/>
  <c r="BG239" i="69"/>
  <c r="BE239" i="69"/>
  <c r="BC239" i="69"/>
  <c r="BA239" i="69"/>
  <c r="AY239" i="69"/>
  <c r="AW239" i="69"/>
  <c r="AU239" i="69"/>
  <c r="AS239" i="69"/>
  <c r="AQ239" i="69"/>
  <c r="AO239" i="69"/>
  <c r="AM239" i="69"/>
  <c r="AK239" i="69"/>
  <c r="AI239" i="69"/>
  <c r="AG239" i="69"/>
  <c r="AE239" i="69"/>
  <c r="AC239" i="69"/>
  <c r="AA239" i="69"/>
  <c r="Y239" i="69"/>
  <c r="W239" i="69"/>
  <c r="U239" i="69"/>
  <c r="S239" i="69"/>
  <c r="Q239" i="69"/>
  <c r="O239" i="69"/>
  <c r="M239" i="69"/>
  <c r="K239" i="69"/>
  <c r="HA238" i="69"/>
  <c r="GY238" i="69"/>
  <c r="GW238" i="69"/>
  <c r="GU238" i="69"/>
  <c r="GS238" i="69"/>
  <c r="GQ238" i="69"/>
  <c r="GO238" i="69"/>
  <c r="GM238" i="69"/>
  <c r="GK238" i="69"/>
  <c r="GI238" i="69"/>
  <c r="GG238" i="69"/>
  <c r="GE238" i="69"/>
  <c r="GC238" i="69"/>
  <c r="GA238" i="69"/>
  <c r="FY238" i="69"/>
  <c r="FW238" i="69"/>
  <c r="FU238" i="69"/>
  <c r="FS238" i="69"/>
  <c r="FQ238" i="69"/>
  <c r="FO238" i="69"/>
  <c r="FM238" i="69"/>
  <c r="FK238" i="69"/>
  <c r="FI238" i="69"/>
  <c r="FG238" i="69"/>
  <c r="FE238" i="69"/>
  <c r="FC238" i="69"/>
  <c r="FA238" i="69"/>
  <c r="EY238" i="69"/>
  <c r="EW238" i="69"/>
  <c r="EU238" i="69"/>
  <c r="ES238" i="69"/>
  <c r="EQ238" i="69"/>
  <c r="EO238" i="69"/>
  <c r="EM238" i="69"/>
  <c r="EK238" i="69"/>
  <c r="EI238" i="69"/>
  <c r="EG238" i="69"/>
  <c r="EE238" i="69"/>
  <c r="EC238" i="69"/>
  <c r="EA238" i="69"/>
  <c r="DY238" i="69"/>
  <c r="DW238" i="69"/>
  <c r="DU238" i="69"/>
  <c r="DS238" i="69"/>
  <c r="DQ238" i="69"/>
  <c r="DO238" i="69"/>
  <c r="DM238" i="69"/>
  <c r="DK238" i="69"/>
  <c r="DI238" i="69"/>
  <c r="DG238" i="69"/>
  <c r="DE238" i="69"/>
  <c r="DC238" i="69"/>
  <c r="DA238" i="69"/>
  <c r="CY238" i="69"/>
  <c r="CW238" i="69"/>
  <c r="CU238" i="69"/>
  <c r="CS238" i="69"/>
  <c r="CQ238" i="69"/>
  <c r="CO238" i="69"/>
  <c r="CM238" i="69"/>
  <c r="CK238" i="69"/>
  <c r="CI238" i="69"/>
  <c r="CG238" i="69"/>
  <c r="CE238" i="69"/>
  <c r="CC238" i="69"/>
  <c r="CA238" i="69"/>
  <c r="BY238" i="69"/>
  <c r="BW238" i="69"/>
  <c r="BU238" i="69"/>
  <c r="BS238" i="69"/>
  <c r="BQ238" i="69"/>
  <c r="BO238" i="69"/>
  <c r="BM238" i="69"/>
  <c r="BK238" i="69"/>
  <c r="BI238" i="69"/>
  <c r="BG238" i="69"/>
  <c r="BE238" i="69"/>
  <c r="BC238" i="69"/>
  <c r="BA238" i="69"/>
  <c r="AY238" i="69"/>
  <c r="AW238" i="69"/>
  <c r="AU238" i="69"/>
  <c r="AS238" i="69"/>
  <c r="AQ238" i="69"/>
  <c r="AO238" i="69"/>
  <c r="AM238" i="69"/>
  <c r="AK238" i="69"/>
  <c r="AI238" i="69"/>
  <c r="AG238" i="69"/>
  <c r="AE238" i="69"/>
  <c r="AC238" i="69"/>
  <c r="AA238" i="69"/>
  <c r="Y238" i="69"/>
  <c r="W238" i="69"/>
  <c r="U238" i="69"/>
  <c r="S238" i="69"/>
  <c r="Q238" i="69"/>
  <c r="O238" i="69"/>
  <c r="M238" i="69"/>
  <c r="K238" i="69"/>
  <c r="HA237" i="69"/>
  <c r="GY237" i="69"/>
  <c r="GW237" i="69"/>
  <c r="GU237" i="69"/>
  <c r="GS237" i="69"/>
  <c r="GQ237" i="69"/>
  <c r="GO237" i="69"/>
  <c r="GM237" i="69"/>
  <c r="GK237" i="69"/>
  <c r="GI237" i="69"/>
  <c r="GG237" i="69"/>
  <c r="GE237" i="69"/>
  <c r="GC237" i="69"/>
  <c r="GA237" i="69"/>
  <c r="FY237" i="69"/>
  <c r="FW237" i="69"/>
  <c r="FU237" i="69"/>
  <c r="FS237" i="69"/>
  <c r="FQ237" i="69"/>
  <c r="FO237" i="69"/>
  <c r="FM237" i="69"/>
  <c r="FK237" i="69"/>
  <c r="FI237" i="69"/>
  <c r="FG237" i="69"/>
  <c r="FE237" i="69"/>
  <c r="FC237" i="69"/>
  <c r="FA237" i="69"/>
  <c r="EY237" i="69"/>
  <c r="EW237" i="69"/>
  <c r="EU237" i="69"/>
  <c r="ES237" i="69"/>
  <c r="EQ237" i="69"/>
  <c r="EO237" i="69"/>
  <c r="EM237" i="69"/>
  <c r="EK237" i="69"/>
  <c r="EI237" i="69"/>
  <c r="EG237" i="69"/>
  <c r="EE237" i="69"/>
  <c r="EC237" i="69"/>
  <c r="EA237" i="69"/>
  <c r="DY237" i="69"/>
  <c r="DW237" i="69"/>
  <c r="DU237" i="69"/>
  <c r="DS237" i="69"/>
  <c r="DQ237" i="69"/>
  <c r="DO237" i="69"/>
  <c r="DM237" i="69"/>
  <c r="DK237" i="69"/>
  <c r="DI237" i="69"/>
  <c r="DG237" i="69"/>
  <c r="DE237" i="69"/>
  <c r="DC237" i="69"/>
  <c r="DA237" i="69"/>
  <c r="CY237" i="69"/>
  <c r="CW237" i="69"/>
  <c r="CU237" i="69"/>
  <c r="CS237" i="69"/>
  <c r="CQ237" i="69"/>
  <c r="CO237" i="69"/>
  <c r="CM237" i="69"/>
  <c r="CK237" i="69"/>
  <c r="CI237" i="69"/>
  <c r="CG237" i="69"/>
  <c r="CE237" i="69"/>
  <c r="CC237" i="69"/>
  <c r="CA237" i="69"/>
  <c r="BY237" i="69"/>
  <c r="BW237" i="69"/>
  <c r="BU237" i="69"/>
  <c r="BS237" i="69"/>
  <c r="BQ237" i="69"/>
  <c r="BO237" i="69"/>
  <c r="BM237" i="69"/>
  <c r="BK237" i="69"/>
  <c r="BI237" i="69"/>
  <c r="BG237" i="69"/>
  <c r="BE237" i="69"/>
  <c r="BC237" i="69"/>
  <c r="BA237" i="69"/>
  <c r="AY237" i="69"/>
  <c r="AW237" i="69"/>
  <c r="AU237" i="69"/>
  <c r="AS237" i="69"/>
  <c r="AQ237" i="69"/>
  <c r="AO237" i="69"/>
  <c r="AM237" i="69"/>
  <c r="AK237" i="69"/>
  <c r="AI237" i="69"/>
  <c r="AG237" i="69"/>
  <c r="AE237" i="69"/>
  <c r="AC237" i="69"/>
  <c r="AA237" i="69"/>
  <c r="Y237" i="69"/>
  <c r="W237" i="69"/>
  <c r="U237" i="69"/>
  <c r="S237" i="69"/>
  <c r="Q237" i="69"/>
  <c r="O237" i="69"/>
  <c r="M237" i="69"/>
  <c r="K237" i="69"/>
  <c r="HA236" i="69"/>
  <c r="GY236" i="69"/>
  <c r="GW236" i="69"/>
  <c r="GU236" i="69"/>
  <c r="GS236" i="69"/>
  <c r="GQ236" i="69"/>
  <c r="GO236" i="69"/>
  <c r="GM236" i="69"/>
  <c r="GK236" i="69"/>
  <c r="GI236" i="69"/>
  <c r="GG236" i="69"/>
  <c r="GE236" i="69"/>
  <c r="GC236" i="69"/>
  <c r="GA236" i="69"/>
  <c r="FY236" i="69"/>
  <c r="FW236" i="69"/>
  <c r="FU236" i="69"/>
  <c r="FS236" i="69"/>
  <c r="FQ236" i="69"/>
  <c r="FO236" i="69"/>
  <c r="FM236" i="69"/>
  <c r="FK236" i="69"/>
  <c r="FI236" i="69"/>
  <c r="FG236" i="69"/>
  <c r="FE236" i="69"/>
  <c r="FC236" i="69"/>
  <c r="FA236" i="69"/>
  <c r="EY236" i="69"/>
  <c r="EW236" i="69"/>
  <c r="EU236" i="69"/>
  <c r="ES236" i="69"/>
  <c r="EQ236" i="69"/>
  <c r="EO236" i="69"/>
  <c r="EM236" i="69"/>
  <c r="EK236" i="69"/>
  <c r="EI236" i="69"/>
  <c r="EG236" i="69"/>
  <c r="EE236" i="69"/>
  <c r="EC236" i="69"/>
  <c r="EA236" i="69"/>
  <c r="DY236" i="69"/>
  <c r="DW236" i="69"/>
  <c r="DU236" i="69"/>
  <c r="DS236" i="69"/>
  <c r="DQ236" i="69"/>
  <c r="DO236" i="69"/>
  <c r="DM236" i="69"/>
  <c r="DK236" i="69"/>
  <c r="DI236" i="69"/>
  <c r="DG236" i="69"/>
  <c r="DE236" i="69"/>
  <c r="DC236" i="69"/>
  <c r="DA236" i="69"/>
  <c r="CY236" i="69"/>
  <c r="CW236" i="69"/>
  <c r="CU236" i="69"/>
  <c r="CS236" i="69"/>
  <c r="CQ236" i="69"/>
  <c r="CO236" i="69"/>
  <c r="CM236" i="69"/>
  <c r="CK236" i="69"/>
  <c r="CI236" i="69"/>
  <c r="CG236" i="69"/>
  <c r="CE236" i="69"/>
  <c r="CC236" i="69"/>
  <c r="CA236" i="69"/>
  <c r="BY236" i="69"/>
  <c r="BW236" i="69"/>
  <c r="BU236" i="69"/>
  <c r="BS236" i="69"/>
  <c r="BQ236" i="69"/>
  <c r="BO236" i="69"/>
  <c r="BM236" i="69"/>
  <c r="BK236" i="69"/>
  <c r="BI236" i="69"/>
  <c r="BG236" i="69"/>
  <c r="BE236" i="69"/>
  <c r="BC236" i="69"/>
  <c r="BA236" i="69"/>
  <c r="AY236" i="69"/>
  <c r="AW236" i="69"/>
  <c r="AU236" i="69"/>
  <c r="AS236" i="69"/>
  <c r="AQ236" i="69"/>
  <c r="AO236" i="69"/>
  <c r="AM236" i="69"/>
  <c r="AK236" i="69"/>
  <c r="AI236" i="69"/>
  <c r="AG236" i="69"/>
  <c r="AE236" i="69"/>
  <c r="AC236" i="69"/>
  <c r="AA236" i="69"/>
  <c r="Y236" i="69"/>
  <c r="W236" i="69"/>
  <c r="U236" i="69"/>
  <c r="S236" i="69"/>
  <c r="Q236" i="69"/>
  <c r="O236" i="69"/>
  <c r="M236" i="69"/>
  <c r="K236" i="69"/>
  <c r="HA235" i="69"/>
  <c r="GY235" i="69"/>
  <c r="GW235" i="69"/>
  <c r="GU235" i="69"/>
  <c r="GS235" i="69"/>
  <c r="GQ235" i="69"/>
  <c r="GO235" i="69"/>
  <c r="GM235" i="69"/>
  <c r="GK235" i="69"/>
  <c r="GI235" i="69"/>
  <c r="GG235" i="69"/>
  <c r="GE235" i="69"/>
  <c r="GC235" i="69"/>
  <c r="GA235" i="69"/>
  <c r="FY235" i="69"/>
  <c r="FW235" i="69"/>
  <c r="FU235" i="69"/>
  <c r="FS235" i="69"/>
  <c r="FQ235" i="69"/>
  <c r="FO235" i="69"/>
  <c r="FM235" i="69"/>
  <c r="FK235" i="69"/>
  <c r="FI235" i="69"/>
  <c r="FG235" i="69"/>
  <c r="FE235" i="69"/>
  <c r="FC235" i="69"/>
  <c r="FA235" i="69"/>
  <c r="EY235" i="69"/>
  <c r="EW235" i="69"/>
  <c r="EU235" i="69"/>
  <c r="ES235" i="69"/>
  <c r="EQ235" i="69"/>
  <c r="EO235" i="69"/>
  <c r="EM235" i="69"/>
  <c r="EK235" i="69"/>
  <c r="EI235" i="69"/>
  <c r="EG235" i="69"/>
  <c r="EE235" i="69"/>
  <c r="EC235" i="69"/>
  <c r="EA235" i="69"/>
  <c r="DY235" i="69"/>
  <c r="DW235" i="69"/>
  <c r="DU235" i="69"/>
  <c r="DS235" i="69"/>
  <c r="DQ235" i="69"/>
  <c r="DO235" i="69"/>
  <c r="DM235" i="69"/>
  <c r="DK235" i="69"/>
  <c r="DI235" i="69"/>
  <c r="DG235" i="69"/>
  <c r="DE235" i="69"/>
  <c r="DC235" i="69"/>
  <c r="DA235" i="69"/>
  <c r="CY235" i="69"/>
  <c r="CW235" i="69"/>
  <c r="CU235" i="69"/>
  <c r="CS235" i="69"/>
  <c r="CQ235" i="69"/>
  <c r="CO235" i="69"/>
  <c r="CM235" i="69"/>
  <c r="CK235" i="69"/>
  <c r="CI235" i="69"/>
  <c r="CG235" i="69"/>
  <c r="CE235" i="69"/>
  <c r="CC235" i="69"/>
  <c r="CA235" i="69"/>
  <c r="BY235" i="69"/>
  <c r="BW235" i="69"/>
  <c r="BU235" i="69"/>
  <c r="BS235" i="69"/>
  <c r="BQ235" i="69"/>
  <c r="BO235" i="69"/>
  <c r="BM235" i="69"/>
  <c r="BK235" i="69"/>
  <c r="BI235" i="69"/>
  <c r="BG235" i="69"/>
  <c r="BE235" i="69"/>
  <c r="BC235" i="69"/>
  <c r="BA235" i="69"/>
  <c r="AY235" i="69"/>
  <c r="AW235" i="69"/>
  <c r="AU235" i="69"/>
  <c r="AS235" i="69"/>
  <c r="AQ235" i="69"/>
  <c r="AO235" i="69"/>
  <c r="AM235" i="69"/>
  <c r="AK235" i="69"/>
  <c r="AI235" i="69"/>
  <c r="AG235" i="69"/>
  <c r="AE235" i="69"/>
  <c r="AC235" i="69"/>
  <c r="AA235" i="69"/>
  <c r="Y235" i="69"/>
  <c r="W235" i="69"/>
  <c r="U235" i="69"/>
  <c r="S235" i="69"/>
  <c r="Q235" i="69"/>
  <c r="O235" i="69"/>
  <c r="M235" i="69"/>
  <c r="K235" i="69"/>
  <c r="HA234" i="69"/>
  <c r="GZ234" i="69"/>
  <c r="GY234" i="69"/>
  <c r="GW234" i="69"/>
  <c r="GV234" i="69"/>
  <c r="GU234" i="69"/>
  <c r="GS234" i="69"/>
  <c r="GR234" i="69"/>
  <c r="GQ234" i="69"/>
  <c r="GO234" i="69"/>
  <c r="GN234" i="69"/>
  <c r="GM234" i="69"/>
  <c r="GK234" i="69"/>
  <c r="GJ234" i="69"/>
  <c r="GI234" i="69"/>
  <c r="GG234" i="69"/>
  <c r="GF234" i="69"/>
  <c r="GE234" i="69"/>
  <c r="GC234" i="69"/>
  <c r="GB234" i="69"/>
  <c r="GA234" i="69"/>
  <c r="FY234" i="69"/>
  <c r="FX234" i="69"/>
  <c r="FW234" i="69"/>
  <c r="FU234" i="69"/>
  <c r="FT234" i="69"/>
  <c r="FS234" i="69"/>
  <c r="FQ234" i="69"/>
  <c r="FP234" i="69"/>
  <c r="FO234" i="69"/>
  <c r="FM234" i="69"/>
  <c r="FL234" i="69"/>
  <c r="FK234" i="69"/>
  <c r="FI234" i="69"/>
  <c r="FH234" i="69"/>
  <c r="FG234" i="69"/>
  <c r="FE234" i="69"/>
  <c r="FD234" i="69"/>
  <c r="FC234" i="69"/>
  <c r="FA234" i="69"/>
  <c r="EZ234" i="69"/>
  <c r="EY234" i="69"/>
  <c r="EW234" i="69"/>
  <c r="EV234" i="69"/>
  <c r="EU234" i="69"/>
  <c r="ES234" i="69"/>
  <c r="ER234" i="69"/>
  <c r="EQ234" i="69"/>
  <c r="EO234" i="69"/>
  <c r="EN234" i="69"/>
  <c r="EM234" i="69"/>
  <c r="EK234" i="69"/>
  <c r="EJ234" i="69"/>
  <c r="EI234" i="69"/>
  <c r="EG234" i="69"/>
  <c r="EF234" i="69"/>
  <c r="EE234" i="69"/>
  <c r="EC234" i="69"/>
  <c r="EB234" i="69"/>
  <c r="EA234" i="69"/>
  <c r="DY234" i="69"/>
  <c r="DX234" i="69"/>
  <c r="DW234" i="69"/>
  <c r="DU234" i="69"/>
  <c r="DT234" i="69"/>
  <c r="DS234" i="69"/>
  <c r="DQ234" i="69"/>
  <c r="DP234" i="69"/>
  <c r="DO234" i="69"/>
  <c r="DM234" i="69"/>
  <c r="DL234" i="69"/>
  <c r="DK234" i="69"/>
  <c r="DI234" i="69"/>
  <c r="DH234" i="69"/>
  <c r="DG234" i="69"/>
  <c r="DE234" i="69"/>
  <c r="DD234" i="69"/>
  <c r="DC234" i="69"/>
  <c r="DA234" i="69"/>
  <c r="CZ234" i="69"/>
  <c r="CY234" i="69"/>
  <c r="CW234" i="69"/>
  <c r="CV234" i="69"/>
  <c r="CU234" i="69"/>
  <c r="CS234" i="69"/>
  <c r="CR234" i="69"/>
  <c r="CQ234" i="69"/>
  <c r="CO234" i="69"/>
  <c r="CN234" i="69"/>
  <c r="CM234" i="69"/>
  <c r="CK234" i="69"/>
  <c r="CJ234" i="69"/>
  <c r="CI234" i="69"/>
  <c r="CG234" i="69"/>
  <c r="CF234" i="69"/>
  <c r="CE234" i="69"/>
  <c r="CC234" i="69"/>
  <c r="CB234" i="69"/>
  <c r="CA234" i="69"/>
  <c r="BY234" i="69"/>
  <c r="BX234" i="69"/>
  <c r="BW234" i="69"/>
  <c r="BU234" i="69"/>
  <c r="BT234" i="69"/>
  <c r="BS234" i="69"/>
  <c r="BQ234" i="69"/>
  <c r="BP234" i="69"/>
  <c r="BO234" i="69"/>
  <c r="BM234" i="69"/>
  <c r="BL234" i="69"/>
  <c r="BK234" i="69"/>
  <c r="BI234" i="69"/>
  <c r="BH234" i="69"/>
  <c r="BG234" i="69"/>
  <c r="BE234" i="69"/>
  <c r="BD234" i="69"/>
  <c r="BC234" i="69"/>
  <c r="BA234" i="69"/>
  <c r="AZ234" i="69"/>
  <c r="AY234" i="69"/>
  <c r="AW234" i="69"/>
  <c r="AV234" i="69"/>
  <c r="AU234" i="69"/>
  <c r="AS234" i="69"/>
  <c r="AR234" i="69"/>
  <c r="AQ234" i="69"/>
  <c r="AO234" i="69"/>
  <c r="AN234" i="69"/>
  <c r="AM234" i="69"/>
  <c r="AK234" i="69"/>
  <c r="AJ234" i="69"/>
  <c r="AI234" i="69"/>
  <c r="AG234" i="69"/>
  <c r="AF234" i="69"/>
  <c r="AE234" i="69"/>
  <c r="AC234" i="69"/>
  <c r="AB234" i="69"/>
  <c r="AA234" i="69"/>
  <c r="Y234" i="69"/>
  <c r="X234" i="69"/>
  <c r="W234" i="69"/>
  <c r="U234" i="69"/>
  <c r="T234" i="69"/>
  <c r="S234" i="69"/>
  <c r="Q234" i="69"/>
  <c r="P234" i="69"/>
  <c r="O234" i="69"/>
  <c r="M234" i="69"/>
  <c r="L234" i="69"/>
  <c r="K234" i="69"/>
  <c r="J234" i="69"/>
  <c r="U282" i="73" s="1"/>
  <c r="U294" i="73" s="1"/>
  <c r="I234" i="69"/>
  <c r="HA233" i="69"/>
  <c r="GZ233" i="69"/>
  <c r="GY233" i="69"/>
  <c r="GW233" i="69"/>
  <c r="GV233" i="69"/>
  <c r="GU233" i="69"/>
  <c r="GS233" i="69"/>
  <c r="GR233" i="69"/>
  <c r="GQ233" i="69"/>
  <c r="GO233" i="69"/>
  <c r="GN233" i="69"/>
  <c r="GM233" i="69"/>
  <c r="GK233" i="69"/>
  <c r="GJ233" i="69"/>
  <c r="GI233" i="69"/>
  <c r="GG233" i="69"/>
  <c r="GF233" i="69"/>
  <c r="GE233" i="69"/>
  <c r="GC233" i="69"/>
  <c r="GB233" i="69"/>
  <c r="GA233" i="69"/>
  <c r="FY233" i="69"/>
  <c r="FX233" i="69"/>
  <c r="FW233" i="69"/>
  <c r="FU233" i="69"/>
  <c r="FT233" i="69"/>
  <c r="FS233" i="69"/>
  <c r="FQ233" i="69"/>
  <c r="FP233" i="69"/>
  <c r="FO233" i="69"/>
  <c r="FM233" i="69"/>
  <c r="FL233" i="69"/>
  <c r="FK233" i="69"/>
  <c r="FI233" i="69"/>
  <c r="FH233" i="69"/>
  <c r="FG233" i="69"/>
  <c r="FE233" i="69"/>
  <c r="FD233" i="69"/>
  <c r="FC233" i="69"/>
  <c r="FA233" i="69"/>
  <c r="EZ233" i="69"/>
  <c r="EY233" i="69"/>
  <c r="EW233" i="69"/>
  <c r="EV233" i="69"/>
  <c r="EU233" i="69"/>
  <c r="ES233" i="69"/>
  <c r="ER233" i="69"/>
  <c r="EQ233" i="69"/>
  <c r="EO233" i="69"/>
  <c r="EN233" i="69"/>
  <c r="EM233" i="69"/>
  <c r="EK233" i="69"/>
  <c r="EJ233" i="69"/>
  <c r="EI233" i="69"/>
  <c r="EG233" i="69"/>
  <c r="EF233" i="69"/>
  <c r="EE233" i="69"/>
  <c r="EC233" i="69"/>
  <c r="EB233" i="69"/>
  <c r="EA233" i="69"/>
  <c r="DY233" i="69"/>
  <c r="DX233" i="69"/>
  <c r="DW233" i="69"/>
  <c r="DU233" i="69"/>
  <c r="DT233" i="69"/>
  <c r="DS233" i="69"/>
  <c r="DQ233" i="69"/>
  <c r="DP233" i="69"/>
  <c r="DO233" i="69"/>
  <c r="DM233" i="69"/>
  <c r="DL233" i="69"/>
  <c r="DK233" i="69"/>
  <c r="DI233" i="69"/>
  <c r="DH233" i="69"/>
  <c r="DG233" i="69"/>
  <c r="DE233" i="69"/>
  <c r="DD233" i="69"/>
  <c r="DC233" i="69"/>
  <c r="DA233" i="69"/>
  <c r="CZ233" i="69"/>
  <c r="CY233" i="69"/>
  <c r="CW233" i="69"/>
  <c r="CV233" i="69"/>
  <c r="CU233" i="69"/>
  <c r="CS233" i="69"/>
  <c r="CR233" i="69"/>
  <c r="CQ233" i="69"/>
  <c r="CO233" i="69"/>
  <c r="CN233" i="69"/>
  <c r="CM233" i="69"/>
  <c r="CK233" i="69"/>
  <c r="CJ233" i="69"/>
  <c r="CI233" i="69"/>
  <c r="CG233" i="69"/>
  <c r="CF233" i="69"/>
  <c r="CE233" i="69"/>
  <c r="CC233" i="69"/>
  <c r="CB233" i="69"/>
  <c r="CA233" i="69"/>
  <c r="BY233" i="69"/>
  <c r="BX233" i="69"/>
  <c r="BW233" i="69"/>
  <c r="BU233" i="69"/>
  <c r="BT233" i="69"/>
  <c r="BS233" i="69"/>
  <c r="BQ233" i="69"/>
  <c r="BP233" i="69"/>
  <c r="BO233" i="69"/>
  <c r="BM233" i="69"/>
  <c r="BL233" i="69"/>
  <c r="BK233" i="69"/>
  <c r="BI233" i="69"/>
  <c r="BH233" i="69"/>
  <c r="BG233" i="69"/>
  <c r="BE233" i="69"/>
  <c r="BD233" i="69"/>
  <c r="BC233" i="69"/>
  <c r="BA233" i="69"/>
  <c r="AZ233" i="69"/>
  <c r="AY233" i="69"/>
  <c r="AW233" i="69"/>
  <c r="AV233" i="69"/>
  <c r="AU233" i="69"/>
  <c r="AS233" i="69"/>
  <c r="AR233" i="69"/>
  <c r="AQ233" i="69"/>
  <c r="AO233" i="69"/>
  <c r="AN233" i="69"/>
  <c r="AM233" i="69"/>
  <c r="AK233" i="69"/>
  <c r="AJ233" i="69"/>
  <c r="AI233" i="69"/>
  <c r="AG233" i="69"/>
  <c r="AF233" i="69"/>
  <c r="AE233" i="69"/>
  <c r="AC233" i="69"/>
  <c r="AB233" i="69"/>
  <c r="AA233" i="69"/>
  <c r="Y233" i="69"/>
  <c r="X233" i="69"/>
  <c r="W233" i="69"/>
  <c r="U233" i="69"/>
  <c r="T233" i="69"/>
  <c r="S233" i="69"/>
  <c r="Q233" i="69"/>
  <c r="P233" i="69"/>
  <c r="O233" i="69"/>
  <c r="M233" i="69"/>
  <c r="L233" i="69"/>
  <c r="K233" i="69"/>
  <c r="J233" i="69"/>
  <c r="U237" i="73" s="1"/>
  <c r="U249" i="73" s="1"/>
  <c r="I233" i="69"/>
  <c r="GZ232" i="69"/>
  <c r="GV232" i="69"/>
  <c r="GR232" i="69"/>
  <c r="GN232" i="69"/>
  <c r="GJ232" i="69"/>
  <c r="GF232" i="69"/>
  <c r="GB232" i="69"/>
  <c r="FX232" i="69"/>
  <c r="FT232" i="69"/>
  <c r="FP232" i="69"/>
  <c r="FL232" i="69"/>
  <c r="FH232" i="69"/>
  <c r="FD232" i="69"/>
  <c r="EZ232" i="69"/>
  <c r="EV232" i="69"/>
  <c r="ER232" i="69"/>
  <c r="EN232" i="69"/>
  <c r="EJ232" i="69"/>
  <c r="EF232" i="69"/>
  <c r="EB232" i="69"/>
  <c r="DX232" i="69"/>
  <c r="DT232" i="69"/>
  <c r="DP232" i="69"/>
  <c r="DL232" i="69"/>
  <c r="DH232" i="69"/>
  <c r="DD232" i="69"/>
  <c r="CZ232" i="69"/>
  <c r="CV232" i="69"/>
  <c r="CR232" i="69"/>
  <c r="CN232" i="69"/>
  <c r="CJ232" i="69"/>
  <c r="CF232" i="69"/>
  <c r="CB232" i="69"/>
  <c r="BX232" i="69"/>
  <c r="BT232" i="69"/>
  <c r="BP232" i="69"/>
  <c r="BL232" i="69"/>
  <c r="BH232" i="69"/>
  <c r="BD232" i="69"/>
  <c r="AZ232" i="69"/>
  <c r="AV232" i="69"/>
  <c r="AR232" i="69"/>
  <c r="AN232" i="69"/>
  <c r="AJ232" i="69"/>
  <c r="AF232" i="69"/>
  <c r="AB232" i="69"/>
  <c r="X232" i="69"/>
  <c r="T232" i="69"/>
  <c r="P232" i="69"/>
  <c r="L232" i="69"/>
  <c r="GY230" i="69"/>
  <c r="GU230" i="69"/>
  <c r="GQ230" i="69"/>
  <c r="GM230" i="69"/>
  <c r="GI230" i="69"/>
  <c r="GE230" i="69"/>
  <c r="GA230" i="69"/>
  <c r="FW230" i="69"/>
  <c r="FS230" i="69"/>
  <c r="FO230" i="69"/>
  <c r="FK230" i="69"/>
  <c r="FG230" i="69"/>
  <c r="FC230" i="69"/>
  <c r="EY230" i="69"/>
  <c r="EU230" i="69"/>
  <c r="EQ230" i="69"/>
  <c r="EM230" i="69"/>
  <c r="EI230" i="69"/>
  <c r="EE230" i="69"/>
  <c r="EA230" i="69"/>
  <c r="DW230" i="69"/>
  <c r="DS230" i="69"/>
  <c r="DO230" i="69"/>
  <c r="DK230" i="69"/>
  <c r="DG230" i="69"/>
  <c r="DC230" i="69"/>
  <c r="CY230" i="69"/>
  <c r="CU230" i="69"/>
  <c r="CQ230" i="69"/>
  <c r="CM230" i="69"/>
  <c r="CI230" i="69"/>
  <c r="CE230" i="69"/>
  <c r="CA230" i="69"/>
  <c r="BW230" i="69"/>
  <c r="BS230" i="69"/>
  <c r="BO230" i="69"/>
  <c r="BK230" i="69"/>
  <c r="BG230" i="69"/>
  <c r="BC230" i="69"/>
  <c r="AY230" i="69"/>
  <c r="AU230" i="69"/>
  <c r="AQ230" i="69"/>
  <c r="AM230" i="69"/>
  <c r="AI230" i="69"/>
  <c r="AE230" i="69"/>
  <c r="AA230" i="69"/>
  <c r="W230" i="69"/>
  <c r="S230" i="69"/>
  <c r="O230" i="69"/>
  <c r="K230" i="69"/>
  <c r="HB228" i="69"/>
  <c r="HB229" i="69" s="1"/>
  <c r="HA228" i="69"/>
  <c r="HA229" i="69" s="1"/>
  <c r="GZ228" i="69"/>
  <c r="GZ229" i="69" s="1"/>
  <c r="GY228" i="69"/>
  <c r="GY229" i="69" s="1"/>
  <c r="GX228" i="69"/>
  <c r="GX229" i="69" s="1"/>
  <c r="GW228" i="69"/>
  <c r="GW229" i="69" s="1"/>
  <c r="GV228" i="69"/>
  <c r="GV229" i="69" s="1"/>
  <c r="GU228" i="69"/>
  <c r="GU229" i="69" s="1"/>
  <c r="GT228" i="69"/>
  <c r="GT229" i="69" s="1"/>
  <c r="GS228" i="69"/>
  <c r="GS229" i="69" s="1"/>
  <c r="GR228" i="69"/>
  <c r="GR229" i="69" s="1"/>
  <c r="GQ228" i="69"/>
  <c r="GQ229" i="69" s="1"/>
  <c r="GP228" i="69"/>
  <c r="GP229" i="69" s="1"/>
  <c r="GO228" i="69"/>
  <c r="GO229" i="69" s="1"/>
  <c r="GN228" i="69"/>
  <c r="GN229" i="69" s="1"/>
  <c r="GM228" i="69"/>
  <c r="GM229" i="69" s="1"/>
  <c r="GL228" i="69"/>
  <c r="GL229" i="69" s="1"/>
  <c r="GK228" i="69"/>
  <c r="GK229" i="69" s="1"/>
  <c r="GJ228" i="69"/>
  <c r="GJ229" i="69" s="1"/>
  <c r="GI228" i="69"/>
  <c r="GI229" i="69" s="1"/>
  <c r="GH228" i="69"/>
  <c r="GH229" i="69" s="1"/>
  <c r="GG228" i="69"/>
  <c r="GG229" i="69" s="1"/>
  <c r="GF228" i="69"/>
  <c r="GF229" i="69" s="1"/>
  <c r="GE228" i="69"/>
  <c r="GE229" i="69" s="1"/>
  <c r="GD228" i="69"/>
  <c r="GD229" i="69" s="1"/>
  <c r="GC228" i="69"/>
  <c r="GC229" i="69" s="1"/>
  <c r="GB228" i="69"/>
  <c r="GB229" i="69" s="1"/>
  <c r="GA228" i="69"/>
  <c r="GA229" i="69" s="1"/>
  <c r="FZ228" i="69"/>
  <c r="FZ229" i="69" s="1"/>
  <c r="FY228" i="69"/>
  <c r="FY229" i="69" s="1"/>
  <c r="FX228" i="69"/>
  <c r="FX229" i="69" s="1"/>
  <c r="FW228" i="69"/>
  <c r="FW229" i="69" s="1"/>
  <c r="FV228" i="69"/>
  <c r="FV229" i="69" s="1"/>
  <c r="FU228" i="69"/>
  <c r="FU229" i="69" s="1"/>
  <c r="FT228" i="69"/>
  <c r="FT229" i="69" s="1"/>
  <c r="FS228" i="69"/>
  <c r="FS229" i="69" s="1"/>
  <c r="FR228" i="69"/>
  <c r="FR229" i="69" s="1"/>
  <c r="FQ228" i="69"/>
  <c r="FQ229" i="69" s="1"/>
  <c r="FP228" i="69"/>
  <c r="FP229" i="69" s="1"/>
  <c r="FO228" i="69"/>
  <c r="FO229" i="69" s="1"/>
  <c r="FN228" i="69"/>
  <c r="FN229" i="69" s="1"/>
  <c r="FM228" i="69"/>
  <c r="FM229" i="69" s="1"/>
  <c r="FL228" i="69"/>
  <c r="FL229" i="69" s="1"/>
  <c r="FK228" i="69"/>
  <c r="FK229" i="69" s="1"/>
  <c r="FJ228" i="69"/>
  <c r="FJ229" i="69" s="1"/>
  <c r="FI228" i="69"/>
  <c r="FI229" i="69" s="1"/>
  <c r="FH228" i="69"/>
  <c r="FH229" i="69" s="1"/>
  <c r="FG228" i="69"/>
  <c r="FG229" i="69" s="1"/>
  <c r="FF228" i="69"/>
  <c r="FF229" i="69" s="1"/>
  <c r="FE228" i="69"/>
  <c r="FE229" i="69" s="1"/>
  <c r="FD228" i="69"/>
  <c r="FD229" i="69" s="1"/>
  <c r="FC228" i="69"/>
  <c r="FC229" i="69" s="1"/>
  <c r="FB228" i="69"/>
  <c r="FB229" i="69" s="1"/>
  <c r="FA228" i="69"/>
  <c r="FA229" i="69" s="1"/>
  <c r="EZ228" i="69"/>
  <c r="EZ229" i="69" s="1"/>
  <c r="EY228" i="69"/>
  <c r="EY229" i="69" s="1"/>
  <c r="EX228" i="69"/>
  <c r="EX229" i="69" s="1"/>
  <c r="EW228" i="69"/>
  <c r="EW229" i="69" s="1"/>
  <c r="EV228" i="69"/>
  <c r="EV229" i="69" s="1"/>
  <c r="EU228" i="69"/>
  <c r="EU229" i="69" s="1"/>
  <c r="ET228" i="69"/>
  <c r="ET229" i="69" s="1"/>
  <c r="ES228" i="69"/>
  <c r="ES229" i="69" s="1"/>
  <c r="ER228" i="69"/>
  <c r="ER229" i="69" s="1"/>
  <c r="EQ228" i="69"/>
  <c r="EQ229" i="69" s="1"/>
  <c r="EP228" i="69"/>
  <c r="EP229" i="69" s="1"/>
  <c r="EO228" i="69"/>
  <c r="EO229" i="69" s="1"/>
  <c r="EN228" i="69"/>
  <c r="EN229" i="69" s="1"/>
  <c r="EM228" i="69"/>
  <c r="EM229" i="69" s="1"/>
  <c r="EL228" i="69"/>
  <c r="EL229" i="69" s="1"/>
  <c r="EK228" i="69"/>
  <c r="EK229" i="69" s="1"/>
  <c r="EJ228" i="69"/>
  <c r="EJ229" i="69" s="1"/>
  <c r="EI228" i="69"/>
  <c r="EI229" i="69" s="1"/>
  <c r="EH228" i="69"/>
  <c r="EH229" i="69" s="1"/>
  <c r="EG228" i="69"/>
  <c r="EG229" i="69" s="1"/>
  <c r="EF228" i="69"/>
  <c r="EF229" i="69" s="1"/>
  <c r="EE228" i="69"/>
  <c r="EE229" i="69" s="1"/>
  <c r="ED228" i="69"/>
  <c r="ED229" i="69" s="1"/>
  <c r="EC228" i="69"/>
  <c r="EC229" i="69" s="1"/>
  <c r="EB228" i="69"/>
  <c r="EB229" i="69" s="1"/>
  <c r="EA228" i="69"/>
  <c r="EA229" i="69" s="1"/>
  <c r="DZ228" i="69"/>
  <c r="DZ229" i="69" s="1"/>
  <c r="DY228" i="69"/>
  <c r="DY229" i="69" s="1"/>
  <c r="DX228" i="69"/>
  <c r="DX229" i="69" s="1"/>
  <c r="DW228" i="69"/>
  <c r="DW229" i="69" s="1"/>
  <c r="DV228" i="69"/>
  <c r="DV229" i="69" s="1"/>
  <c r="DU228" i="69"/>
  <c r="DU229" i="69" s="1"/>
  <c r="DT228" i="69"/>
  <c r="DT229" i="69" s="1"/>
  <c r="DS228" i="69"/>
  <c r="DS229" i="69" s="1"/>
  <c r="DR228" i="69"/>
  <c r="DR229" i="69" s="1"/>
  <c r="DQ228" i="69"/>
  <c r="DQ229" i="69" s="1"/>
  <c r="DP228" i="69"/>
  <c r="DP229" i="69" s="1"/>
  <c r="DO228" i="69"/>
  <c r="DO229" i="69" s="1"/>
  <c r="DN228" i="69"/>
  <c r="DN229" i="69" s="1"/>
  <c r="DM228" i="69"/>
  <c r="DM229" i="69" s="1"/>
  <c r="DL228" i="69"/>
  <c r="DL229" i="69" s="1"/>
  <c r="DK228" i="69"/>
  <c r="DK229" i="69" s="1"/>
  <c r="DJ228" i="69"/>
  <c r="DJ229" i="69" s="1"/>
  <c r="DI228" i="69"/>
  <c r="DI229" i="69" s="1"/>
  <c r="DH228" i="69"/>
  <c r="DH229" i="69" s="1"/>
  <c r="DG228" i="69"/>
  <c r="DG229" i="69" s="1"/>
  <c r="DF228" i="69"/>
  <c r="DF229" i="69" s="1"/>
  <c r="DE228" i="69"/>
  <c r="DE229" i="69" s="1"/>
  <c r="DD228" i="69"/>
  <c r="DD229" i="69" s="1"/>
  <c r="DC228" i="69"/>
  <c r="DC229" i="69" s="1"/>
  <c r="DB228" i="69"/>
  <c r="DB229" i="69" s="1"/>
  <c r="DA228" i="69"/>
  <c r="DA229" i="69" s="1"/>
  <c r="CZ228" i="69"/>
  <c r="CZ229" i="69" s="1"/>
  <c r="CY228" i="69"/>
  <c r="CY229" i="69" s="1"/>
  <c r="CX228" i="69"/>
  <c r="CX229" i="69" s="1"/>
  <c r="CW228" i="69"/>
  <c r="CW229" i="69" s="1"/>
  <c r="CV228" i="69"/>
  <c r="CV229" i="69" s="1"/>
  <c r="CU228" i="69"/>
  <c r="CU229" i="69" s="1"/>
  <c r="CT228" i="69"/>
  <c r="CT229" i="69" s="1"/>
  <c r="CS228" i="69"/>
  <c r="CS229" i="69" s="1"/>
  <c r="CR228" i="69"/>
  <c r="CR229" i="69" s="1"/>
  <c r="CQ228" i="69"/>
  <c r="CQ229" i="69" s="1"/>
  <c r="CP228" i="69"/>
  <c r="CP229" i="69" s="1"/>
  <c r="CO228" i="69"/>
  <c r="CO229" i="69" s="1"/>
  <c r="CN228" i="69"/>
  <c r="CN229" i="69" s="1"/>
  <c r="CM228" i="69"/>
  <c r="CM229" i="69" s="1"/>
  <c r="CL228" i="69"/>
  <c r="CL229" i="69" s="1"/>
  <c r="CK228" i="69"/>
  <c r="CK229" i="69" s="1"/>
  <c r="CJ228" i="69"/>
  <c r="CJ229" i="69" s="1"/>
  <c r="CI228" i="69"/>
  <c r="CI229" i="69" s="1"/>
  <c r="CH228" i="69"/>
  <c r="CH229" i="69" s="1"/>
  <c r="CG228" i="69"/>
  <c r="CG229" i="69" s="1"/>
  <c r="CF228" i="69"/>
  <c r="CF229" i="69" s="1"/>
  <c r="CE228" i="69"/>
  <c r="CE229" i="69" s="1"/>
  <c r="CD228" i="69"/>
  <c r="CD229" i="69" s="1"/>
  <c r="CC228" i="69"/>
  <c r="CC229" i="69" s="1"/>
  <c r="CB228" i="69"/>
  <c r="CB229" i="69" s="1"/>
  <c r="CA228" i="69"/>
  <c r="CA229" i="69" s="1"/>
  <c r="BZ228" i="69"/>
  <c r="BZ229" i="69" s="1"/>
  <c r="BY228" i="69"/>
  <c r="BY229" i="69" s="1"/>
  <c r="BX228" i="69"/>
  <c r="BX229" i="69" s="1"/>
  <c r="BW228" i="69"/>
  <c r="BW229" i="69" s="1"/>
  <c r="BV228" i="69"/>
  <c r="BV229" i="69" s="1"/>
  <c r="BU228" i="69"/>
  <c r="BU229" i="69" s="1"/>
  <c r="BT228" i="69"/>
  <c r="BT229" i="69" s="1"/>
  <c r="BS228" i="69"/>
  <c r="BS229" i="69" s="1"/>
  <c r="BR228" i="69"/>
  <c r="BR229" i="69" s="1"/>
  <c r="BQ228" i="69"/>
  <c r="BQ229" i="69" s="1"/>
  <c r="BP228" i="69"/>
  <c r="BP229" i="69" s="1"/>
  <c r="BO228" i="69"/>
  <c r="BO229" i="69" s="1"/>
  <c r="BN228" i="69"/>
  <c r="BN229" i="69" s="1"/>
  <c r="BM228" i="69"/>
  <c r="BM229" i="69" s="1"/>
  <c r="BL228" i="69"/>
  <c r="BL229" i="69" s="1"/>
  <c r="BK228" i="69"/>
  <c r="BK229" i="69" s="1"/>
  <c r="BJ228" i="69"/>
  <c r="BJ229" i="69" s="1"/>
  <c r="BI228" i="69"/>
  <c r="BI229" i="69" s="1"/>
  <c r="BH228" i="69"/>
  <c r="BH229" i="69" s="1"/>
  <c r="BG228" i="69"/>
  <c r="BG229" i="69" s="1"/>
  <c r="BF228" i="69"/>
  <c r="BF229" i="69" s="1"/>
  <c r="BE228" i="69"/>
  <c r="BE229" i="69" s="1"/>
  <c r="BD228" i="69"/>
  <c r="BD229" i="69" s="1"/>
  <c r="BC228" i="69"/>
  <c r="BC229" i="69" s="1"/>
  <c r="BB228" i="69"/>
  <c r="BB229" i="69" s="1"/>
  <c r="BA228" i="69"/>
  <c r="BA229" i="69" s="1"/>
  <c r="AZ228" i="69"/>
  <c r="AZ229" i="69" s="1"/>
  <c r="AY228" i="69"/>
  <c r="AY229" i="69" s="1"/>
  <c r="AX228" i="69"/>
  <c r="AX229" i="69" s="1"/>
  <c r="AW228" i="69"/>
  <c r="AW229" i="69" s="1"/>
  <c r="AV228" i="69"/>
  <c r="AV229" i="69" s="1"/>
  <c r="AU228" i="69"/>
  <c r="AU229" i="69" s="1"/>
  <c r="AT228" i="69"/>
  <c r="AT229" i="69" s="1"/>
  <c r="AS228" i="69"/>
  <c r="AS229" i="69" s="1"/>
  <c r="AR228" i="69"/>
  <c r="AR229" i="69" s="1"/>
  <c r="AQ228" i="69"/>
  <c r="AQ229" i="69" s="1"/>
  <c r="AP228" i="69"/>
  <c r="AP229" i="69" s="1"/>
  <c r="AO228" i="69"/>
  <c r="AO229" i="69" s="1"/>
  <c r="AN228" i="69"/>
  <c r="AN229" i="69" s="1"/>
  <c r="AM228" i="69"/>
  <c r="AM229" i="69" s="1"/>
  <c r="AL228" i="69"/>
  <c r="AL229" i="69" s="1"/>
  <c r="AK228" i="69"/>
  <c r="AK229" i="69" s="1"/>
  <c r="AJ228" i="69"/>
  <c r="AJ229" i="69" s="1"/>
  <c r="AI228" i="69"/>
  <c r="AI229" i="69" s="1"/>
  <c r="AH228" i="69"/>
  <c r="AH229" i="69" s="1"/>
  <c r="AG228" i="69"/>
  <c r="AG229" i="69" s="1"/>
  <c r="AF228" i="69"/>
  <c r="AF229" i="69" s="1"/>
  <c r="AE228" i="69"/>
  <c r="AE229" i="69" s="1"/>
  <c r="AD228" i="69"/>
  <c r="AD229" i="69" s="1"/>
  <c r="AC228" i="69"/>
  <c r="AC229" i="69" s="1"/>
  <c r="AB228" i="69"/>
  <c r="AB229" i="69" s="1"/>
  <c r="AA228" i="69"/>
  <c r="AA229" i="69" s="1"/>
  <c r="Z228" i="69"/>
  <c r="Z229" i="69" s="1"/>
  <c r="Y228" i="69"/>
  <c r="Y229" i="69" s="1"/>
  <c r="X228" i="69"/>
  <c r="X229" i="69" s="1"/>
  <c r="W228" i="69"/>
  <c r="W229" i="69" s="1"/>
  <c r="V228" i="69"/>
  <c r="V229" i="69" s="1"/>
  <c r="U228" i="69"/>
  <c r="U229" i="69" s="1"/>
  <c r="T228" i="69"/>
  <c r="T229" i="69" s="1"/>
  <c r="S228" i="69"/>
  <c r="S229" i="69" s="1"/>
  <c r="R228" i="69"/>
  <c r="R229" i="69" s="1"/>
  <c r="Q228" i="69"/>
  <c r="Q229" i="69" s="1"/>
  <c r="P228" i="69"/>
  <c r="P229" i="69" s="1"/>
  <c r="O228" i="69"/>
  <c r="O229" i="69" s="1"/>
  <c r="N228" i="69"/>
  <c r="N229" i="69" s="1"/>
  <c r="M228" i="69"/>
  <c r="M229" i="69" s="1"/>
  <c r="L228" i="69"/>
  <c r="L229" i="69" s="1"/>
  <c r="K228" i="69"/>
  <c r="K229" i="69" s="1"/>
  <c r="J228" i="69"/>
  <c r="U158" i="72" s="1"/>
  <c r="U160" i="72" s="1"/>
  <c r="U162" i="72" s="1"/>
  <c r="I228" i="69"/>
  <c r="GY226" i="69"/>
  <c r="GU226" i="69"/>
  <c r="GQ226" i="69"/>
  <c r="GM226" i="69"/>
  <c r="GI226" i="69"/>
  <c r="GE226" i="69"/>
  <c r="GA226" i="69"/>
  <c r="FW226" i="69"/>
  <c r="FS226" i="69"/>
  <c r="FO226" i="69"/>
  <c r="FK226" i="69"/>
  <c r="FG226" i="69"/>
  <c r="FC226" i="69"/>
  <c r="EY226" i="69"/>
  <c r="EU226" i="69"/>
  <c r="EQ226" i="69"/>
  <c r="EM226" i="69"/>
  <c r="EI226" i="69"/>
  <c r="EE226" i="69"/>
  <c r="EA226" i="69"/>
  <c r="DW226" i="69"/>
  <c r="DS226" i="69"/>
  <c r="DO226" i="69"/>
  <c r="DK226" i="69"/>
  <c r="DG226" i="69"/>
  <c r="DC226" i="69"/>
  <c r="CY226" i="69"/>
  <c r="CU226" i="69"/>
  <c r="CQ226" i="69"/>
  <c r="CM226" i="69"/>
  <c r="CI226" i="69"/>
  <c r="CE226" i="69"/>
  <c r="CA226" i="69"/>
  <c r="BW226" i="69"/>
  <c r="BS226" i="69"/>
  <c r="BO226" i="69"/>
  <c r="BK226" i="69"/>
  <c r="BG226" i="69"/>
  <c r="BC226" i="69"/>
  <c r="AY226" i="69"/>
  <c r="AU226" i="69"/>
  <c r="AQ226" i="69"/>
  <c r="AM226" i="69"/>
  <c r="AI226" i="69"/>
  <c r="AE226" i="69"/>
  <c r="AA226" i="69"/>
  <c r="W226" i="69"/>
  <c r="S226" i="69"/>
  <c r="O226" i="69"/>
  <c r="K226" i="69"/>
  <c r="GZ6" i="69"/>
  <c r="GV6" i="69"/>
  <c r="GR6" i="69"/>
  <c r="GN6" i="69"/>
  <c r="GJ6" i="69"/>
  <c r="GF6" i="69"/>
  <c r="GB6" i="69"/>
  <c r="FX6" i="69"/>
  <c r="FT6" i="69"/>
  <c r="FP6" i="69"/>
  <c r="FL6" i="69"/>
  <c r="FH6" i="69"/>
  <c r="FD6" i="69"/>
  <c r="EZ6" i="69"/>
  <c r="EV6" i="69"/>
  <c r="ER6" i="69"/>
  <c r="EN6" i="69"/>
  <c r="EJ6" i="69"/>
  <c r="EF6" i="69"/>
  <c r="EB6" i="69"/>
  <c r="DX6" i="69"/>
  <c r="DT6" i="69"/>
  <c r="DP6" i="69"/>
  <c r="DL6" i="69"/>
  <c r="DH6" i="69"/>
  <c r="DD6" i="69"/>
  <c r="CZ6" i="69"/>
  <c r="CV6" i="69"/>
  <c r="CR6" i="69"/>
  <c r="CN6" i="69"/>
  <c r="CJ6" i="69"/>
  <c r="CF6" i="69"/>
  <c r="CB6" i="69"/>
  <c r="BX6" i="69"/>
  <c r="BT6" i="69"/>
  <c r="BP6" i="69"/>
  <c r="BL6" i="69"/>
  <c r="BH6" i="69"/>
  <c r="BD6" i="69"/>
  <c r="AZ6" i="69"/>
  <c r="AV6" i="69"/>
  <c r="AR6" i="69"/>
  <c r="AN6" i="69"/>
  <c r="AJ6" i="69"/>
  <c r="AF6" i="69"/>
  <c r="AB6" i="69"/>
  <c r="X6" i="69"/>
  <c r="T6" i="69"/>
  <c r="P6" i="69"/>
  <c r="L6" i="69"/>
  <c r="BD287" i="68"/>
  <c r="D287" i="68"/>
  <c r="BD286" i="68"/>
  <c r="D286" i="68"/>
  <c r="C286" i="68"/>
  <c r="BC285" i="68"/>
  <c r="BB285" i="68"/>
  <c r="BA285" i="68"/>
  <c r="AZ285" i="68"/>
  <c r="AY285" i="68"/>
  <c r="AX285" i="68"/>
  <c r="AW285" i="68"/>
  <c r="AV285" i="68"/>
  <c r="AU285" i="68"/>
  <c r="AT285" i="68"/>
  <c r="AS285" i="68"/>
  <c r="AR285" i="68"/>
  <c r="AQ285" i="68"/>
  <c r="AP285" i="68"/>
  <c r="AO285" i="68"/>
  <c r="AN285" i="68"/>
  <c r="AM285" i="68"/>
  <c r="AL285" i="68"/>
  <c r="AK285" i="68"/>
  <c r="AJ285" i="68"/>
  <c r="AI285" i="68"/>
  <c r="AH285" i="68"/>
  <c r="AG285" i="68"/>
  <c r="AF285" i="68"/>
  <c r="AE285" i="68"/>
  <c r="AD285" i="68"/>
  <c r="AC285" i="68"/>
  <c r="AB285" i="68"/>
  <c r="AA285" i="68"/>
  <c r="Z285" i="68"/>
  <c r="Y285" i="68"/>
  <c r="X285" i="68"/>
  <c r="W285" i="68"/>
  <c r="V285" i="68"/>
  <c r="U285" i="68"/>
  <c r="T285" i="68"/>
  <c r="S285" i="68"/>
  <c r="R285" i="68"/>
  <c r="Q285" i="68"/>
  <c r="P285" i="68"/>
  <c r="O285" i="68"/>
  <c r="N285" i="68"/>
  <c r="M285" i="68"/>
  <c r="L285" i="68"/>
  <c r="K285" i="68"/>
  <c r="J285" i="68"/>
  <c r="I285" i="68"/>
  <c r="H285" i="68"/>
  <c r="G285" i="68"/>
  <c r="F285" i="68"/>
  <c r="E285" i="68"/>
  <c r="D285" i="68"/>
  <c r="C285" i="68"/>
  <c r="BC284" i="68"/>
  <c r="BD275" i="68"/>
  <c r="D275" i="68"/>
  <c r="BD274" i="68"/>
  <c r="D274" i="68"/>
  <c r="C274" i="68"/>
  <c r="BC273" i="68"/>
  <c r="BB273" i="68"/>
  <c r="BA273" i="68"/>
  <c r="AZ273" i="68"/>
  <c r="AY273" i="68"/>
  <c r="AX273" i="68"/>
  <c r="AW273" i="68"/>
  <c r="AV273" i="68"/>
  <c r="AU273" i="68"/>
  <c r="AT273" i="68"/>
  <c r="AS273" i="68"/>
  <c r="AR273" i="68"/>
  <c r="AQ273" i="68"/>
  <c r="AP273" i="68"/>
  <c r="AO273" i="68"/>
  <c r="AN273" i="68"/>
  <c r="AM273" i="68"/>
  <c r="AL273" i="68"/>
  <c r="AK273" i="68"/>
  <c r="AJ273" i="68"/>
  <c r="AI273" i="68"/>
  <c r="AH273" i="68"/>
  <c r="AG273" i="68"/>
  <c r="AF273" i="68"/>
  <c r="AE273" i="68"/>
  <c r="AD273" i="68"/>
  <c r="AC273" i="68"/>
  <c r="AB273" i="68"/>
  <c r="AA273" i="68"/>
  <c r="Z273" i="68"/>
  <c r="Y273" i="68"/>
  <c r="X273" i="68"/>
  <c r="W273" i="68"/>
  <c r="V273" i="68"/>
  <c r="U273" i="68"/>
  <c r="T273" i="68"/>
  <c r="S273" i="68"/>
  <c r="R273" i="68"/>
  <c r="Q273" i="68"/>
  <c r="P273" i="68"/>
  <c r="O273" i="68"/>
  <c r="N273" i="68"/>
  <c r="M273" i="68"/>
  <c r="L273" i="68"/>
  <c r="K273" i="68"/>
  <c r="J273" i="68"/>
  <c r="I273" i="68"/>
  <c r="H273" i="68"/>
  <c r="G273" i="68"/>
  <c r="F273" i="68"/>
  <c r="E273" i="68"/>
  <c r="D273" i="68"/>
  <c r="C273" i="68"/>
  <c r="BC272" i="68"/>
  <c r="BD263" i="68"/>
  <c r="D263" i="68"/>
  <c r="BD262" i="68"/>
  <c r="D262" i="68"/>
  <c r="C262" i="68"/>
  <c r="BC261" i="68"/>
  <c r="BB261" i="68"/>
  <c r="BA261" i="68"/>
  <c r="AZ261" i="68"/>
  <c r="AY261" i="68"/>
  <c r="AX261" i="68"/>
  <c r="AW261" i="68"/>
  <c r="AV261" i="68"/>
  <c r="AU261" i="68"/>
  <c r="AT261" i="68"/>
  <c r="AS261" i="68"/>
  <c r="AR261" i="68"/>
  <c r="AQ261" i="68"/>
  <c r="AP261" i="68"/>
  <c r="AO261" i="68"/>
  <c r="AN261" i="68"/>
  <c r="AM261" i="68"/>
  <c r="AL261" i="68"/>
  <c r="AK261" i="68"/>
  <c r="AJ261" i="68"/>
  <c r="AI261" i="68"/>
  <c r="AH261" i="68"/>
  <c r="AG261" i="68"/>
  <c r="AF261" i="68"/>
  <c r="AE261" i="68"/>
  <c r="AD261" i="68"/>
  <c r="AC261" i="68"/>
  <c r="AB261" i="68"/>
  <c r="AA261" i="68"/>
  <c r="Z261" i="68"/>
  <c r="Y261" i="68"/>
  <c r="X261" i="68"/>
  <c r="W261" i="68"/>
  <c r="V261" i="68"/>
  <c r="U261" i="68"/>
  <c r="T261" i="68"/>
  <c r="S261" i="68"/>
  <c r="R261" i="68"/>
  <c r="Q261" i="68"/>
  <c r="P261" i="68"/>
  <c r="O261" i="68"/>
  <c r="N261" i="68"/>
  <c r="M261" i="68"/>
  <c r="L261" i="68"/>
  <c r="K261" i="68"/>
  <c r="J261" i="68"/>
  <c r="I261" i="68"/>
  <c r="H261" i="68"/>
  <c r="G261" i="68"/>
  <c r="F261" i="68"/>
  <c r="E261" i="68"/>
  <c r="D261" i="68"/>
  <c r="C261" i="68"/>
  <c r="BC260" i="68"/>
  <c r="BD251" i="68"/>
  <c r="D251" i="68"/>
  <c r="BD250" i="68"/>
  <c r="D250" i="68"/>
  <c r="C250" i="68"/>
  <c r="BC249" i="68"/>
  <c r="BB249" i="68"/>
  <c r="BA249" i="68"/>
  <c r="AZ249" i="68"/>
  <c r="AY249" i="68"/>
  <c r="AX249" i="68"/>
  <c r="AW249" i="68"/>
  <c r="AV249" i="68"/>
  <c r="AU249" i="68"/>
  <c r="AT249" i="68"/>
  <c r="AS249" i="68"/>
  <c r="AR249" i="68"/>
  <c r="AQ249" i="68"/>
  <c r="AP249"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49" i="68"/>
  <c r="K249" i="68"/>
  <c r="J249" i="68"/>
  <c r="I249" i="68"/>
  <c r="H249" i="68"/>
  <c r="G249" i="68"/>
  <c r="F249" i="68"/>
  <c r="E249" i="68"/>
  <c r="D249" i="68"/>
  <c r="C249" i="68"/>
  <c r="BC248" i="68"/>
  <c r="GY243" i="68"/>
  <c r="GU243" i="68"/>
  <c r="GQ243" i="68"/>
  <c r="GM243" i="68"/>
  <c r="GI243" i="68"/>
  <c r="GE243" i="68"/>
  <c r="GA243" i="68"/>
  <c r="FW243" i="68"/>
  <c r="FS243" i="68"/>
  <c r="FO243" i="68"/>
  <c r="FK243" i="68"/>
  <c r="FG243" i="68"/>
  <c r="FC243" i="68"/>
  <c r="EY243" i="68"/>
  <c r="EU243" i="68"/>
  <c r="EQ243" i="68"/>
  <c r="EM243" i="68"/>
  <c r="EI243" i="68"/>
  <c r="EE243" i="68"/>
  <c r="EA243" i="68"/>
  <c r="DW243" i="68"/>
  <c r="DS243" i="68"/>
  <c r="DO243" i="68"/>
  <c r="DK243" i="68"/>
  <c r="DG243" i="68"/>
  <c r="DC243" i="68"/>
  <c r="CY243" i="68"/>
  <c r="CU243" i="68"/>
  <c r="CQ243" i="68"/>
  <c r="CM243" i="68"/>
  <c r="CI243" i="68"/>
  <c r="CE243" i="68"/>
  <c r="CA243" i="68"/>
  <c r="BW243" i="68"/>
  <c r="BS243" i="68"/>
  <c r="BO243" i="68"/>
  <c r="BK243" i="68"/>
  <c r="BG243" i="68"/>
  <c r="BC243" i="68"/>
  <c r="AY243" i="68"/>
  <c r="AU243" i="68"/>
  <c r="AQ243" i="68"/>
  <c r="AM243" i="68"/>
  <c r="AI243" i="68"/>
  <c r="AE243" i="68"/>
  <c r="AA243" i="68"/>
  <c r="W243" i="68"/>
  <c r="S243" i="68"/>
  <c r="O243" i="68"/>
  <c r="K243" i="68"/>
  <c r="J242" i="68"/>
  <c r="T289" i="73" s="1"/>
  <c r="T295" i="73" s="1"/>
  <c r="T317" i="73" s="1"/>
  <c r="I242" i="68"/>
  <c r="GY241" i="68"/>
  <c r="GU241" i="68"/>
  <c r="GQ241" i="68"/>
  <c r="GM241" i="68"/>
  <c r="GI241" i="68"/>
  <c r="GE241" i="68"/>
  <c r="GA241" i="68"/>
  <c r="FW241" i="68"/>
  <c r="FS241" i="68"/>
  <c r="FO241" i="68"/>
  <c r="FK241" i="68"/>
  <c r="FG241" i="68"/>
  <c r="FC241" i="68"/>
  <c r="EY241" i="68"/>
  <c r="EU241" i="68"/>
  <c r="EQ241" i="68"/>
  <c r="EM241" i="68"/>
  <c r="EI241" i="68"/>
  <c r="EE241" i="68"/>
  <c r="EA241" i="68"/>
  <c r="DW241" i="68"/>
  <c r="DS241" i="68"/>
  <c r="DO241" i="68"/>
  <c r="DK241" i="68"/>
  <c r="DG241" i="68"/>
  <c r="DC241" i="68"/>
  <c r="CY241" i="68"/>
  <c r="CU241" i="68"/>
  <c r="CQ241" i="68"/>
  <c r="CM241" i="68"/>
  <c r="CI241" i="68"/>
  <c r="CE241" i="68"/>
  <c r="CA241" i="68"/>
  <c r="BW241" i="68"/>
  <c r="BS241" i="68"/>
  <c r="BO241" i="68"/>
  <c r="BK241" i="68"/>
  <c r="BG241" i="68"/>
  <c r="BC241" i="68"/>
  <c r="AY241" i="68"/>
  <c r="AU241" i="68"/>
  <c r="AQ241" i="68"/>
  <c r="AM241" i="68"/>
  <c r="AI241" i="68"/>
  <c r="AE241" i="68"/>
  <c r="AA241" i="68"/>
  <c r="W241" i="68"/>
  <c r="S241" i="68"/>
  <c r="O241" i="68"/>
  <c r="K241" i="68"/>
  <c r="J241" i="68"/>
  <c r="T244" i="73" s="1"/>
  <c r="T250" i="73" s="1"/>
  <c r="T272" i="73" s="1"/>
  <c r="I241" i="68"/>
  <c r="HA240" i="68"/>
  <c r="GY240" i="68"/>
  <c r="GW240" i="68"/>
  <c r="GU240" i="68"/>
  <c r="GS240" i="68"/>
  <c r="GQ240" i="68"/>
  <c r="GO240" i="68"/>
  <c r="GM240" i="68"/>
  <c r="GK240" i="68"/>
  <c r="GI240" i="68"/>
  <c r="GG240" i="68"/>
  <c r="GE240" i="68"/>
  <c r="GC240" i="68"/>
  <c r="GA240" i="68"/>
  <c r="FY240" i="68"/>
  <c r="FW240" i="68"/>
  <c r="FU240" i="68"/>
  <c r="FS240" i="68"/>
  <c r="FQ240" i="68"/>
  <c r="FO240" i="68"/>
  <c r="FM240" i="68"/>
  <c r="FK240" i="68"/>
  <c r="FI240" i="68"/>
  <c r="FG240" i="68"/>
  <c r="FE240" i="68"/>
  <c r="FC240" i="68"/>
  <c r="FA240" i="68"/>
  <c r="EY240" i="68"/>
  <c r="EW240" i="68"/>
  <c r="EU240" i="68"/>
  <c r="ES240" i="68"/>
  <c r="EQ240" i="68"/>
  <c r="EO240" i="68"/>
  <c r="EM240" i="68"/>
  <c r="EK240" i="68"/>
  <c r="EI240" i="68"/>
  <c r="EG240" i="68"/>
  <c r="EE240" i="68"/>
  <c r="EC240" i="68"/>
  <c r="EA240" i="68"/>
  <c r="DY240" i="68"/>
  <c r="DW240" i="68"/>
  <c r="DU240" i="68"/>
  <c r="DS240" i="68"/>
  <c r="DQ240" i="68"/>
  <c r="DO240" i="68"/>
  <c r="DM240" i="68"/>
  <c r="DK240" i="68"/>
  <c r="DI240" i="68"/>
  <c r="DG240" i="68"/>
  <c r="DE240" i="68"/>
  <c r="DC240" i="68"/>
  <c r="DA240" i="68"/>
  <c r="CY240" i="68"/>
  <c r="CW240" i="68"/>
  <c r="CU240" i="68"/>
  <c r="CS240" i="68"/>
  <c r="CQ240" i="68"/>
  <c r="CO240" i="68"/>
  <c r="CM240" i="68"/>
  <c r="CK240" i="68"/>
  <c r="CI240" i="68"/>
  <c r="CG240" i="68"/>
  <c r="CE240" i="68"/>
  <c r="CC240" i="68"/>
  <c r="CA240" i="68"/>
  <c r="BY240" i="68"/>
  <c r="BW240" i="68"/>
  <c r="BU240" i="68"/>
  <c r="BS240" i="68"/>
  <c r="BQ240" i="68"/>
  <c r="BO240" i="68"/>
  <c r="BM240" i="68"/>
  <c r="BK240" i="68"/>
  <c r="BI240" i="68"/>
  <c r="BG240" i="68"/>
  <c r="BE240" i="68"/>
  <c r="BC240" i="68"/>
  <c r="BA240" i="68"/>
  <c r="AY240" i="68"/>
  <c r="AW240" i="68"/>
  <c r="AU240" i="68"/>
  <c r="AS240" i="68"/>
  <c r="AQ240" i="68"/>
  <c r="AO240" i="68"/>
  <c r="AM240" i="68"/>
  <c r="AK240" i="68"/>
  <c r="AI240" i="68"/>
  <c r="AG240" i="68"/>
  <c r="AE240" i="68"/>
  <c r="AC240" i="68"/>
  <c r="AA240" i="68"/>
  <c r="Y240" i="68"/>
  <c r="W240" i="68"/>
  <c r="U240" i="68"/>
  <c r="S240" i="68"/>
  <c r="Q240" i="68"/>
  <c r="O240" i="68"/>
  <c r="M240" i="68"/>
  <c r="K240" i="68"/>
  <c r="HA239" i="68"/>
  <c r="GY239" i="68"/>
  <c r="GW239" i="68"/>
  <c r="GU239" i="68"/>
  <c r="GS239" i="68"/>
  <c r="GQ239" i="68"/>
  <c r="GO239" i="68"/>
  <c r="GM239" i="68"/>
  <c r="GK239" i="68"/>
  <c r="GI239" i="68"/>
  <c r="GG239" i="68"/>
  <c r="GE239" i="68"/>
  <c r="GC239" i="68"/>
  <c r="GA239" i="68"/>
  <c r="FY239" i="68"/>
  <c r="FW239" i="68"/>
  <c r="FU239" i="68"/>
  <c r="FS239" i="68"/>
  <c r="FQ239" i="68"/>
  <c r="FO239" i="68"/>
  <c r="FM239" i="68"/>
  <c r="FK239" i="68"/>
  <c r="FI239" i="68"/>
  <c r="FG239" i="68"/>
  <c r="FE239" i="68"/>
  <c r="FC239" i="68"/>
  <c r="FA239" i="68"/>
  <c r="EY239" i="68"/>
  <c r="EW239" i="68"/>
  <c r="EU239" i="68"/>
  <c r="ES239" i="68"/>
  <c r="EQ239" i="68"/>
  <c r="EO239" i="68"/>
  <c r="EM239" i="68"/>
  <c r="EK239" i="68"/>
  <c r="EI239" i="68"/>
  <c r="EG239" i="68"/>
  <c r="EE239" i="68"/>
  <c r="EC239" i="68"/>
  <c r="EA239" i="68"/>
  <c r="DY239" i="68"/>
  <c r="DW239" i="68"/>
  <c r="DU239" i="68"/>
  <c r="DS239" i="68"/>
  <c r="DQ239" i="68"/>
  <c r="DO239" i="68"/>
  <c r="DM239" i="68"/>
  <c r="DK239" i="68"/>
  <c r="DI239" i="68"/>
  <c r="DG239" i="68"/>
  <c r="DE239" i="68"/>
  <c r="DC239" i="68"/>
  <c r="DA239" i="68"/>
  <c r="CY239" i="68"/>
  <c r="CW239" i="68"/>
  <c r="CU239" i="68"/>
  <c r="CS239" i="68"/>
  <c r="CQ239" i="68"/>
  <c r="CO239" i="68"/>
  <c r="CM239" i="68"/>
  <c r="CK239" i="68"/>
  <c r="CI239" i="68"/>
  <c r="CG239" i="68"/>
  <c r="CE239" i="68"/>
  <c r="CC239" i="68"/>
  <c r="CA239" i="68"/>
  <c r="BY239" i="68"/>
  <c r="BW239" i="68"/>
  <c r="BU239" i="68"/>
  <c r="BS239" i="68"/>
  <c r="BQ239" i="68"/>
  <c r="BO239" i="68"/>
  <c r="BM239" i="68"/>
  <c r="BK239" i="68"/>
  <c r="BI239" i="68"/>
  <c r="BG239" i="68"/>
  <c r="BE239" i="68"/>
  <c r="BC239" i="68"/>
  <c r="BA239" i="68"/>
  <c r="AY239" i="68"/>
  <c r="AW239" i="68"/>
  <c r="AU239" i="68"/>
  <c r="AS239" i="68"/>
  <c r="AQ239" i="68"/>
  <c r="AO239" i="68"/>
  <c r="AM239" i="68"/>
  <c r="AK239" i="68"/>
  <c r="AI239" i="68"/>
  <c r="AG239" i="68"/>
  <c r="AE239" i="68"/>
  <c r="AC239" i="68"/>
  <c r="AA239" i="68"/>
  <c r="Y239" i="68"/>
  <c r="W239" i="68"/>
  <c r="U239" i="68"/>
  <c r="S239" i="68"/>
  <c r="Q239" i="68"/>
  <c r="O239" i="68"/>
  <c r="M239" i="68"/>
  <c r="K239" i="68"/>
  <c r="HA238" i="68"/>
  <c r="GY238" i="68"/>
  <c r="GW238" i="68"/>
  <c r="GU238" i="68"/>
  <c r="GS238" i="68"/>
  <c r="GQ238" i="68"/>
  <c r="GO238" i="68"/>
  <c r="GM238" i="68"/>
  <c r="GK238" i="68"/>
  <c r="GI238" i="68"/>
  <c r="GG238" i="68"/>
  <c r="GE238" i="68"/>
  <c r="GC238" i="68"/>
  <c r="GA238" i="68"/>
  <c r="FY238" i="68"/>
  <c r="FW238" i="68"/>
  <c r="FU238" i="68"/>
  <c r="FS238" i="68"/>
  <c r="FQ238" i="68"/>
  <c r="FO238" i="68"/>
  <c r="FM238" i="68"/>
  <c r="FK238" i="68"/>
  <c r="FI238" i="68"/>
  <c r="FG238" i="68"/>
  <c r="FE238" i="68"/>
  <c r="FC238" i="68"/>
  <c r="FA238" i="68"/>
  <c r="EY238" i="68"/>
  <c r="EW238" i="68"/>
  <c r="EU238" i="68"/>
  <c r="ES238" i="68"/>
  <c r="EQ238" i="68"/>
  <c r="EO238" i="68"/>
  <c r="EM238" i="68"/>
  <c r="EK238" i="68"/>
  <c r="EI238" i="68"/>
  <c r="EG238" i="68"/>
  <c r="EE238" i="68"/>
  <c r="EC238" i="68"/>
  <c r="EA238" i="68"/>
  <c r="DY238" i="68"/>
  <c r="DW238" i="68"/>
  <c r="DU238" i="68"/>
  <c r="DS238" i="68"/>
  <c r="DQ238" i="68"/>
  <c r="DO238" i="68"/>
  <c r="DM238" i="68"/>
  <c r="DK238" i="68"/>
  <c r="DI238" i="68"/>
  <c r="DG238" i="68"/>
  <c r="DE238" i="68"/>
  <c r="DC238" i="68"/>
  <c r="DA238" i="68"/>
  <c r="CY238" i="68"/>
  <c r="CW238" i="68"/>
  <c r="CU238" i="68"/>
  <c r="CS238" i="68"/>
  <c r="CQ238" i="68"/>
  <c r="CO238" i="68"/>
  <c r="CM238" i="68"/>
  <c r="CK238" i="68"/>
  <c r="CI238" i="68"/>
  <c r="CG238" i="68"/>
  <c r="CE238" i="68"/>
  <c r="CC238" i="68"/>
  <c r="CA238" i="68"/>
  <c r="BY238" i="68"/>
  <c r="BW238" i="68"/>
  <c r="BU238" i="68"/>
  <c r="BS238" i="68"/>
  <c r="BQ238" i="68"/>
  <c r="BO238" i="68"/>
  <c r="BM238" i="68"/>
  <c r="BK238" i="68"/>
  <c r="BI238" i="68"/>
  <c r="BG238" i="68"/>
  <c r="BE238" i="68"/>
  <c r="BC238" i="68"/>
  <c r="BA238" i="68"/>
  <c r="AY238" i="68"/>
  <c r="AW238" i="68"/>
  <c r="AU238" i="68"/>
  <c r="AS238" i="68"/>
  <c r="AQ238" i="68"/>
  <c r="AO238" i="68"/>
  <c r="AM238" i="68"/>
  <c r="AK238" i="68"/>
  <c r="AI238" i="68"/>
  <c r="AG238" i="68"/>
  <c r="AE238" i="68"/>
  <c r="AC238" i="68"/>
  <c r="AA238" i="68"/>
  <c r="Y238" i="68"/>
  <c r="W238" i="68"/>
  <c r="U238" i="68"/>
  <c r="S238" i="68"/>
  <c r="Q238" i="68"/>
  <c r="O238" i="68"/>
  <c r="M238" i="68"/>
  <c r="K238" i="68"/>
  <c r="HA237" i="68"/>
  <c r="GY237" i="68"/>
  <c r="GW237" i="68"/>
  <c r="GU237" i="68"/>
  <c r="GS237" i="68"/>
  <c r="GQ237" i="68"/>
  <c r="GO237" i="68"/>
  <c r="GM237" i="68"/>
  <c r="GK237" i="68"/>
  <c r="GI237" i="68"/>
  <c r="GG237" i="68"/>
  <c r="GE237" i="68"/>
  <c r="GC237" i="68"/>
  <c r="GA237" i="68"/>
  <c r="FY237" i="68"/>
  <c r="FW237" i="68"/>
  <c r="FU237" i="68"/>
  <c r="FS237" i="68"/>
  <c r="FQ237" i="68"/>
  <c r="FO237" i="68"/>
  <c r="FM237" i="68"/>
  <c r="FK237" i="68"/>
  <c r="FI237" i="68"/>
  <c r="FG237" i="68"/>
  <c r="FE237" i="68"/>
  <c r="FC237" i="68"/>
  <c r="FA237" i="68"/>
  <c r="EY237" i="68"/>
  <c r="EW237" i="68"/>
  <c r="EU237" i="68"/>
  <c r="ES237" i="68"/>
  <c r="EQ237" i="68"/>
  <c r="EO237" i="68"/>
  <c r="EM237" i="68"/>
  <c r="EK237" i="68"/>
  <c r="EI237" i="68"/>
  <c r="EG237" i="68"/>
  <c r="EE237" i="68"/>
  <c r="EC237" i="68"/>
  <c r="EA237" i="68"/>
  <c r="DY237" i="68"/>
  <c r="DW237" i="68"/>
  <c r="DU237" i="68"/>
  <c r="DS237" i="68"/>
  <c r="DQ237" i="68"/>
  <c r="DO237" i="68"/>
  <c r="DM237" i="68"/>
  <c r="DK237" i="68"/>
  <c r="DI237" i="68"/>
  <c r="DG237" i="68"/>
  <c r="DE237" i="68"/>
  <c r="DC237" i="68"/>
  <c r="DA237" i="68"/>
  <c r="CY237" i="68"/>
  <c r="CW237" i="68"/>
  <c r="CU237" i="68"/>
  <c r="CS237" i="68"/>
  <c r="CQ237" i="68"/>
  <c r="CO237" i="68"/>
  <c r="CM237" i="68"/>
  <c r="CK237" i="68"/>
  <c r="CI237" i="68"/>
  <c r="CG237" i="68"/>
  <c r="CE237" i="68"/>
  <c r="CC237" i="68"/>
  <c r="CA237" i="68"/>
  <c r="BY237" i="68"/>
  <c r="BW237" i="68"/>
  <c r="BU237" i="68"/>
  <c r="BS237" i="68"/>
  <c r="BQ237" i="68"/>
  <c r="BO237" i="68"/>
  <c r="BM237" i="68"/>
  <c r="BK237" i="68"/>
  <c r="BI237" i="68"/>
  <c r="BG237" i="68"/>
  <c r="BE237" i="68"/>
  <c r="BC237" i="68"/>
  <c r="BA237" i="68"/>
  <c r="AY237" i="68"/>
  <c r="AW237" i="68"/>
  <c r="AU237" i="68"/>
  <c r="AS237" i="68"/>
  <c r="AQ237" i="68"/>
  <c r="AO237" i="68"/>
  <c r="AM237" i="68"/>
  <c r="AK237" i="68"/>
  <c r="AI237" i="68"/>
  <c r="AG237" i="68"/>
  <c r="AE237" i="68"/>
  <c r="AC237" i="68"/>
  <c r="AA237" i="68"/>
  <c r="Y237" i="68"/>
  <c r="W237" i="68"/>
  <c r="U237" i="68"/>
  <c r="S237" i="68"/>
  <c r="Q237" i="68"/>
  <c r="O237" i="68"/>
  <c r="M237" i="68"/>
  <c r="K237" i="68"/>
  <c r="HA236" i="68"/>
  <c r="GY236" i="68"/>
  <c r="GW236" i="68"/>
  <c r="GU236" i="68"/>
  <c r="GS236" i="68"/>
  <c r="GQ236" i="68"/>
  <c r="GO236" i="68"/>
  <c r="GM236" i="68"/>
  <c r="GK236" i="68"/>
  <c r="GI236" i="68"/>
  <c r="GG236" i="68"/>
  <c r="GE236" i="68"/>
  <c r="GC236" i="68"/>
  <c r="GA236" i="68"/>
  <c r="FY236" i="68"/>
  <c r="FW236" i="68"/>
  <c r="FU236" i="68"/>
  <c r="FS236" i="68"/>
  <c r="FQ236" i="68"/>
  <c r="FO236" i="68"/>
  <c r="FM236" i="68"/>
  <c r="FK236" i="68"/>
  <c r="FI236" i="68"/>
  <c r="FG236" i="68"/>
  <c r="FE236" i="68"/>
  <c r="FC236" i="68"/>
  <c r="FA236" i="68"/>
  <c r="EY236" i="68"/>
  <c r="EW236" i="68"/>
  <c r="EU236" i="68"/>
  <c r="ES236" i="68"/>
  <c r="EQ236" i="68"/>
  <c r="EO236" i="68"/>
  <c r="EM236" i="68"/>
  <c r="EK236" i="68"/>
  <c r="EI236" i="68"/>
  <c r="EG236" i="68"/>
  <c r="EE236" i="68"/>
  <c r="EC236" i="68"/>
  <c r="EA236" i="68"/>
  <c r="DY236" i="68"/>
  <c r="DW236" i="68"/>
  <c r="DU236" i="68"/>
  <c r="DS236" i="68"/>
  <c r="DQ236" i="68"/>
  <c r="DO236" i="68"/>
  <c r="DM236" i="68"/>
  <c r="DK236" i="68"/>
  <c r="DI236" i="68"/>
  <c r="DG236" i="68"/>
  <c r="DE236" i="68"/>
  <c r="DC236" i="68"/>
  <c r="DA236" i="68"/>
  <c r="CY236" i="68"/>
  <c r="CW236" i="68"/>
  <c r="CU236" i="68"/>
  <c r="CS236" i="68"/>
  <c r="CQ236" i="68"/>
  <c r="CO236" i="68"/>
  <c r="CM236" i="68"/>
  <c r="CK236" i="68"/>
  <c r="CI236" i="68"/>
  <c r="CG236" i="68"/>
  <c r="CE236" i="68"/>
  <c r="CC236" i="68"/>
  <c r="CA236" i="68"/>
  <c r="BY236" i="68"/>
  <c r="BW236" i="68"/>
  <c r="BU236" i="68"/>
  <c r="BS236" i="68"/>
  <c r="BQ236" i="68"/>
  <c r="BO236" i="68"/>
  <c r="BM236" i="68"/>
  <c r="BK236" i="68"/>
  <c r="BI236" i="68"/>
  <c r="BG236" i="68"/>
  <c r="BE236" i="68"/>
  <c r="BC236" i="68"/>
  <c r="BA236" i="68"/>
  <c r="AY236" i="68"/>
  <c r="AW236" i="68"/>
  <c r="AU236" i="68"/>
  <c r="AS236" i="68"/>
  <c r="AQ236" i="68"/>
  <c r="AO236" i="68"/>
  <c r="AM236" i="68"/>
  <c r="AK236" i="68"/>
  <c r="AI236" i="68"/>
  <c r="AG236" i="68"/>
  <c r="AE236" i="68"/>
  <c r="AC236" i="68"/>
  <c r="AA236" i="68"/>
  <c r="Y236" i="68"/>
  <c r="W236" i="68"/>
  <c r="U236" i="68"/>
  <c r="S236" i="68"/>
  <c r="Q236" i="68"/>
  <c r="O236" i="68"/>
  <c r="M236" i="68"/>
  <c r="K236" i="68"/>
  <c r="HA235" i="68"/>
  <c r="GY235" i="68"/>
  <c r="GW235" i="68"/>
  <c r="GU235" i="68"/>
  <c r="GS235" i="68"/>
  <c r="GQ235" i="68"/>
  <c r="GO235" i="68"/>
  <c r="GM235" i="68"/>
  <c r="GK235" i="68"/>
  <c r="GI235" i="68"/>
  <c r="GG235" i="68"/>
  <c r="GE235" i="68"/>
  <c r="GC235" i="68"/>
  <c r="GA235" i="68"/>
  <c r="FY235" i="68"/>
  <c r="FW235" i="68"/>
  <c r="FU235" i="68"/>
  <c r="FS235" i="68"/>
  <c r="FQ235" i="68"/>
  <c r="FO235" i="68"/>
  <c r="FM235" i="68"/>
  <c r="FK235" i="68"/>
  <c r="FI235" i="68"/>
  <c r="FG235" i="68"/>
  <c r="FE235" i="68"/>
  <c r="FC235" i="68"/>
  <c r="FA235" i="68"/>
  <c r="EY235" i="68"/>
  <c r="EW235" i="68"/>
  <c r="EU235" i="68"/>
  <c r="ES235" i="68"/>
  <c r="EQ235" i="68"/>
  <c r="EO235" i="68"/>
  <c r="EM235" i="68"/>
  <c r="EK235" i="68"/>
  <c r="EI235" i="68"/>
  <c r="EG235" i="68"/>
  <c r="EE235" i="68"/>
  <c r="EC235" i="68"/>
  <c r="EA235" i="68"/>
  <c r="DY235" i="68"/>
  <c r="DW235" i="68"/>
  <c r="DU235" i="68"/>
  <c r="DS235" i="68"/>
  <c r="DQ235" i="68"/>
  <c r="DO235" i="68"/>
  <c r="DM235" i="68"/>
  <c r="DK235" i="68"/>
  <c r="DI235" i="68"/>
  <c r="DG235" i="68"/>
  <c r="DE235" i="68"/>
  <c r="DC235" i="68"/>
  <c r="DA235" i="68"/>
  <c r="CY235" i="68"/>
  <c r="CW235" i="68"/>
  <c r="CU235" i="68"/>
  <c r="CS235" i="68"/>
  <c r="CQ235" i="68"/>
  <c r="CO235" i="68"/>
  <c r="CM235" i="68"/>
  <c r="CK235" i="68"/>
  <c r="CI235" i="68"/>
  <c r="CG235" i="68"/>
  <c r="CE235" i="68"/>
  <c r="CC235" i="68"/>
  <c r="CA235" i="68"/>
  <c r="BY235" i="68"/>
  <c r="BW235" i="68"/>
  <c r="BU235" i="68"/>
  <c r="BS235" i="68"/>
  <c r="BQ235" i="68"/>
  <c r="BO235" i="68"/>
  <c r="BM235" i="68"/>
  <c r="BK235" i="68"/>
  <c r="BI235" i="68"/>
  <c r="BG235" i="68"/>
  <c r="BE235" i="68"/>
  <c r="BC235" i="68"/>
  <c r="BA235" i="68"/>
  <c r="AY235" i="68"/>
  <c r="AW235" i="68"/>
  <c r="AU235" i="68"/>
  <c r="AS235" i="68"/>
  <c r="AQ235" i="68"/>
  <c r="AO235" i="68"/>
  <c r="AM235" i="68"/>
  <c r="AK235" i="68"/>
  <c r="AI235" i="68"/>
  <c r="AG235" i="68"/>
  <c r="AE235" i="68"/>
  <c r="AC235" i="68"/>
  <c r="AA235" i="68"/>
  <c r="Y235" i="68"/>
  <c r="W235" i="68"/>
  <c r="U235" i="68"/>
  <c r="S235" i="68"/>
  <c r="Q235" i="68"/>
  <c r="O235" i="68"/>
  <c r="M235" i="68"/>
  <c r="K235" i="68"/>
  <c r="HA234" i="68"/>
  <c r="GZ234" i="68"/>
  <c r="GY234" i="68"/>
  <c r="GW234" i="68"/>
  <c r="GV234" i="68"/>
  <c r="GU234" i="68"/>
  <c r="GS234" i="68"/>
  <c r="GR234" i="68"/>
  <c r="GQ234" i="68"/>
  <c r="GO234" i="68"/>
  <c r="GN234" i="68"/>
  <c r="GM234" i="68"/>
  <c r="GK234" i="68"/>
  <c r="GJ234" i="68"/>
  <c r="GI234" i="68"/>
  <c r="GG234" i="68"/>
  <c r="GF234" i="68"/>
  <c r="GE234" i="68"/>
  <c r="GC234" i="68"/>
  <c r="GB234" i="68"/>
  <c r="GA234" i="68"/>
  <c r="FY234" i="68"/>
  <c r="FX234" i="68"/>
  <c r="FW234" i="68"/>
  <c r="FU234" i="68"/>
  <c r="FT234" i="68"/>
  <c r="FS234" i="68"/>
  <c r="FQ234" i="68"/>
  <c r="FP234" i="68"/>
  <c r="FO234" i="68"/>
  <c r="FM234" i="68"/>
  <c r="FL234" i="68"/>
  <c r="FK234" i="68"/>
  <c r="FI234" i="68"/>
  <c r="FH234" i="68"/>
  <c r="FG234" i="68"/>
  <c r="FE234" i="68"/>
  <c r="FD234" i="68"/>
  <c r="FC234" i="68"/>
  <c r="FA234" i="68"/>
  <c r="EZ234" i="68"/>
  <c r="EY234" i="68"/>
  <c r="EW234" i="68"/>
  <c r="EV234" i="68"/>
  <c r="EU234" i="68"/>
  <c r="ES234" i="68"/>
  <c r="ER234" i="68"/>
  <c r="EQ234" i="68"/>
  <c r="EO234" i="68"/>
  <c r="EN234" i="68"/>
  <c r="EM234" i="68"/>
  <c r="EK234" i="68"/>
  <c r="EJ234" i="68"/>
  <c r="EI234" i="68"/>
  <c r="EG234" i="68"/>
  <c r="EF234" i="68"/>
  <c r="EE234" i="68"/>
  <c r="EC234" i="68"/>
  <c r="EB234" i="68"/>
  <c r="EA234" i="68"/>
  <c r="DY234" i="68"/>
  <c r="DX234" i="68"/>
  <c r="DW234" i="68"/>
  <c r="DU234" i="68"/>
  <c r="DT234" i="68"/>
  <c r="DS234" i="68"/>
  <c r="DQ234" i="68"/>
  <c r="DP234" i="68"/>
  <c r="DO234" i="68"/>
  <c r="DM234" i="68"/>
  <c r="DL234" i="68"/>
  <c r="DK234" i="68"/>
  <c r="DI234" i="68"/>
  <c r="DH234" i="68"/>
  <c r="DG234" i="68"/>
  <c r="DE234" i="68"/>
  <c r="DD234" i="68"/>
  <c r="DC234" i="68"/>
  <c r="DA234" i="68"/>
  <c r="CZ234" i="68"/>
  <c r="CY234" i="68"/>
  <c r="CW234" i="68"/>
  <c r="CV234" i="68"/>
  <c r="CU234" i="68"/>
  <c r="CS234" i="68"/>
  <c r="CR234" i="68"/>
  <c r="CQ234" i="68"/>
  <c r="CO234" i="68"/>
  <c r="CN234" i="68"/>
  <c r="CM234" i="68"/>
  <c r="CK234" i="68"/>
  <c r="CJ234" i="68"/>
  <c r="CI234" i="68"/>
  <c r="CG234" i="68"/>
  <c r="CF234" i="68"/>
  <c r="CE234" i="68"/>
  <c r="CC234" i="68"/>
  <c r="CB234" i="68"/>
  <c r="CA234" i="68"/>
  <c r="BY234" i="68"/>
  <c r="BX234" i="68"/>
  <c r="BW234" i="68"/>
  <c r="BU234" i="68"/>
  <c r="BT234" i="68"/>
  <c r="BS234" i="68"/>
  <c r="BQ234" i="68"/>
  <c r="BP234" i="68"/>
  <c r="BO234" i="68"/>
  <c r="BM234" i="68"/>
  <c r="BL234" i="68"/>
  <c r="BK234" i="68"/>
  <c r="BI234" i="68"/>
  <c r="BH234" i="68"/>
  <c r="BG234" i="68"/>
  <c r="BE234" i="68"/>
  <c r="BD234" i="68"/>
  <c r="BC234" i="68"/>
  <c r="BA234" i="68"/>
  <c r="AZ234" i="68"/>
  <c r="AY234" i="68"/>
  <c r="AW234" i="68"/>
  <c r="AV234" i="68"/>
  <c r="AU234" i="68"/>
  <c r="AS234" i="68"/>
  <c r="AR234" i="68"/>
  <c r="AQ234" i="68"/>
  <c r="AO234" i="68"/>
  <c r="AN234" i="68"/>
  <c r="AM234" i="68"/>
  <c r="AK234" i="68"/>
  <c r="AJ234" i="68"/>
  <c r="AI234" i="68"/>
  <c r="AG234" i="68"/>
  <c r="AF234" i="68"/>
  <c r="AE234" i="68"/>
  <c r="AC234" i="68"/>
  <c r="AB234" i="68"/>
  <c r="AA234" i="68"/>
  <c r="Y234" i="68"/>
  <c r="X234" i="68"/>
  <c r="W234" i="68"/>
  <c r="U234" i="68"/>
  <c r="T234" i="68"/>
  <c r="S234" i="68"/>
  <c r="Q234" i="68"/>
  <c r="P234" i="68"/>
  <c r="O234" i="68"/>
  <c r="M234" i="68"/>
  <c r="L234" i="68"/>
  <c r="K234" i="68"/>
  <c r="J234" i="68"/>
  <c r="T282" i="73" s="1"/>
  <c r="T294" i="73" s="1"/>
  <c r="I234" i="68"/>
  <c r="HA233" i="68"/>
  <c r="GZ233" i="68"/>
  <c r="GY233" i="68"/>
  <c r="GW233" i="68"/>
  <c r="GV233" i="68"/>
  <c r="GU233" i="68"/>
  <c r="GS233" i="68"/>
  <c r="GR233" i="68"/>
  <c r="GQ233" i="68"/>
  <c r="GO233" i="68"/>
  <c r="GN233" i="68"/>
  <c r="GM233" i="68"/>
  <c r="GK233" i="68"/>
  <c r="GJ233" i="68"/>
  <c r="GI233" i="68"/>
  <c r="GG233" i="68"/>
  <c r="GF233" i="68"/>
  <c r="GE233" i="68"/>
  <c r="GC233" i="68"/>
  <c r="GB233" i="68"/>
  <c r="GA233" i="68"/>
  <c r="FY233" i="68"/>
  <c r="FX233" i="68"/>
  <c r="FW233" i="68"/>
  <c r="FU233" i="68"/>
  <c r="FT233" i="68"/>
  <c r="FS233" i="68"/>
  <c r="FQ233" i="68"/>
  <c r="FP233" i="68"/>
  <c r="FO233" i="68"/>
  <c r="FM233" i="68"/>
  <c r="FL233" i="68"/>
  <c r="FK233" i="68"/>
  <c r="FI233" i="68"/>
  <c r="FH233" i="68"/>
  <c r="FG233" i="68"/>
  <c r="FE233" i="68"/>
  <c r="FD233" i="68"/>
  <c r="FC233" i="68"/>
  <c r="FA233" i="68"/>
  <c r="EZ233" i="68"/>
  <c r="EY233" i="68"/>
  <c r="EW233" i="68"/>
  <c r="EV233" i="68"/>
  <c r="EU233" i="68"/>
  <c r="ES233" i="68"/>
  <c r="ER233" i="68"/>
  <c r="EQ233" i="68"/>
  <c r="EO233" i="68"/>
  <c r="EN233" i="68"/>
  <c r="EM233" i="68"/>
  <c r="EK233" i="68"/>
  <c r="EJ233" i="68"/>
  <c r="EI233" i="68"/>
  <c r="EG233" i="68"/>
  <c r="EF233" i="68"/>
  <c r="EE233" i="68"/>
  <c r="EC233" i="68"/>
  <c r="EB233" i="68"/>
  <c r="EA233" i="68"/>
  <c r="DY233" i="68"/>
  <c r="DX233" i="68"/>
  <c r="DW233" i="68"/>
  <c r="DU233" i="68"/>
  <c r="DT233" i="68"/>
  <c r="DS233" i="68"/>
  <c r="DQ233" i="68"/>
  <c r="DP233" i="68"/>
  <c r="DO233" i="68"/>
  <c r="DM233" i="68"/>
  <c r="DL233" i="68"/>
  <c r="DK233" i="68"/>
  <c r="DI233" i="68"/>
  <c r="DH233" i="68"/>
  <c r="DG233" i="68"/>
  <c r="DE233" i="68"/>
  <c r="DD233" i="68"/>
  <c r="DC233" i="68"/>
  <c r="DA233" i="68"/>
  <c r="CZ233" i="68"/>
  <c r="CY233" i="68"/>
  <c r="CW233" i="68"/>
  <c r="CV233" i="68"/>
  <c r="CU233" i="68"/>
  <c r="CS233" i="68"/>
  <c r="CR233" i="68"/>
  <c r="CQ233" i="68"/>
  <c r="CO233" i="68"/>
  <c r="CN233" i="68"/>
  <c r="CM233" i="68"/>
  <c r="CK233" i="68"/>
  <c r="CJ233" i="68"/>
  <c r="CI233" i="68"/>
  <c r="CG233" i="68"/>
  <c r="CF233" i="68"/>
  <c r="CE233" i="68"/>
  <c r="CC233" i="68"/>
  <c r="CB233" i="68"/>
  <c r="CA233" i="68"/>
  <c r="BY233" i="68"/>
  <c r="BX233" i="68"/>
  <c r="BW233" i="68"/>
  <c r="BU233" i="68"/>
  <c r="BT233" i="68"/>
  <c r="BS233" i="68"/>
  <c r="BQ233" i="68"/>
  <c r="BP233" i="68"/>
  <c r="BO233" i="68"/>
  <c r="BM233" i="68"/>
  <c r="BL233" i="68"/>
  <c r="BK233" i="68"/>
  <c r="BI233" i="68"/>
  <c r="BH233" i="68"/>
  <c r="BG233" i="68"/>
  <c r="BE233" i="68"/>
  <c r="BD233" i="68"/>
  <c r="BC233" i="68"/>
  <c r="BA233" i="68"/>
  <c r="AZ233" i="68"/>
  <c r="AY233" i="68"/>
  <c r="AW233" i="68"/>
  <c r="AV233" i="68"/>
  <c r="AU233" i="68"/>
  <c r="AS233" i="68"/>
  <c r="AR233" i="68"/>
  <c r="AQ233" i="68"/>
  <c r="AO233" i="68"/>
  <c r="AN233" i="68"/>
  <c r="AM233" i="68"/>
  <c r="AK233" i="68"/>
  <c r="AJ233" i="68"/>
  <c r="AI233" i="68"/>
  <c r="AG233" i="68"/>
  <c r="AF233" i="68"/>
  <c r="AE233" i="68"/>
  <c r="AC233" i="68"/>
  <c r="AB233" i="68"/>
  <c r="AA233" i="68"/>
  <c r="Y233" i="68"/>
  <c r="X233" i="68"/>
  <c r="W233" i="68"/>
  <c r="U233" i="68"/>
  <c r="T233" i="68"/>
  <c r="S233" i="68"/>
  <c r="Q233" i="68"/>
  <c r="P233" i="68"/>
  <c r="O233" i="68"/>
  <c r="M233" i="68"/>
  <c r="L233" i="68"/>
  <c r="K233" i="68"/>
  <c r="J233" i="68"/>
  <c r="T237" i="73" s="1"/>
  <c r="T249" i="73" s="1"/>
  <c r="I233" i="68"/>
  <c r="GZ232" i="68"/>
  <c r="GV232" i="68"/>
  <c r="GR232" i="68"/>
  <c r="GN232" i="68"/>
  <c r="GJ232" i="68"/>
  <c r="GF232" i="68"/>
  <c r="GB232" i="68"/>
  <c r="FX232" i="68"/>
  <c r="FT232" i="68"/>
  <c r="FP232" i="68"/>
  <c r="FL232" i="68"/>
  <c r="FH232" i="68"/>
  <c r="FD232" i="68"/>
  <c r="EZ232" i="68"/>
  <c r="EV232" i="68"/>
  <c r="ER232" i="68"/>
  <c r="EN232" i="68"/>
  <c r="EJ232" i="68"/>
  <c r="EF232" i="68"/>
  <c r="EB232" i="68"/>
  <c r="DX232" i="68"/>
  <c r="DT232" i="68"/>
  <c r="DP232" i="68"/>
  <c r="DL232" i="68"/>
  <c r="DH232" i="68"/>
  <c r="DD232" i="68"/>
  <c r="CZ232" i="68"/>
  <c r="CV232" i="68"/>
  <c r="CR232" i="68"/>
  <c r="CN232" i="68"/>
  <c r="CJ232" i="68"/>
  <c r="CF232" i="68"/>
  <c r="CB232" i="68"/>
  <c r="BX232" i="68"/>
  <c r="BT232" i="68"/>
  <c r="BP232" i="68"/>
  <c r="BL232" i="68"/>
  <c r="BH232" i="68"/>
  <c r="BD232" i="68"/>
  <c r="AZ232" i="68"/>
  <c r="AV232" i="68"/>
  <c r="AR232" i="68"/>
  <c r="AN232" i="68"/>
  <c r="AJ232" i="68"/>
  <c r="AF232" i="68"/>
  <c r="AB232" i="68"/>
  <c r="X232" i="68"/>
  <c r="T232" i="68"/>
  <c r="P232" i="68"/>
  <c r="L232" i="68"/>
  <c r="GY230" i="68"/>
  <c r="GU230" i="68"/>
  <c r="GQ230" i="68"/>
  <c r="GM230" i="68"/>
  <c r="GI230" i="68"/>
  <c r="GE230" i="68"/>
  <c r="GA230" i="68"/>
  <c r="FW230" i="68"/>
  <c r="FS230" i="68"/>
  <c r="FO230" i="68"/>
  <c r="FK230" i="68"/>
  <c r="FG230" i="68"/>
  <c r="FC230" i="68"/>
  <c r="EY230" i="68"/>
  <c r="EU230" i="68"/>
  <c r="EQ230" i="68"/>
  <c r="EM230" i="68"/>
  <c r="EI230" i="68"/>
  <c r="EE230" i="68"/>
  <c r="EA230" i="68"/>
  <c r="DW230" i="68"/>
  <c r="DS230" i="68"/>
  <c r="DO230" i="68"/>
  <c r="DK230" i="68"/>
  <c r="DG230" i="68"/>
  <c r="DC230" i="68"/>
  <c r="CY230" i="68"/>
  <c r="CU230" i="68"/>
  <c r="CQ230" i="68"/>
  <c r="CM230" i="68"/>
  <c r="CI230" i="68"/>
  <c r="CE230" i="68"/>
  <c r="CA230" i="68"/>
  <c r="BW230" i="68"/>
  <c r="BS230" i="68"/>
  <c r="BO230" i="68"/>
  <c r="BK230" i="68"/>
  <c r="BG230" i="68"/>
  <c r="BC230" i="68"/>
  <c r="AY230" i="68"/>
  <c r="AU230" i="68"/>
  <c r="AQ230" i="68"/>
  <c r="AM230" i="68"/>
  <c r="AI230" i="68"/>
  <c r="AE230" i="68"/>
  <c r="AA230" i="68"/>
  <c r="W230" i="68"/>
  <c r="S230" i="68"/>
  <c r="O230" i="68"/>
  <c r="K230" i="68"/>
  <c r="HB228" i="68"/>
  <c r="HB229" i="68" s="1"/>
  <c r="HA228" i="68"/>
  <c r="HA229" i="68" s="1"/>
  <c r="GZ228" i="68"/>
  <c r="GZ229" i="68" s="1"/>
  <c r="GY228" i="68"/>
  <c r="GY229" i="68" s="1"/>
  <c r="GX228" i="68"/>
  <c r="GX229" i="68" s="1"/>
  <c r="GW228" i="68"/>
  <c r="GW229" i="68" s="1"/>
  <c r="GV228" i="68"/>
  <c r="GV229" i="68" s="1"/>
  <c r="GU228" i="68"/>
  <c r="GU229" i="68" s="1"/>
  <c r="GT228" i="68"/>
  <c r="GT229" i="68" s="1"/>
  <c r="GS228" i="68"/>
  <c r="GS229" i="68" s="1"/>
  <c r="GR228" i="68"/>
  <c r="GR229" i="68" s="1"/>
  <c r="GQ228" i="68"/>
  <c r="GQ229" i="68" s="1"/>
  <c r="GP228" i="68"/>
  <c r="GP229" i="68" s="1"/>
  <c r="GO228" i="68"/>
  <c r="GO229" i="68" s="1"/>
  <c r="GN228" i="68"/>
  <c r="GN229" i="68" s="1"/>
  <c r="GM228" i="68"/>
  <c r="GM229" i="68" s="1"/>
  <c r="GL228" i="68"/>
  <c r="GL229" i="68" s="1"/>
  <c r="GK228" i="68"/>
  <c r="GK229" i="68" s="1"/>
  <c r="GJ228" i="68"/>
  <c r="GJ229" i="68" s="1"/>
  <c r="GI228" i="68"/>
  <c r="GI229" i="68" s="1"/>
  <c r="GH228" i="68"/>
  <c r="GH229" i="68" s="1"/>
  <c r="GG228" i="68"/>
  <c r="GG229" i="68" s="1"/>
  <c r="GF228" i="68"/>
  <c r="GF229" i="68" s="1"/>
  <c r="GE228" i="68"/>
  <c r="GE229" i="68" s="1"/>
  <c r="GD228" i="68"/>
  <c r="GD229" i="68" s="1"/>
  <c r="GC228" i="68"/>
  <c r="GC229" i="68" s="1"/>
  <c r="GB228" i="68"/>
  <c r="GB229" i="68" s="1"/>
  <c r="GA228" i="68"/>
  <c r="GA229" i="68" s="1"/>
  <c r="FZ228" i="68"/>
  <c r="FZ229" i="68" s="1"/>
  <c r="FY228" i="68"/>
  <c r="FY229" i="68" s="1"/>
  <c r="FX228" i="68"/>
  <c r="FX229" i="68" s="1"/>
  <c r="FW228" i="68"/>
  <c r="FW229" i="68" s="1"/>
  <c r="FV228" i="68"/>
  <c r="FV229" i="68" s="1"/>
  <c r="FU228" i="68"/>
  <c r="FU229" i="68" s="1"/>
  <c r="FT228" i="68"/>
  <c r="FT229" i="68" s="1"/>
  <c r="FS228" i="68"/>
  <c r="FS229" i="68" s="1"/>
  <c r="FR228" i="68"/>
  <c r="FR229" i="68" s="1"/>
  <c r="FQ228" i="68"/>
  <c r="FQ229" i="68" s="1"/>
  <c r="FP228" i="68"/>
  <c r="FP229" i="68" s="1"/>
  <c r="FO228" i="68"/>
  <c r="FO229" i="68" s="1"/>
  <c r="FN228" i="68"/>
  <c r="FN229" i="68" s="1"/>
  <c r="FM228" i="68"/>
  <c r="FM229" i="68" s="1"/>
  <c r="FL228" i="68"/>
  <c r="FL229" i="68" s="1"/>
  <c r="FK228" i="68"/>
  <c r="FK229" i="68" s="1"/>
  <c r="FJ228" i="68"/>
  <c r="FJ229" i="68" s="1"/>
  <c r="FI228" i="68"/>
  <c r="FI229" i="68" s="1"/>
  <c r="FH228" i="68"/>
  <c r="FH229" i="68" s="1"/>
  <c r="FG228" i="68"/>
  <c r="FG229" i="68" s="1"/>
  <c r="FF228" i="68"/>
  <c r="FF229" i="68" s="1"/>
  <c r="FE228" i="68"/>
  <c r="FE229" i="68" s="1"/>
  <c r="FD228" i="68"/>
  <c r="FD229" i="68" s="1"/>
  <c r="FC228" i="68"/>
  <c r="FC229" i="68" s="1"/>
  <c r="FB228" i="68"/>
  <c r="FB229" i="68" s="1"/>
  <c r="FA228" i="68"/>
  <c r="FA229" i="68" s="1"/>
  <c r="EZ228" i="68"/>
  <c r="EZ229" i="68" s="1"/>
  <c r="EY228" i="68"/>
  <c r="EY229" i="68" s="1"/>
  <c r="EX228" i="68"/>
  <c r="EX229" i="68" s="1"/>
  <c r="EW228" i="68"/>
  <c r="EW229" i="68" s="1"/>
  <c r="EV228" i="68"/>
  <c r="EV229" i="68" s="1"/>
  <c r="EU228" i="68"/>
  <c r="EU229" i="68" s="1"/>
  <c r="ET228" i="68"/>
  <c r="ET229" i="68" s="1"/>
  <c r="ES228" i="68"/>
  <c r="ES229" i="68" s="1"/>
  <c r="ER228" i="68"/>
  <c r="ER229" i="68" s="1"/>
  <c r="EQ228" i="68"/>
  <c r="EQ229" i="68" s="1"/>
  <c r="EP228" i="68"/>
  <c r="EP229" i="68" s="1"/>
  <c r="EO228" i="68"/>
  <c r="EO229" i="68" s="1"/>
  <c r="EN228" i="68"/>
  <c r="EN229" i="68" s="1"/>
  <c r="EM228" i="68"/>
  <c r="EM229" i="68" s="1"/>
  <c r="EL228" i="68"/>
  <c r="EL229" i="68" s="1"/>
  <c r="EK228" i="68"/>
  <c r="EK229" i="68" s="1"/>
  <c r="EJ228" i="68"/>
  <c r="EJ229" i="68" s="1"/>
  <c r="EI228" i="68"/>
  <c r="EI229" i="68" s="1"/>
  <c r="EH228" i="68"/>
  <c r="EH229" i="68" s="1"/>
  <c r="EG228" i="68"/>
  <c r="EG229" i="68" s="1"/>
  <c r="EF228" i="68"/>
  <c r="EF229" i="68" s="1"/>
  <c r="EE228" i="68"/>
  <c r="EE229" i="68" s="1"/>
  <c r="ED228" i="68"/>
  <c r="ED229" i="68" s="1"/>
  <c r="EC228" i="68"/>
  <c r="EC229" i="68" s="1"/>
  <c r="EB228" i="68"/>
  <c r="EB229" i="68" s="1"/>
  <c r="EA228" i="68"/>
  <c r="EA229" i="68" s="1"/>
  <c r="DZ228" i="68"/>
  <c r="DZ229" i="68" s="1"/>
  <c r="DY228" i="68"/>
  <c r="DY229" i="68" s="1"/>
  <c r="DX228" i="68"/>
  <c r="DX229" i="68" s="1"/>
  <c r="DW228" i="68"/>
  <c r="DW229" i="68" s="1"/>
  <c r="DV228" i="68"/>
  <c r="DV229" i="68" s="1"/>
  <c r="DU228" i="68"/>
  <c r="DU229" i="68" s="1"/>
  <c r="DT228" i="68"/>
  <c r="DT229" i="68" s="1"/>
  <c r="DS228" i="68"/>
  <c r="DS229" i="68" s="1"/>
  <c r="DR228" i="68"/>
  <c r="DR229" i="68" s="1"/>
  <c r="DQ228" i="68"/>
  <c r="DQ229" i="68" s="1"/>
  <c r="DP228" i="68"/>
  <c r="DP229" i="68" s="1"/>
  <c r="DO228" i="68"/>
  <c r="DO229" i="68" s="1"/>
  <c r="DN228" i="68"/>
  <c r="DN229" i="68" s="1"/>
  <c r="DM228" i="68"/>
  <c r="DM229" i="68" s="1"/>
  <c r="DL228" i="68"/>
  <c r="DL229" i="68" s="1"/>
  <c r="DK228" i="68"/>
  <c r="DK229" i="68" s="1"/>
  <c r="DJ228" i="68"/>
  <c r="DJ229" i="68" s="1"/>
  <c r="DI228" i="68"/>
  <c r="DI229" i="68" s="1"/>
  <c r="DH228" i="68"/>
  <c r="DH229" i="68" s="1"/>
  <c r="DG228" i="68"/>
  <c r="DG229" i="68" s="1"/>
  <c r="DF228" i="68"/>
  <c r="DF229" i="68" s="1"/>
  <c r="DE228" i="68"/>
  <c r="DE229" i="68" s="1"/>
  <c r="DD228" i="68"/>
  <c r="DD229" i="68" s="1"/>
  <c r="DC228" i="68"/>
  <c r="DC229" i="68" s="1"/>
  <c r="DB228" i="68"/>
  <c r="DB229" i="68" s="1"/>
  <c r="DA228" i="68"/>
  <c r="DA229" i="68" s="1"/>
  <c r="CZ228" i="68"/>
  <c r="CZ229" i="68" s="1"/>
  <c r="CY228" i="68"/>
  <c r="CY229" i="68" s="1"/>
  <c r="CX228" i="68"/>
  <c r="CX229" i="68" s="1"/>
  <c r="CW228" i="68"/>
  <c r="CW229" i="68" s="1"/>
  <c r="CV228" i="68"/>
  <c r="CV229" i="68" s="1"/>
  <c r="CU228" i="68"/>
  <c r="CU229" i="68" s="1"/>
  <c r="CT228" i="68"/>
  <c r="CT229" i="68" s="1"/>
  <c r="CS228" i="68"/>
  <c r="CS229" i="68" s="1"/>
  <c r="CR228" i="68"/>
  <c r="CR229" i="68" s="1"/>
  <c r="CQ228" i="68"/>
  <c r="CQ229" i="68" s="1"/>
  <c r="CP228" i="68"/>
  <c r="CP229" i="68" s="1"/>
  <c r="CO228" i="68"/>
  <c r="CO229" i="68" s="1"/>
  <c r="CN228" i="68"/>
  <c r="CN229" i="68" s="1"/>
  <c r="CM228" i="68"/>
  <c r="CM229" i="68" s="1"/>
  <c r="CL228" i="68"/>
  <c r="CL229" i="68" s="1"/>
  <c r="CK228" i="68"/>
  <c r="CK229" i="68" s="1"/>
  <c r="CJ228" i="68"/>
  <c r="CJ229" i="68" s="1"/>
  <c r="CI228" i="68"/>
  <c r="CI229" i="68" s="1"/>
  <c r="CH228" i="68"/>
  <c r="CH229" i="68" s="1"/>
  <c r="CG228" i="68"/>
  <c r="CG229" i="68" s="1"/>
  <c r="CF228" i="68"/>
  <c r="CF229" i="68" s="1"/>
  <c r="CE228" i="68"/>
  <c r="CE229" i="68" s="1"/>
  <c r="CD228" i="68"/>
  <c r="CD229" i="68" s="1"/>
  <c r="CC228" i="68"/>
  <c r="CC229" i="68" s="1"/>
  <c r="CB228" i="68"/>
  <c r="CB229" i="68" s="1"/>
  <c r="CA228" i="68"/>
  <c r="CA229" i="68" s="1"/>
  <c r="BZ228" i="68"/>
  <c r="BZ229" i="68" s="1"/>
  <c r="BY228" i="68"/>
  <c r="BY229" i="68" s="1"/>
  <c r="BX228" i="68"/>
  <c r="BX229" i="68" s="1"/>
  <c r="BW228" i="68"/>
  <c r="BW229" i="68" s="1"/>
  <c r="BV228" i="68"/>
  <c r="BV229" i="68" s="1"/>
  <c r="BU228" i="68"/>
  <c r="BU229" i="68" s="1"/>
  <c r="BT228" i="68"/>
  <c r="BT229" i="68" s="1"/>
  <c r="BS228" i="68"/>
  <c r="BS229" i="68" s="1"/>
  <c r="BR228" i="68"/>
  <c r="BR229" i="68" s="1"/>
  <c r="BQ228" i="68"/>
  <c r="BQ229" i="68" s="1"/>
  <c r="BP228" i="68"/>
  <c r="BP229" i="68" s="1"/>
  <c r="BO228" i="68"/>
  <c r="BO229" i="68" s="1"/>
  <c r="BN228" i="68"/>
  <c r="BN229" i="68" s="1"/>
  <c r="BM228" i="68"/>
  <c r="BM229" i="68" s="1"/>
  <c r="BL228" i="68"/>
  <c r="BL229" i="68" s="1"/>
  <c r="BK228" i="68"/>
  <c r="BK229" i="68" s="1"/>
  <c r="BJ228" i="68"/>
  <c r="BJ229" i="68" s="1"/>
  <c r="BI228" i="68"/>
  <c r="BI229" i="68" s="1"/>
  <c r="BH228" i="68"/>
  <c r="BH229" i="68" s="1"/>
  <c r="BG228" i="68"/>
  <c r="BG229" i="68" s="1"/>
  <c r="BF228" i="68"/>
  <c r="BF229" i="68" s="1"/>
  <c r="BE228" i="68"/>
  <c r="BE229" i="68" s="1"/>
  <c r="BD228" i="68"/>
  <c r="BD229" i="68" s="1"/>
  <c r="BC228" i="68"/>
  <c r="BC229" i="68" s="1"/>
  <c r="BB228" i="68"/>
  <c r="BB229" i="68" s="1"/>
  <c r="BA228" i="68"/>
  <c r="BA229" i="68" s="1"/>
  <c r="AZ228" i="68"/>
  <c r="AZ229" i="68" s="1"/>
  <c r="AY228" i="68"/>
  <c r="AY229" i="68" s="1"/>
  <c r="AX228" i="68"/>
  <c r="AX229" i="68" s="1"/>
  <c r="AW228" i="68"/>
  <c r="AW229" i="68" s="1"/>
  <c r="AV228" i="68"/>
  <c r="AV229" i="68" s="1"/>
  <c r="AU228" i="68"/>
  <c r="AU229" i="68" s="1"/>
  <c r="AT228" i="68"/>
  <c r="AT229" i="68" s="1"/>
  <c r="AS228" i="68"/>
  <c r="AS229" i="68" s="1"/>
  <c r="AR228" i="68"/>
  <c r="AR229" i="68" s="1"/>
  <c r="AQ228" i="68"/>
  <c r="AQ229" i="68" s="1"/>
  <c r="AP228" i="68"/>
  <c r="AP229" i="68" s="1"/>
  <c r="AO228" i="68"/>
  <c r="AO229" i="68" s="1"/>
  <c r="AN228" i="68"/>
  <c r="AN229" i="68" s="1"/>
  <c r="AM228" i="68"/>
  <c r="AM229" i="68" s="1"/>
  <c r="AL228" i="68"/>
  <c r="AL229" i="68" s="1"/>
  <c r="AK228" i="68"/>
  <c r="AK229" i="68" s="1"/>
  <c r="AJ228" i="68"/>
  <c r="AJ229" i="68" s="1"/>
  <c r="AI228" i="68"/>
  <c r="AI229" i="68" s="1"/>
  <c r="AH228" i="68"/>
  <c r="AH229" i="68" s="1"/>
  <c r="AG228" i="68"/>
  <c r="AG229" i="68" s="1"/>
  <c r="AF228" i="68"/>
  <c r="AF229" i="68" s="1"/>
  <c r="AE228" i="68"/>
  <c r="AE229" i="68" s="1"/>
  <c r="AD228" i="68"/>
  <c r="AD229" i="68" s="1"/>
  <c r="AC228" i="68"/>
  <c r="AC229" i="68" s="1"/>
  <c r="AB228" i="68"/>
  <c r="AB229" i="68" s="1"/>
  <c r="AA228" i="68"/>
  <c r="AA229" i="68" s="1"/>
  <c r="Z228" i="68"/>
  <c r="Z229" i="68" s="1"/>
  <c r="Y228" i="68"/>
  <c r="Y229" i="68" s="1"/>
  <c r="X228" i="68"/>
  <c r="X229" i="68" s="1"/>
  <c r="W228" i="68"/>
  <c r="W229" i="68" s="1"/>
  <c r="V228" i="68"/>
  <c r="V229" i="68" s="1"/>
  <c r="U228" i="68"/>
  <c r="U229" i="68" s="1"/>
  <c r="T228" i="68"/>
  <c r="T229" i="68" s="1"/>
  <c r="S228" i="68"/>
  <c r="S229" i="68" s="1"/>
  <c r="R228" i="68"/>
  <c r="R229" i="68" s="1"/>
  <c r="Q228" i="68"/>
  <c r="Q229" i="68" s="1"/>
  <c r="P228" i="68"/>
  <c r="P229" i="68" s="1"/>
  <c r="O228" i="68"/>
  <c r="O229" i="68" s="1"/>
  <c r="N228" i="68"/>
  <c r="N229" i="68" s="1"/>
  <c r="M228" i="68"/>
  <c r="M229" i="68" s="1"/>
  <c r="L228" i="68"/>
  <c r="L229" i="68" s="1"/>
  <c r="K228" i="68"/>
  <c r="K229" i="68" s="1"/>
  <c r="J228" i="68"/>
  <c r="T158" i="72" s="1"/>
  <c r="T160" i="72" s="1"/>
  <c r="T162" i="72" s="1"/>
  <c r="I228" i="68"/>
  <c r="GY226" i="68"/>
  <c r="GU226" i="68"/>
  <c r="GQ226" i="68"/>
  <c r="GM226" i="68"/>
  <c r="GI226" i="68"/>
  <c r="GE226" i="68"/>
  <c r="GA226" i="68"/>
  <c r="FW226" i="68"/>
  <c r="FS226" i="68"/>
  <c r="FO226" i="68"/>
  <c r="FK226" i="68"/>
  <c r="FG226" i="68"/>
  <c r="FC226" i="68"/>
  <c r="EY226" i="68"/>
  <c r="EU226" i="68"/>
  <c r="EQ226" i="68"/>
  <c r="EM226" i="68"/>
  <c r="EI226" i="68"/>
  <c r="EE226" i="68"/>
  <c r="EA226" i="68"/>
  <c r="DW226" i="68"/>
  <c r="DS226" i="68"/>
  <c r="DO226" i="68"/>
  <c r="DK226" i="68"/>
  <c r="DG226" i="68"/>
  <c r="DC226" i="68"/>
  <c r="CY226" i="68"/>
  <c r="CU226" i="68"/>
  <c r="CQ226" i="68"/>
  <c r="CM226" i="68"/>
  <c r="CI226" i="68"/>
  <c r="CE226" i="68"/>
  <c r="CA226" i="68"/>
  <c r="BW226" i="68"/>
  <c r="BS226" i="68"/>
  <c r="BO226" i="68"/>
  <c r="BK226" i="68"/>
  <c r="BG226" i="68"/>
  <c r="BC226" i="68"/>
  <c r="AY226" i="68"/>
  <c r="AU226" i="68"/>
  <c r="AQ226" i="68"/>
  <c r="AM226" i="68"/>
  <c r="AI226" i="68"/>
  <c r="AE226" i="68"/>
  <c r="AA226" i="68"/>
  <c r="W226" i="68"/>
  <c r="S226" i="68"/>
  <c r="O226" i="68"/>
  <c r="K226" i="68"/>
  <c r="HG160" i="68"/>
  <c r="HC160" i="68"/>
  <c r="HG159" i="68"/>
  <c r="HC159" i="68"/>
  <c r="HG158" i="68"/>
  <c r="HC158" i="68"/>
  <c r="HG157" i="68"/>
  <c r="HC157" i="68"/>
  <c r="HG156" i="68"/>
  <c r="HC156" i="68"/>
  <c r="HG155" i="68"/>
  <c r="HC155" i="68"/>
  <c r="HG154" i="68"/>
  <c r="HC154" i="68"/>
  <c r="HG153" i="68"/>
  <c r="HC153" i="68"/>
  <c r="HG152" i="68"/>
  <c r="HC152" i="68"/>
  <c r="HG151" i="68"/>
  <c r="HC151" i="68"/>
  <c r="HG150" i="68"/>
  <c r="HC150" i="68"/>
  <c r="HG149" i="68"/>
  <c r="HC149" i="68"/>
  <c r="HG148" i="68"/>
  <c r="HC148" i="68"/>
  <c r="HG147" i="68"/>
  <c r="HC147" i="68"/>
  <c r="HG146" i="68"/>
  <c r="HC146" i="68"/>
  <c r="HG145" i="68"/>
  <c r="HC145" i="68"/>
  <c r="HG144" i="68"/>
  <c r="HC144" i="68"/>
  <c r="HG143" i="68"/>
  <c r="HC143" i="68"/>
  <c r="HG142" i="68"/>
  <c r="HC142" i="68"/>
  <c r="HG141" i="68"/>
  <c r="HC141" i="68"/>
  <c r="HG140" i="68"/>
  <c r="HC140" i="68"/>
  <c r="HG139" i="68"/>
  <c r="HC139" i="68"/>
  <c r="HG138" i="68"/>
  <c r="HC138" i="68"/>
  <c r="HG137" i="68"/>
  <c r="HC137" i="68"/>
  <c r="HG136" i="68"/>
  <c r="HC136" i="68"/>
  <c r="HG135" i="68"/>
  <c r="HC135" i="68"/>
  <c r="HG134" i="68"/>
  <c r="HC134" i="68"/>
  <c r="HG133" i="68"/>
  <c r="HC133" i="68"/>
  <c r="HG132" i="68"/>
  <c r="HC132" i="68"/>
  <c r="HG131" i="68"/>
  <c r="HC131" i="68"/>
  <c r="HJ130" i="68"/>
  <c r="HI130" i="68"/>
  <c r="HG130" i="68"/>
  <c r="HF130" i="68"/>
  <c r="HE130" i="68"/>
  <c r="HC130" i="68"/>
  <c r="HJ129" i="68"/>
  <c r="HI129" i="68"/>
  <c r="HG129" i="68"/>
  <c r="HF129" i="68"/>
  <c r="HE129" i="68"/>
  <c r="HC129" i="68"/>
  <c r="HJ128" i="68"/>
  <c r="HI128" i="68"/>
  <c r="HG128" i="68"/>
  <c r="HF128" i="68"/>
  <c r="HE128" i="68"/>
  <c r="HC128" i="68"/>
  <c r="HJ127" i="68"/>
  <c r="HI127" i="68"/>
  <c r="HG127" i="68"/>
  <c r="HF127" i="68"/>
  <c r="HE127" i="68"/>
  <c r="HC127" i="68"/>
  <c r="HJ126" i="68"/>
  <c r="HI126" i="68"/>
  <c r="HG126" i="68"/>
  <c r="HF126" i="68"/>
  <c r="HE126" i="68"/>
  <c r="HC126" i="68"/>
  <c r="HJ125" i="68"/>
  <c r="HI125" i="68"/>
  <c r="HG125" i="68"/>
  <c r="HF125" i="68"/>
  <c r="HE125" i="68"/>
  <c r="HC125" i="68"/>
  <c r="HJ124" i="68"/>
  <c r="HI124" i="68"/>
  <c r="HG124" i="68"/>
  <c r="HF124" i="68"/>
  <c r="HE124" i="68"/>
  <c r="HC124" i="68"/>
  <c r="HJ123" i="68"/>
  <c r="HI123" i="68"/>
  <c r="HG123" i="68"/>
  <c r="HF123" i="68"/>
  <c r="HE123" i="68"/>
  <c r="HC123" i="68"/>
  <c r="HJ122" i="68"/>
  <c r="HI122" i="68"/>
  <c r="HG122" i="68"/>
  <c r="HF122" i="68"/>
  <c r="HE122" i="68"/>
  <c r="HC122" i="68"/>
  <c r="HI121" i="68"/>
  <c r="HH121" i="68"/>
  <c r="HG121" i="68"/>
  <c r="HE121" i="68"/>
  <c r="HD121" i="68"/>
  <c r="HC121" i="68"/>
  <c r="HI120" i="68"/>
  <c r="HH120" i="68"/>
  <c r="HG120" i="68"/>
  <c r="HE120" i="68"/>
  <c r="HD120" i="68"/>
  <c r="HC120" i="68"/>
  <c r="HI119" i="68"/>
  <c r="HH119" i="68"/>
  <c r="HG119" i="68"/>
  <c r="HE119" i="68"/>
  <c r="HD119" i="68"/>
  <c r="HC119" i="68"/>
  <c r="HI118" i="68"/>
  <c r="HH118" i="68"/>
  <c r="HG118" i="68"/>
  <c r="HE118" i="68"/>
  <c r="HD118" i="68"/>
  <c r="HC118" i="68"/>
  <c r="HI117" i="68"/>
  <c r="HH117" i="68"/>
  <c r="HG117" i="68"/>
  <c r="HE117" i="68"/>
  <c r="HD117" i="68"/>
  <c r="HC117" i="68"/>
  <c r="HI116" i="68"/>
  <c r="HH116" i="68"/>
  <c r="HG116" i="68"/>
  <c r="HE116" i="68"/>
  <c r="HD116" i="68"/>
  <c r="HC116" i="68"/>
  <c r="HI115" i="68"/>
  <c r="HH115" i="68"/>
  <c r="HG115" i="68"/>
  <c r="HE115" i="68"/>
  <c r="HD115" i="68"/>
  <c r="HC115" i="68"/>
  <c r="HI114" i="68"/>
  <c r="HH114" i="68"/>
  <c r="HG114" i="68"/>
  <c r="HE114" i="68"/>
  <c r="HD114" i="68"/>
  <c r="HC114" i="68"/>
  <c r="HI113" i="68"/>
  <c r="HH113" i="68"/>
  <c r="HG113" i="68"/>
  <c r="HE113" i="68"/>
  <c r="HD113" i="68"/>
  <c r="HC113" i="68"/>
  <c r="HI112" i="68"/>
  <c r="HH112" i="68"/>
  <c r="HG112" i="68"/>
  <c r="HE112" i="68"/>
  <c r="HD112" i="68"/>
  <c r="HC112" i="68"/>
  <c r="HI107" i="68"/>
  <c r="HG107" i="68"/>
  <c r="HE107" i="68"/>
  <c r="HC107" i="68"/>
  <c r="HI106" i="68"/>
  <c r="HG106" i="68"/>
  <c r="HE106" i="68"/>
  <c r="HC106" i="68"/>
  <c r="HI105" i="68"/>
  <c r="HG105" i="68"/>
  <c r="HE105" i="68"/>
  <c r="HC105" i="68"/>
  <c r="HI104" i="68"/>
  <c r="HG104" i="68"/>
  <c r="HE104" i="68"/>
  <c r="HC104" i="68"/>
  <c r="HG103" i="68"/>
  <c r="HC103" i="68"/>
  <c r="HI102" i="68"/>
  <c r="HG102" i="68"/>
  <c r="HE102" i="68"/>
  <c r="HC102" i="68"/>
  <c r="HG101" i="68"/>
  <c r="HC101" i="68"/>
  <c r="HI100" i="68"/>
  <c r="HG100" i="68"/>
  <c r="HE100" i="68"/>
  <c r="HC100" i="68"/>
  <c r="HG99" i="68"/>
  <c r="HC99" i="68"/>
  <c r="HI98" i="68"/>
  <c r="HG98" i="68"/>
  <c r="HE98" i="68"/>
  <c r="HC98" i="68"/>
  <c r="HG97" i="68"/>
  <c r="HC97" i="68"/>
  <c r="HI96" i="68"/>
  <c r="HG96" i="68"/>
  <c r="HE96" i="68"/>
  <c r="HC96" i="68"/>
  <c r="HG95" i="68"/>
  <c r="HC95" i="68"/>
  <c r="HI94" i="68"/>
  <c r="HG94" i="68"/>
  <c r="HE94" i="68"/>
  <c r="HC94" i="68"/>
  <c r="HG93" i="68"/>
  <c r="HC93" i="68"/>
  <c r="HI92" i="68"/>
  <c r="HG92" i="68"/>
  <c r="HE92" i="68"/>
  <c r="HC92" i="68"/>
  <c r="HG91" i="68"/>
  <c r="HC91" i="68"/>
  <c r="HG90" i="68"/>
  <c r="HC90" i="68"/>
  <c r="HG89" i="68"/>
  <c r="HC89" i="68"/>
  <c r="HG88" i="68"/>
  <c r="HC88" i="68"/>
  <c r="HG87" i="68"/>
  <c r="HC87" i="68"/>
  <c r="HG86" i="68"/>
  <c r="HC86" i="68"/>
  <c r="HG85" i="68"/>
  <c r="HC85" i="68"/>
  <c r="HG84" i="68"/>
  <c r="HC84" i="68"/>
  <c r="HG83" i="68"/>
  <c r="HC83" i="68"/>
  <c r="HG82" i="68"/>
  <c r="HC82" i="68"/>
  <c r="HG81" i="68"/>
  <c r="HC81" i="68"/>
  <c r="HJ80" i="68"/>
  <c r="HI80" i="68"/>
  <c r="HG80" i="68"/>
  <c r="HF80" i="68"/>
  <c r="HE80" i="68"/>
  <c r="HC80" i="68"/>
  <c r="HJ79" i="68"/>
  <c r="HI79" i="68"/>
  <c r="HG79" i="68"/>
  <c r="HF79" i="68"/>
  <c r="HE79" i="68"/>
  <c r="HC79" i="68"/>
  <c r="HJ78" i="68"/>
  <c r="HI78" i="68"/>
  <c r="HG78" i="68"/>
  <c r="HF78" i="68"/>
  <c r="HE78" i="68"/>
  <c r="HC78" i="68"/>
  <c r="HJ77" i="68"/>
  <c r="HI77" i="68"/>
  <c r="HG77" i="68"/>
  <c r="HF77" i="68"/>
  <c r="HE77" i="68"/>
  <c r="HC77" i="68"/>
  <c r="HJ76" i="68"/>
  <c r="HI76" i="68"/>
  <c r="HG76" i="68"/>
  <c r="HF76" i="68"/>
  <c r="HE76" i="68"/>
  <c r="HC76" i="68"/>
  <c r="HJ75" i="68"/>
  <c r="HI75" i="68"/>
  <c r="HG75" i="68"/>
  <c r="HF75" i="68"/>
  <c r="HE75" i="68"/>
  <c r="HC75" i="68"/>
  <c r="HJ74" i="68"/>
  <c r="HI74" i="68"/>
  <c r="HG74" i="68"/>
  <c r="HF74" i="68"/>
  <c r="HE74" i="68"/>
  <c r="HC74" i="68"/>
  <c r="HJ73" i="68"/>
  <c r="HI73" i="68"/>
  <c r="HG73" i="68"/>
  <c r="HF73" i="68"/>
  <c r="HE73" i="68"/>
  <c r="HC73" i="68"/>
  <c r="HJ72" i="68"/>
  <c r="HI72" i="68"/>
  <c r="HG72" i="68"/>
  <c r="HF72" i="68"/>
  <c r="HE72" i="68"/>
  <c r="HC72" i="68"/>
  <c r="HJ71" i="68"/>
  <c r="HI71" i="68"/>
  <c r="HG71" i="68"/>
  <c r="HF71" i="68"/>
  <c r="HE71" i="68"/>
  <c r="HC71" i="68"/>
  <c r="HJ70" i="68"/>
  <c r="HI70" i="68"/>
  <c r="HG70" i="68"/>
  <c r="HF70" i="68"/>
  <c r="HE70" i="68"/>
  <c r="HC70" i="68"/>
  <c r="HJ69" i="68"/>
  <c r="HI69" i="68"/>
  <c r="HG69" i="68"/>
  <c r="HF69" i="68"/>
  <c r="HE69" i="68"/>
  <c r="HC69" i="68"/>
  <c r="HJ68" i="68"/>
  <c r="HI68" i="68"/>
  <c r="HG68" i="68"/>
  <c r="HF68" i="68"/>
  <c r="HE68" i="68"/>
  <c r="HC68" i="68"/>
  <c r="HJ67" i="68"/>
  <c r="HI67" i="68"/>
  <c r="HG67" i="68"/>
  <c r="HF67" i="68"/>
  <c r="HE67" i="68"/>
  <c r="HC67" i="68"/>
  <c r="HJ66" i="68"/>
  <c r="HI66" i="68"/>
  <c r="HG66" i="68"/>
  <c r="HF66" i="68"/>
  <c r="HE66" i="68"/>
  <c r="HC66" i="68"/>
  <c r="HJ65" i="68"/>
  <c r="HI65" i="68"/>
  <c r="HG65" i="68"/>
  <c r="HF65" i="68"/>
  <c r="HE65" i="68"/>
  <c r="HC65" i="68"/>
  <c r="HI64" i="68"/>
  <c r="HH64" i="68"/>
  <c r="HG64" i="68"/>
  <c r="HE64" i="68"/>
  <c r="HD64" i="68"/>
  <c r="HC64" i="68"/>
  <c r="HI63" i="68"/>
  <c r="HH63" i="68"/>
  <c r="HG63" i="68"/>
  <c r="HE63" i="68"/>
  <c r="HD63" i="68"/>
  <c r="HC63" i="68"/>
  <c r="HI62" i="68"/>
  <c r="HH62" i="68"/>
  <c r="HG62" i="68"/>
  <c r="HE62" i="68"/>
  <c r="HD62" i="68"/>
  <c r="HC62" i="68"/>
  <c r="HI61" i="68"/>
  <c r="HH61" i="68"/>
  <c r="HG61" i="68"/>
  <c r="HE61" i="68"/>
  <c r="HD61" i="68"/>
  <c r="HC61" i="68"/>
  <c r="HI60" i="68"/>
  <c r="HH60" i="68"/>
  <c r="HG60" i="68"/>
  <c r="HE60" i="68"/>
  <c r="HD60" i="68"/>
  <c r="HC60" i="68"/>
  <c r="HI59" i="68"/>
  <c r="HH59" i="68"/>
  <c r="HG59" i="68"/>
  <c r="HE59" i="68"/>
  <c r="HD59" i="68"/>
  <c r="HC59" i="68"/>
  <c r="HI58" i="68"/>
  <c r="HH58" i="68"/>
  <c r="HG58" i="68"/>
  <c r="HE58" i="68"/>
  <c r="HD58" i="68"/>
  <c r="HC58" i="68"/>
  <c r="HI57" i="68"/>
  <c r="HH57" i="68"/>
  <c r="HG57" i="68"/>
  <c r="HE57" i="68"/>
  <c r="HD57" i="68"/>
  <c r="HC57" i="68"/>
  <c r="HI56" i="68"/>
  <c r="HH56" i="68"/>
  <c r="HG56" i="68"/>
  <c r="HE56" i="68"/>
  <c r="HD56" i="68"/>
  <c r="HC56" i="68"/>
  <c r="HI55" i="68"/>
  <c r="HH55" i="68"/>
  <c r="HG55" i="68"/>
  <c r="HE55" i="68"/>
  <c r="HD55" i="68"/>
  <c r="HC55" i="68"/>
  <c r="HI54" i="68"/>
  <c r="HH54" i="68"/>
  <c r="HG54" i="68"/>
  <c r="HE54" i="68"/>
  <c r="HD54" i="68"/>
  <c r="HC54" i="68"/>
  <c r="HI53" i="68"/>
  <c r="HH53" i="68"/>
  <c r="HG53" i="68"/>
  <c r="HE53" i="68"/>
  <c r="HD53" i="68"/>
  <c r="HC53" i="68"/>
  <c r="HI52" i="68"/>
  <c r="HH52" i="68"/>
  <c r="HG52" i="68"/>
  <c r="HE52" i="68"/>
  <c r="HD52" i="68"/>
  <c r="HC52" i="68"/>
  <c r="HI51" i="68"/>
  <c r="HH51" i="68"/>
  <c r="HG51" i="68"/>
  <c r="HE51" i="68"/>
  <c r="HD51" i="68"/>
  <c r="HC51" i="68"/>
  <c r="HI50" i="68"/>
  <c r="HH50" i="68"/>
  <c r="HG50" i="68"/>
  <c r="HE50" i="68"/>
  <c r="HD50" i="68"/>
  <c r="HC50" i="68"/>
  <c r="HI49" i="68"/>
  <c r="HH49" i="68"/>
  <c r="HG49" i="68"/>
  <c r="HE49" i="68"/>
  <c r="HD49" i="68"/>
  <c r="HC49" i="68"/>
  <c r="HI48" i="68"/>
  <c r="HH48" i="68"/>
  <c r="HG48" i="68"/>
  <c r="HE48" i="68"/>
  <c r="HD48" i="68"/>
  <c r="HC48" i="68"/>
  <c r="HI47" i="68"/>
  <c r="HH47" i="68"/>
  <c r="HG47" i="68"/>
  <c r="HE47" i="68"/>
  <c r="HD47" i="68"/>
  <c r="HC47" i="68"/>
  <c r="HI46" i="68"/>
  <c r="HH46" i="68"/>
  <c r="HG46" i="68"/>
  <c r="HE46" i="68"/>
  <c r="HD46" i="68"/>
  <c r="HC46" i="68"/>
  <c r="HI45" i="68"/>
  <c r="HH45" i="68"/>
  <c r="HG45" i="68"/>
  <c r="HE45" i="68"/>
  <c r="HD45" i="68"/>
  <c r="HC45" i="68"/>
  <c r="HI44" i="68"/>
  <c r="HH44" i="68"/>
  <c r="HG44" i="68"/>
  <c r="HE44" i="68"/>
  <c r="HD44" i="68"/>
  <c r="HC44" i="68"/>
  <c r="HI43" i="68"/>
  <c r="HH43" i="68"/>
  <c r="HG43" i="68"/>
  <c r="HE43" i="68"/>
  <c r="HD43" i="68"/>
  <c r="HC43" i="68"/>
  <c r="HI42" i="68"/>
  <c r="HH42" i="68"/>
  <c r="HG42" i="68"/>
  <c r="HE42" i="68"/>
  <c r="HD42" i="68"/>
  <c r="HC42" i="68"/>
  <c r="HI41" i="68"/>
  <c r="HH41" i="68"/>
  <c r="HG41" i="68"/>
  <c r="HE41" i="68"/>
  <c r="HD41" i="68"/>
  <c r="HC41" i="68"/>
  <c r="HI40" i="68"/>
  <c r="HH40" i="68"/>
  <c r="HG40" i="68"/>
  <c r="HE40" i="68"/>
  <c r="HD40" i="68"/>
  <c r="HC40" i="68"/>
  <c r="HI39" i="68"/>
  <c r="HH39" i="68"/>
  <c r="HG39" i="68"/>
  <c r="HE39" i="68"/>
  <c r="HD39" i="68"/>
  <c r="HC39" i="68"/>
  <c r="HI38" i="68"/>
  <c r="HH38" i="68"/>
  <c r="HG38" i="68"/>
  <c r="HE38" i="68"/>
  <c r="HD38" i="68"/>
  <c r="HC38" i="68"/>
  <c r="HI37" i="68"/>
  <c r="HH37" i="68"/>
  <c r="HG37" i="68"/>
  <c r="HE37" i="68"/>
  <c r="HD37" i="68"/>
  <c r="HC37" i="68"/>
  <c r="HI36" i="68"/>
  <c r="HH36" i="68"/>
  <c r="HG36" i="68"/>
  <c r="HE36" i="68"/>
  <c r="HD36" i="68"/>
  <c r="HC36" i="68"/>
  <c r="HI35" i="68"/>
  <c r="HH35" i="68"/>
  <c r="HG35" i="68"/>
  <c r="HE35" i="68"/>
  <c r="HD35" i="68"/>
  <c r="HC35" i="68"/>
  <c r="HI34" i="68"/>
  <c r="HH34" i="68"/>
  <c r="HG34" i="68"/>
  <c r="HE34" i="68"/>
  <c r="HD34" i="68"/>
  <c r="HC34" i="68"/>
  <c r="HI33" i="68"/>
  <c r="HH33" i="68"/>
  <c r="HG33" i="68"/>
  <c r="HE33" i="68"/>
  <c r="HD33" i="68"/>
  <c r="HC33" i="68"/>
  <c r="HI32" i="68"/>
  <c r="HH32" i="68"/>
  <c r="HG32" i="68"/>
  <c r="HE32" i="68"/>
  <c r="HD32" i="68"/>
  <c r="HC32" i="68"/>
  <c r="HI31" i="68"/>
  <c r="HH31" i="68"/>
  <c r="HG31" i="68"/>
  <c r="HE31" i="68"/>
  <c r="HD31" i="68"/>
  <c r="HC31" i="68"/>
  <c r="HI30" i="68"/>
  <c r="HH30" i="68"/>
  <c r="HG30" i="68"/>
  <c r="HE30" i="68"/>
  <c r="HD30" i="68"/>
  <c r="HC30" i="68"/>
  <c r="HI29" i="68"/>
  <c r="HH29" i="68"/>
  <c r="HG29" i="68"/>
  <c r="HE29" i="68"/>
  <c r="HD29" i="68"/>
  <c r="HC29" i="68"/>
  <c r="HI28" i="68"/>
  <c r="HH28" i="68"/>
  <c r="HG28" i="68"/>
  <c r="HE28" i="68"/>
  <c r="HD28" i="68"/>
  <c r="HC28" i="68"/>
  <c r="HI27" i="68"/>
  <c r="HH27" i="68"/>
  <c r="HG27" i="68"/>
  <c r="HE27" i="68"/>
  <c r="HD27" i="68"/>
  <c r="HC27" i="68"/>
  <c r="HI26" i="68"/>
  <c r="HH26" i="68"/>
  <c r="HG26" i="68"/>
  <c r="HE26" i="68"/>
  <c r="HD26" i="68"/>
  <c r="HC26" i="68"/>
  <c r="HI25" i="68"/>
  <c r="HH25" i="68"/>
  <c r="HG25" i="68"/>
  <c r="HE25" i="68"/>
  <c r="HD25" i="68"/>
  <c r="HC25" i="68"/>
  <c r="HI24" i="68"/>
  <c r="HH24" i="68"/>
  <c r="HG24" i="68"/>
  <c r="HE24" i="68"/>
  <c r="HD24" i="68"/>
  <c r="HC24" i="68"/>
  <c r="HI23" i="68"/>
  <c r="HH23" i="68"/>
  <c r="HG23" i="68"/>
  <c r="HE23" i="68"/>
  <c r="HD23" i="68"/>
  <c r="HC23" i="68"/>
  <c r="HI22" i="68"/>
  <c r="HH22" i="68"/>
  <c r="HG22" i="68"/>
  <c r="HE22" i="68"/>
  <c r="HD22" i="68"/>
  <c r="HC22" i="68"/>
  <c r="HI21" i="68"/>
  <c r="HH21" i="68"/>
  <c r="HG21" i="68"/>
  <c r="HE21" i="68"/>
  <c r="HD21" i="68"/>
  <c r="HC21" i="68"/>
  <c r="HI20" i="68"/>
  <c r="HH20" i="68"/>
  <c r="HG20" i="68"/>
  <c r="HE20" i="68"/>
  <c r="HD20" i="68"/>
  <c r="HC20" i="68"/>
  <c r="HI19" i="68"/>
  <c r="HH19" i="68"/>
  <c r="HG19" i="68"/>
  <c r="HE19" i="68"/>
  <c r="HD19" i="68"/>
  <c r="HC19" i="68"/>
  <c r="HI18" i="68"/>
  <c r="HH18" i="68"/>
  <c r="HG18" i="68"/>
  <c r="HE18" i="68"/>
  <c r="HD18" i="68"/>
  <c r="HC18" i="68"/>
  <c r="HI17" i="68"/>
  <c r="HH17" i="68"/>
  <c r="HG17" i="68"/>
  <c r="HE17" i="68"/>
  <c r="HD17" i="68"/>
  <c r="HC17" i="68"/>
  <c r="GZ6" i="68"/>
  <c r="GV6" i="68"/>
  <c r="GR6" i="68"/>
  <c r="GN6" i="68"/>
  <c r="GJ6" i="68"/>
  <c r="GF6" i="68"/>
  <c r="GB6" i="68"/>
  <c r="FX6" i="68"/>
  <c r="FT6" i="68"/>
  <c r="FP6" i="68"/>
  <c r="FL6" i="68"/>
  <c r="FH6" i="68"/>
  <c r="FD6" i="68"/>
  <c r="EZ6" i="68"/>
  <c r="EV6" i="68"/>
  <c r="ER6" i="68"/>
  <c r="EN6" i="68"/>
  <c r="EJ6" i="68"/>
  <c r="EF6" i="68"/>
  <c r="EB6" i="68"/>
  <c r="DX6" i="68"/>
  <c r="DT6" i="68"/>
  <c r="DP6" i="68"/>
  <c r="DL6" i="68"/>
  <c r="DH6" i="68"/>
  <c r="DD6" i="68"/>
  <c r="CZ6" i="68"/>
  <c r="CV6" i="68"/>
  <c r="CR6" i="68"/>
  <c r="CN6" i="68"/>
  <c r="CJ6" i="68"/>
  <c r="CF6" i="68"/>
  <c r="CB6" i="68"/>
  <c r="BX6" i="68"/>
  <c r="BT6" i="68"/>
  <c r="BP6" i="68"/>
  <c r="BL6" i="68"/>
  <c r="BH6" i="68"/>
  <c r="BD6" i="68"/>
  <c r="AZ6" i="68"/>
  <c r="AV6" i="68"/>
  <c r="AR6" i="68"/>
  <c r="AN6" i="68"/>
  <c r="AJ6" i="68"/>
  <c r="AF6" i="68"/>
  <c r="AB6" i="68"/>
  <c r="X6" i="68"/>
  <c r="T6" i="68"/>
  <c r="P6" i="68"/>
  <c r="L6" i="68"/>
  <c r="C354" i="71" l="1"/>
  <c r="G354" i="71" s="1"/>
  <c r="C353" i="71"/>
  <c r="U318" i="73"/>
  <c r="T318" i="73"/>
  <c r="G355" i="71"/>
  <c r="D4" i="72" s="1"/>
  <c r="V318" i="73"/>
  <c r="W111" i="72"/>
  <c r="W116" i="72" s="1"/>
  <c r="U111" i="72"/>
  <c r="U116" i="72" s="1"/>
  <c r="V111" i="72"/>
  <c r="V116" i="72" s="1"/>
  <c r="T111" i="72"/>
  <c r="T116" i="72" s="1"/>
  <c r="Q340" i="72"/>
  <c r="Q343" i="72" s="1"/>
  <c r="Q344" i="72" s="1"/>
  <c r="M340" i="72"/>
  <c r="M343" i="72" s="1"/>
  <c r="M344" i="72" s="1"/>
  <c r="M97" i="72" s="1"/>
  <c r="Y340" i="72"/>
  <c r="Y343" i="72" s="1"/>
  <c r="Y344" i="72" s="1"/>
  <c r="Y97" i="72" s="1"/>
  <c r="U340" i="72"/>
  <c r="U343" i="72" s="1"/>
  <c r="U344" i="72" s="1"/>
  <c r="U97" i="72" s="1"/>
  <c r="N340" i="72"/>
  <c r="N343" i="72" s="1"/>
  <c r="N344" i="72" s="1"/>
  <c r="N97" i="72" s="1"/>
  <c r="R340" i="72"/>
  <c r="R343" i="72" s="1"/>
  <c r="R344" i="72" s="1"/>
  <c r="Z340" i="72"/>
  <c r="Z343" i="72" s="1"/>
  <c r="Z344" i="72" s="1"/>
  <c r="V340" i="72"/>
  <c r="V343" i="72" s="1"/>
  <c r="V344" i="72" s="1"/>
  <c r="S340" i="72"/>
  <c r="S343" i="72" s="1"/>
  <c r="S344" i="72" s="1"/>
  <c r="O340" i="72"/>
  <c r="O343" i="72" s="1"/>
  <c r="O344" i="72" s="1"/>
  <c r="W340" i="72"/>
  <c r="W343" i="72" s="1"/>
  <c r="W344" i="72" s="1"/>
  <c r="W97" i="72" s="1"/>
  <c r="AA340" i="72"/>
  <c r="AA343" i="72" s="1"/>
  <c r="AA344" i="72" s="1"/>
  <c r="L340" i="72"/>
  <c r="L343" i="72" s="1"/>
  <c r="L344" i="72" s="1"/>
  <c r="L97" i="72" s="1"/>
  <c r="P340" i="72"/>
  <c r="P343" i="72" s="1"/>
  <c r="P344" i="72" s="1"/>
  <c r="X340" i="72"/>
  <c r="X343" i="72" s="1"/>
  <c r="X344" i="72" s="1"/>
  <c r="X97" i="72" s="1"/>
  <c r="T340" i="72"/>
  <c r="T343" i="72" s="1"/>
  <c r="T344" i="72" s="1"/>
  <c r="T97" i="72" s="1"/>
  <c r="Q251" i="72"/>
  <c r="Q254" i="72" s="1"/>
  <c r="Q255" i="72" s="1"/>
  <c r="M251" i="72"/>
  <c r="M254" i="72" s="1"/>
  <c r="M255" i="72" s="1"/>
  <c r="R251" i="72"/>
  <c r="R254" i="72" s="1"/>
  <c r="R255" i="72" s="1"/>
  <c r="N251" i="72"/>
  <c r="N254" i="72" s="1"/>
  <c r="N255" i="72" s="1"/>
  <c r="Z251" i="72"/>
  <c r="Z254" i="72" s="1"/>
  <c r="Z255" i="72" s="1"/>
  <c r="V251" i="72"/>
  <c r="V254" i="72" s="1"/>
  <c r="V255" i="72" s="1"/>
  <c r="S251" i="72"/>
  <c r="S254" i="72" s="1"/>
  <c r="S255" i="72" s="1"/>
  <c r="O251" i="72"/>
  <c r="O254" i="72" s="1"/>
  <c r="O255" i="72" s="1"/>
  <c r="AA251" i="72"/>
  <c r="AA254" i="72" s="1"/>
  <c r="AA255" i="72" s="1"/>
  <c r="W251" i="72"/>
  <c r="W254" i="72" s="1"/>
  <c r="W255" i="72" s="1"/>
  <c r="X251" i="72"/>
  <c r="X254" i="72" s="1"/>
  <c r="X255" i="72" s="1"/>
  <c r="T251" i="72"/>
  <c r="T254" i="72" s="1"/>
  <c r="T255" i="72" s="1"/>
  <c r="Y251" i="72"/>
  <c r="Y254" i="72" s="1"/>
  <c r="Y255" i="72" s="1"/>
  <c r="U251" i="72"/>
  <c r="U254" i="72" s="1"/>
  <c r="U255" i="72" s="1"/>
  <c r="P251" i="72"/>
  <c r="P254" i="72" s="1"/>
  <c r="P255" i="72" s="1"/>
  <c r="L251" i="72"/>
  <c r="L254" i="72" s="1"/>
  <c r="L255" i="72" s="1"/>
  <c r="V161" i="72"/>
  <c r="W161" i="72"/>
  <c r="T161" i="72"/>
  <c r="U161" i="72"/>
  <c r="R158" i="72"/>
  <c r="R160" i="72" s="1"/>
  <c r="R162" i="72" s="1"/>
  <c r="N158" i="72"/>
  <c r="N160" i="72" s="1"/>
  <c r="N162" i="72" s="1"/>
  <c r="S158" i="72"/>
  <c r="S160" i="72" s="1"/>
  <c r="S162" i="72" s="1"/>
  <c r="O158" i="72"/>
  <c r="O160" i="72" s="1"/>
  <c r="O162" i="72" s="1"/>
  <c r="P158" i="72"/>
  <c r="P160" i="72" s="1"/>
  <c r="P162" i="72" s="1"/>
  <c r="L158" i="72"/>
  <c r="L160" i="72" s="1"/>
  <c r="L162" i="72" s="1"/>
  <c r="Q158" i="72"/>
  <c r="Q160" i="72" s="1"/>
  <c r="Q162" i="72" s="1"/>
  <c r="M158" i="72"/>
  <c r="M160" i="72" s="1"/>
  <c r="M162" i="72" s="1"/>
  <c r="R91" i="72"/>
  <c r="R94" i="72" s="1"/>
  <c r="Z91" i="72"/>
  <c r="Z94" i="72" s="1"/>
  <c r="V91" i="72"/>
  <c r="S91" i="72"/>
  <c r="S94" i="72" s="1"/>
  <c r="O91" i="72"/>
  <c r="O94" i="72" s="1"/>
  <c r="AA91" i="72"/>
  <c r="AA94" i="72" s="1"/>
  <c r="W91" i="72"/>
  <c r="P91" i="72"/>
  <c r="L91" i="72"/>
  <c r="L94" i="72" s="1"/>
  <c r="X91" i="72"/>
  <c r="X94" i="72" s="1"/>
  <c r="T91" i="72"/>
  <c r="Q91" i="72"/>
  <c r="Q94" i="72" s="1"/>
  <c r="N91" i="72"/>
  <c r="N94" i="72" s="1"/>
  <c r="M91" i="72"/>
  <c r="M94" i="72" s="1"/>
  <c r="Y91" i="72"/>
  <c r="Y94" i="72" s="1"/>
  <c r="U91" i="72"/>
  <c r="W273" i="73"/>
  <c r="W318" i="73"/>
  <c r="U273" i="73"/>
  <c r="V273" i="73"/>
  <c r="T273" i="73"/>
  <c r="P404" i="73"/>
  <c r="L404" i="73"/>
  <c r="Q371" i="73"/>
  <c r="M371" i="73"/>
  <c r="Q405" i="73"/>
  <c r="M405" i="73"/>
  <c r="Y177" i="73"/>
  <c r="Y201" i="73" s="1"/>
  <c r="U177" i="73"/>
  <c r="U201" i="73" s="1"/>
  <c r="U225" i="73" s="1"/>
  <c r="N403" i="73"/>
  <c r="R403" i="73"/>
  <c r="R372" i="73"/>
  <c r="N372" i="73"/>
  <c r="Z67" i="73"/>
  <c r="Z91" i="73" s="1"/>
  <c r="V67" i="73"/>
  <c r="V91" i="73" s="1"/>
  <c r="V114" i="73" s="1"/>
  <c r="S145" i="73"/>
  <c r="S198" i="73" s="1"/>
  <c r="O145" i="73"/>
  <c r="O198" i="73" s="1"/>
  <c r="S282" i="73"/>
  <c r="S294" i="73" s="1"/>
  <c r="O282" i="73"/>
  <c r="O294" i="73" s="1"/>
  <c r="W402" i="73"/>
  <c r="AA402" i="73"/>
  <c r="S167" i="73"/>
  <c r="O167" i="73"/>
  <c r="S59" i="73"/>
  <c r="O59" i="73"/>
  <c r="S289" i="73"/>
  <c r="S295" i="73" s="1"/>
  <c r="S317" i="73" s="1"/>
  <c r="O289" i="73"/>
  <c r="O295" i="73" s="1"/>
  <c r="O317" i="73" s="1"/>
  <c r="T58" i="73"/>
  <c r="X58" i="73"/>
  <c r="T169" i="73"/>
  <c r="X169" i="73"/>
  <c r="P67" i="73"/>
  <c r="P91" i="73" s="1"/>
  <c r="P114" i="73" s="1"/>
  <c r="L67" i="73"/>
  <c r="L91" i="73" s="1"/>
  <c r="L114" i="73" s="1"/>
  <c r="M35" i="73"/>
  <c r="M88" i="73" s="1"/>
  <c r="Q35" i="73"/>
  <c r="Q88" i="73" s="1"/>
  <c r="U167" i="73"/>
  <c r="Y167" i="73"/>
  <c r="Y59" i="73"/>
  <c r="U59" i="73"/>
  <c r="V57" i="73"/>
  <c r="Z57" i="73"/>
  <c r="Z168" i="73"/>
  <c r="V168" i="73"/>
  <c r="R177" i="73"/>
  <c r="R201" i="73" s="1"/>
  <c r="R225" i="73" s="1"/>
  <c r="N177" i="73"/>
  <c r="N201" i="73" s="1"/>
  <c r="N225" i="73" s="1"/>
  <c r="O403" i="73"/>
  <c r="S403" i="73"/>
  <c r="S372" i="73"/>
  <c r="O372" i="73"/>
  <c r="AA67" i="73"/>
  <c r="AA91" i="73" s="1"/>
  <c r="W67" i="73"/>
  <c r="W91" i="73" s="1"/>
  <c r="W114" i="73" s="1"/>
  <c r="P35" i="73"/>
  <c r="P88" i="73" s="1"/>
  <c r="L35" i="73"/>
  <c r="L88" i="73" s="1"/>
  <c r="P370" i="73"/>
  <c r="L370" i="73"/>
  <c r="X371" i="73"/>
  <c r="T371" i="73"/>
  <c r="X405" i="73"/>
  <c r="T405" i="73"/>
  <c r="Q348" i="73"/>
  <c r="M348" i="73"/>
  <c r="U403" i="73"/>
  <c r="Y403" i="73"/>
  <c r="Y372" i="73"/>
  <c r="U372" i="73"/>
  <c r="V145" i="73"/>
  <c r="V198" i="73" s="1"/>
  <c r="Z145" i="73"/>
  <c r="Z198" i="73" s="1"/>
  <c r="Z35" i="73"/>
  <c r="Z88" i="73" s="1"/>
  <c r="V35" i="73"/>
  <c r="V88" i="73" s="1"/>
  <c r="R402" i="73"/>
  <c r="N402" i="73"/>
  <c r="V370" i="73"/>
  <c r="Z370" i="73"/>
  <c r="V404" i="73"/>
  <c r="Z404" i="73"/>
  <c r="W57" i="73"/>
  <c r="AA57" i="73"/>
  <c r="AA168" i="73"/>
  <c r="W168" i="73"/>
  <c r="S177" i="73"/>
  <c r="S201" i="73" s="1"/>
  <c r="S225" i="73" s="1"/>
  <c r="O177" i="73"/>
  <c r="O201" i="73" s="1"/>
  <c r="O225" i="73" s="1"/>
  <c r="P402" i="73"/>
  <c r="L402" i="73"/>
  <c r="T403" i="73"/>
  <c r="X403" i="73"/>
  <c r="P145" i="73"/>
  <c r="P198" i="73" s="1"/>
  <c r="L145" i="73"/>
  <c r="L198" i="73" s="1"/>
  <c r="L282" i="73"/>
  <c r="L294" i="73" s="1"/>
  <c r="P282" i="73"/>
  <c r="P294" i="73" s="1"/>
  <c r="T402" i="73"/>
  <c r="X402" i="73"/>
  <c r="L167" i="73"/>
  <c r="P167" i="73"/>
  <c r="P59" i="73"/>
  <c r="L59" i="73"/>
  <c r="L289" i="73"/>
  <c r="L295" i="73" s="1"/>
  <c r="L317" i="73" s="1"/>
  <c r="P289" i="73"/>
  <c r="P295" i="73" s="1"/>
  <c r="P317" i="73" s="1"/>
  <c r="Q57" i="73"/>
  <c r="M57" i="73"/>
  <c r="M168" i="73"/>
  <c r="Q168" i="73"/>
  <c r="Q244" i="73"/>
  <c r="Q250" i="73" s="1"/>
  <c r="Q272" i="73" s="1"/>
  <c r="M244" i="73"/>
  <c r="M250" i="73" s="1"/>
  <c r="M272" i="73" s="1"/>
  <c r="N237" i="73"/>
  <c r="N249" i="73" s="1"/>
  <c r="R237" i="73"/>
  <c r="R249" i="73" s="1"/>
  <c r="V348" i="73"/>
  <c r="Z348" i="73"/>
  <c r="N58" i="73"/>
  <c r="R58" i="73"/>
  <c r="R169" i="73"/>
  <c r="N169" i="73"/>
  <c r="W145" i="73"/>
  <c r="W198" i="73" s="1"/>
  <c r="AA145" i="73"/>
  <c r="AA198" i="73" s="1"/>
  <c r="AA35" i="73"/>
  <c r="AA88" i="73" s="1"/>
  <c r="W35" i="73"/>
  <c r="W88" i="73" s="1"/>
  <c r="S402" i="73"/>
  <c r="O402" i="73"/>
  <c r="W370" i="73"/>
  <c r="AA370" i="73"/>
  <c r="W404" i="73"/>
  <c r="AA404" i="73"/>
  <c r="P348" i="73"/>
  <c r="L348" i="73"/>
  <c r="P403" i="73"/>
  <c r="L403" i="73"/>
  <c r="L372" i="73"/>
  <c r="P372" i="73"/>
  <c r="T67" i="73"/>
  <c r="T91" i="73" s="1"/>
  <c r="T114" i="73" s="1"/>
  <c r="X67" i="73"/>
  <c r="X91" i="73" s="1"/>
  <c r="Q370" i="73"/>
  <c r="M370" i="73"/>
  <c r="Q404" i="73"/>
  <c r="M404" i="73"/>
  <c r="N371" i="73"/>
  <c r="R371" i="73"/>
  <c r="R405" i="73"/>
  <c r="N405" i="73"/>
  <c r="V177" i="73"/>
  <c r="V201" i="73" s="1"/>
  <c r="V225" i="73" s="1"/>
  <c r="Z177" i="73"/>
  <c r="Z201" i="73" s="1"/>
  <c r="S237" i="73"/>
  <c r="S249" i="73" s="1"/>
  <c r="O237" i="73"/>
  <c r="O249" i="73" s="1"/>
  <c r="W348" i="73"/>
  <c r="AA348" i="73"/>
  <c r="S58" i="73"/>
  <c r="O58" i="73"/>
  <c r="S169" i="73"/>
  <c r="O169" i="73"/>
  <c r="X57" i="73"/>
  <c r="T57" i="73"/>
  <c r="T168" i="73"/>
  <c r="X168" i="73"/>
  <c r="P177" i="73"/>
  <c r="P201" i="73" s="1"/>
  <c r="P225" i="73" s="1"/>
  <c r="L177" i="73"/>
  <c r="L201" i="73" s="1"/>
  <c r="L225" i="73" s="1"/>
  <c r="Y58" i="73"/>
  <c r="U58" i="73"/>
  <c r="U169" i="73"/>
  <c r="Y169" i="73"/>
  <c r="Q67" i="73"/>
  <c r="Q91" i="73" s="1"/>
  <c r="Q114" i="73" s="1"/>
  <c r="M67" i="73"/>
  <c r="M91" i="73" s="1"/>
  <c r="M114" i="73" s="1"/>
  <c r="N35" i="73"/>
  <c r="N88" i="73" s="1"/>
  <c r="R35" i="73"/>
  <c r="R88" i="73" s="1"/>
  <c r="V167" i="73"/>
  <c r="Z167" i="73"/>
  <c r="Z59" i="73"/>
  <c r="V59" i="73"/>
  <c r="O371" i="73"/>
  <c r="S371" i="73"/>
  <c r="S405" i="73"/>
  <c r="O405" i="73"/>
  <c r="AA177" i="73"/>
  <c r="AA201" i="73" s="1"/>
  <c r="W177" i="73"/>
  <c r="W201" i="73" s="1"/>
  <c r="W225" i="73" s="1"/>
  <c r="T35" i="73"/>
  <c r="T88" i="73" s="1"/>
  <c r="X35" i="73"/>
  <c r="X88" i="73" s="1"/>
  <c r="U371" i="73"/>
  <c r="Y371" i="73"/>
  <c r="Y405" i="73"/>
  <c r="U405" i="73"/>
  <c r="N348" i="73"/>
  <c r="R348" i="73"/>
  <c r="Z403" i="73"/>
  <c r="V403" i="73"/>
  <c r="Z372" i="73"/>
  <c r="V372" i="73"/>
  <c r="O35" i="73"/>
  <c r="O88" i="73" s="1"/>
  <c r="S35" i="73"/>
  <c r="S88" i="73" s="1"/>
  <c r="AA167" i="73"/>
  <c r="W167" i="73"/>
  <c r="AA59" i="73"/>
  <c r="W59" i="73"/>
  <c r="L237" i="73"/>
  <c r="L249" i="73" s="1"/>
  <c r="P237" i="73"/>
  <c r="P249" i="73" s="1"/>
  <c r="X348" i="73"/>
  <c r="T348" i="73"/>
  <c r="L58" i="73"/>
  <c r="P58" i="73"/>
  <c r="L169" i="73"/>
  <c r="P169" i="73"/>
  <c r="M145" i="73"/>
  <c r="M198" i="73" s="1"/>
  <c r="Q145" i="73"/>
  <c r="Q198" i="73" s="1"/>
  <c r="M282" i="73"/>
  <c r="M294" i="73" s="1"/>
  <c r="Q282" i="73"/>
  <c r="Q294" i="73" s="1"/>
  <c r="Y402" i="73"/>
  <c r="U402" i="73"/>
  <c r="Q167" i="73"/>
  <c r="M167" i="73"/>
  <c r="M59" i="73"/>
  <c r="Q59" i="73"/>
  <c r="M289" i="73"/>
  <c r="M295" i="73" s="1"/>
  <c r="M317" i="73" s="1"/>
  <c r="Q289" i="73"/>
  <c r="Q295" i="73" s="1"/>
  <c r="Q317" i="73" s="1"/>
  <c r="N57" i="73"/>
  <c r="R57" i="73"/>
  <c r="R168" i="73"/>
  <c r="N168" i="73"/>
  <c r="R244" i="73"/>
  <c r="R250" i="73" s="1"/>
  <c r="R272" i="73" s="1"/>
  <c r="N244" i="73"/>
  <c r="N250" i="73" s="1"/>
  <c r="N272" i="73" s="1"/>
  <c r="O348" i="73"/>
  <c r="S348" i="73"/>
  <c r="AA403" i="73"/>
  <c r="W403" i="73"/>
  <c r="W372" i="73"/>
  <c r="AA372" i="73"/>
  <c r="P371" i="73"/>
  <c r="L371" i="73"/>
  <c r="P405" i="73"/>
  <c r="L405" i="73"/>
  <c r="T177" i="73"/>
  <c r="T201" i="73" s="1"/>
  <c r="T225" i="73" s="1"/>
  <c r="X177" i="73"/>
  <c r="X201" i="73" s="1"/>
  <c r="Q403" i="73"/>
  <c r="M403" i="73"/>
  <c r="Q372" i="73"/>
  <c r="M372" i="73"/>
  <c r="U67" i="73"/>
  <c r="U91" i="73" s="1"/>
  <c r="U114" i="73" s="1"/>
  <c r="Y67" i="73"/>
  <c r="Y91" i="73" s="1"/>
  <c r="R370" i="73"/>
  <c r="N370" i="73"/>
  <c r="R404" i="73"/>
  <c r="N404" i="73"/>
  <c r="S57" i="73"/>
  <c r="O57" i="73"/>
  <c r="O168" i="73"/>
  <c r="S168" i="73"/>
  <c r="S244" i="73"/>
  <c r="S250" i="73" s="1"/>
  <c r="S272" i="73" s="1"/>
  <c r="O244" i="73"/>
  <c r="O250" i="73" s="1"/>
  <c r="O272" i="73" s="1"/>
  <c r="T370" i="73"/>
  <c r="X370" i="73"/>
  <c r="T167" i="73"/>
  <c r="X167" i="73"/>
  <c r="U57" i="73"/>
  <c r="Y57" i="73"/>
  <c r="Y168" i="73"/>
  <c r="U168" i="73"/>
  <c r="M177" i="73"/>
  <c r="M201" i="73" s="1"/>
  <c r="M225" i="73" s="1"/>
  <c r="Q177" i="73"/>
  <c r="Q201" i="73" s="1"/>
  <c r="Q225" i="73" s="1"/>
  <c r="V58" i="73"/>
  <c r="Z58" i="73"/>
  <c r="V169" i="73"/>
  <c r="Z169" i="73"/>
  <c r="R67" i="73"/>
  <c r="R91" i="73" s="1"/>
  <c r="R114" i="73" s="1"/>
  <c r="N67" i="73"/>
  <c r="N91" i="73" s="1"/>
  <c r="N114" i="73" s="1"/>
  <c r="S370" i="73"/>
  <c r="O370" i="73"/>
  <c r="O404" i="73"/>
  <c r="S404" i="73"/>
  <c r="T59" i="73"/>
  <c r="X59" i="73"/>
  <c r="Y145" i="73"/>
  <c r="Y198" i="73" s="1"/>
  <c r="U145" i="73"/>
  <c r="U198" i="73" s="1"/>
  <c r="Y35" i="73"/>
  <c r="Y88" i="73" s="1"/>
  <c r="U35" i="73"/>
  <c r="U88" i="73" s="1"/>
  <c r="Q402" i="73"/>
  <c r="M402" i="73"/>
  <c r="U370" i="73"/>
  <c r="Y370" i="73"/>
  <c r="Y404" i="73"/>
  <c r="U404" i="73"/>
  <c r="V371" i="73"/>
  <c r="Z371" i="73"/>
  <c r="Z405" i="73"/>
  <c r="V405" i="73"/>
  <c r="AA58" i="73"/>
  <c r="W58" i="73"/>
  <c r="AA169" i="73"/>
  <c r="W169" i="73"/>
  <c r="S67" i="73"/>
  <c r="S91" i="73" s="1"/>
  <c r="S114" i="73" s="1"/>
  <c r="O67" i="73"/>
  <c r="O91" i="73" s="1"/>
  <c r="O114" i="73" s="1"/>
  <c r="T145" i="73"/>
  <c r="T198" i="73" s="1"/>
  <c r="X145" i="73"/>
  <c r="X198" i="73" s="1"/>
  <c r="T404" i="73"/>
  <c r="X404" i="73"/>
  <c r="T372" i="73"/>
  <c r="X372" i="73"/>
  <c r="L57" i="73"/>
  <c r="P57" i="73"/>
  <c r="L168" i="73"/>
  <c r="P168" i="73"/>
  <c r="L244" i="73"/>
  <c r="L250" i="73" s="1"/>
  <c r="L272" i="73" s="1"/>
  <c r="P244" i="73"/>
  <c r="P250" i="73" s="1"/>
  <c r="P272" i="73" s="1"/>
  <c r="Q237" i="73"/>
  <c r="Q249" i="73" s="1"/>
  <c r="M237" i="73"/>
  <c r="M249" i="73" s="1"/>
  <c r="Y348" i="73"/>
  <c r="U348" i="73"/>
  <c r="Q58" i="73"/>
  <c r="M58" i="73"/>
  <c r="Q169" i="73"/>
  <c r="M169" i="73"/>
  <c r="R145" i="73"/>
  <c r="R198" i="73" s="1"/>
  <c r="N145" i="73"/>
  <c r="N198" i="73" s="1"/>
  <c r="R282" i="73"/>
  <c r="R294" i="73" s="1"/>
  <c r="N282" i="73"/>
  <c r="N294" i="73" s="1"/>
  <c r="Z402" i="73"/>
  <c r="V402" i="73"/>
  <c r="R167" i="73"/>
  <c r="N167" i="73"/>
  <c r="R59" i="73"/>
  <c r="N59" i="73"/>
  <c r="N289" i="73"/>
  <c r="N295" i="73" s="1"/>
  <c r="N317" i="73" s="1"/>
  <c r="R289" i="73"/>
  <c r="R295" i="73" s="1"/>
  <c r="R317" i="73" s="1"/>
  <c r="AA371" i="73"/>
  <c r="W371" i="73"/>
  <c r="AA405" i="73"/>
  <c r="W405" i="73"/>
  <c r="Q97" i="72"/>
  <c r="V166" i="72"/>
  <c r="K231" i="70"/>
  <c r="W231" i="70"/>
  <c r="R111" i="72"/>
  <c r="R116" i="72" s="1"/>
  <c r="W166" i="72"/>
  <c r="K231" i="71"/>
  <c r="W231" i="71"/>
  <c r="S111" i="72"/>
  <c r="S116" i="72" s="1"/>
  <c r="R97" i="72"/>
  <c r="Z97" i="72"/>
  <c r="V97" i="72"/>
  <c r="T166" i="72"/>
  <c r="U167" i="72" s="1"/>
  <c r="S97" i="72"/>
  <c r="O97" i="72"/>
  <c r="AA97" i="72"/>
  <c r="K231" i="68"/>
  <c r="P94" i="72"/>
  <c r="W231" i="68"/>
  <c r="P111" i="72"/>
  <c r="P116" i="72" s="1"/>
  <c r="P97" i="72"/>
  <c r="U166" i="72"/>
  <c r="K231" i="69"/>
  <c r="W231" i="69"/>
  <c r="Q111" i="72"/>
  <c r="Q116" i="72" s="1"/>
  <c r="G352" i="71"/>
  <c r="G344" i="71"/>
  <c r="G346" i="71"/>
  <c r="G345" i="71"/>
  <c r="G343" i="71"/>
  <c r="D2" i="72" s="1"/>
  <c r="G348" i="71"/>
  <c r="G350" i="71"/>
  <c r="G349" i="71"/>
  <c r="AQ231" i="70"/>
  <c r="AQ232" i="70" s="1"/>
  <c r="AS232" i="70" s="1"/>
  <c r="EI231" i="70"/>
  <c r="EI232" i="70" s="1"/>
  <c r="EK232" i="70" s="1"/>
  <c r="GU231" i="71"/>
  <c r="GU232" i="71" s="1"/>
  <c r="GW232" i="71" s="1"/>
  <c r="AQ231" i="68"/>
  <c r="AQ232" i="68" s="1"/>
  <c r="AS232" i="68" s="1"/>
  <c r="DC231" i="71"/>
  <c r="DC232" i="71" s="1"/>
  <c r="DE232" i="71" s="1"/>
  <c r="EI231" i="68"/>
  <c r="EI232" i="68" s="1"/>
  <c r="EK232" i="68" s="1"/>
  <c r="GU231" i="69"/>
  <c r="GU232" i="69" s="1"/>
  <c r="GW232" i="69" s="1"/>
  <c r="X24" i="76"/>
  <c r="AD23" i="76"/>
  <c r="AA23" i="76" s="1"/>
  <c r="AC23" i="76"/>
  <c r="Z23" i="76" s="1"/>
  <c r="AB23" i="76"/>
  <c r="Y23" i="76" s="1"/>
  <c r="DC231" i="69"/>
  <c r="DC232" i="69" s="1"/>
  <c r="DE232" i="69" s="1"/>
  <c r="BW231" i="69"/>
  <c r="BW232" i="69" s="1"/>
  <c r="BY232" i="69" s="1"/>
  <c r="GU231" i="68"/>
  <c r="GU232" i="68" s="1"/>
  <c r="GW232" i="68" s="1"/>
  <c r="FO231" i="69"/>
  <c r="FO232" i="69" s="1"/>
  <c r="FQ232" i="69" s="1"/>
  <c r="DC231" i="68"/>
  <c r="DC232" i="68" s="1"/>
  <c r="DE232" i="68" s="1"/>
  <c r="BW231" i="71"/>
  <c r="BW232" i="71" s="1"/>
  <c r="BY232" i="71" s="1"/>
  <c r="FO231" i="71"/>
  <c r="FO232" i="71" s="1"/>
  <c r="FQ232" i="71" s="1"/>
  <c r="DC231" i="70"/>
  <c r="DC232" i="70" s="1"/>
  <c r="DE232" i="70" s="1"/>
  <c r="GU231" i="70"/>
  <c r="GU232" i="70" s="1"/>
  <c r="GW232" i="70" s="1"/>
  <c r="AQ231" i="69"/>
  <c r="AQ232" i="69" s="1"/>
  <c r="AS232" i="69" s="1"/>
  <c r="EI231" i="69"/>
  <c r="EI232" i="69" s="1"/>
  <c r="EK232" i="69" s="1"/>
  <c r="AQ231" i="71"/>
  <c r="AQ232" i="71" s="1"/>
  <c r="AS232" i="71" s="1"/>
  <c r="EI231" i="71"/>
  <c r="EI232" i="71" s="1"/>
  <c r="EK232" i="71" s="1"/>
  <c r="BW231" i="68"/>
  <c r="BW232" i="68" s="1"/>
  <c r="BY232" i="68" s="1"/>
  <c r="FO231" i="68"/>
  <c r="FO232" i="68" s="1"/>
  <c r="FQ232" i="68" s="1"/>
  <c r="BW231" i="70"/>
  <c r="BW232" i="70" s="1"/>
  <c r="BY232" i="70" s="1"/>
  <c r="FO231" i="70"/>
  <c r="FO232" i="70" s="1"/>
  <c r="FQ232" i="70" s="1"/>
  <c r="G342" i="71"/>
  <c r="G351" i="71"/>
  <c r="S231" i="71"/>
  <c r="S232" i="71" s="1"/>
  <c r="U232" i="71" s="1"/>
  <c r="AY231" i="71"/>
  <c r="AY232" i="71" s="1"/>
  <c r="BA232" i="71" s="1"/>
  <c r="CE231" i="71"/>
  <c r="CE232" i="71" s="1"/>
  <c r="CG232" i="71" s="1"/>
  <c r="DK231" i="71"/>
  <c r="DK232" i="71" s="1"/>
  <c r="DM232" i="71" s="1"/>
  <c r="EQ231" i="71"/>
  <c r="EQ232" i="71" s="1"/>
  <c r="ES232" i="71" s="1"/>
  <c r="FW231" i="71"/>
  <c r="FW232" i="71" s="1"/>
  <c r="FY232" i="71" s="1"/>
  <c r="O231" i="71"/>
  <c r="O232" i="71" s="1"/>
  <c r="Q232" i="71" s="1"/>
  <c r="AU231" i="71"/>
  <c r="AU232" i="71" s="1"/>
  <c r="AW232" i="71" s="1"/>
  <c r="CA231" i="71"/>
  <c r="CA232" i="71" s="1"/>
  <c r="CC232" i="71" s="1"/>
  <c r="DG231" i="71"/>
  <c r="DG232" i="71" s="1"/>
  <c r="DI232" i="71" s="1"/>
  <c r="BC231" i="70"/>
  <c r="BC232" i="70" s="1"/>
  <c r="BE232" i="70" s="1"/>
  <c r="CI231" i="70"/>
  <c r="CI232" i="70" s="1"/>
  <c r="CK232" i="70" s="1"/>
  <c r="G353" i="71"/>
  <c r="AD34" i="46"/>
  <c r="BF10" i="79" s="1"/>
  <c r="AN34" i="46"/>
  <c r="BG10" i="79" s="1"/>
  <c r="T34" i="46"/>
  <c r="BE10" i="79" s="1"/>
  <c r="AA231" i="71"/>
  <c r="AA232" i="71" s="1"/>
  <c r="AC232" i="71" s="1"/>
  <c r="BG231" i="71"/>
  <c r="BG232" i="71" s="1"/>
  <c r="BI232" i="71" s="1"/>
  <c r="CM231" i="71"/>
  <c r="CM232" i="71" s="1"/>
  <c r="CO232" i="71" s="1"/>
  <c r="DS231" i="71"/>
  <c r="DS232" i="71" s="1"/>
  <c r="DU232" i="71" s="1"/>
  <c r="EY231" i="71"/>
  <c r="EY232" i="71" s="1"/>
  <c r="FA232" i="71" s="1"/>
  <c r="GE231" i="71"/>
  <c r="GE232" i="71" s="1"/>
  <c r="GG232" i="71" s="1"/>
  <c r="DO231" i="70"/>
  <c r="DO232" i="70" s="1"/>
  <c r="DQ232" i="70" s="1"/>
  <c r="O321" i="71"/>
  <c r="G131" i="72" s="1"/>
  <c r="AE231" i="69"/>
  <c r="AE232" i="69" s="1"/>
  <c r="AG232" i="69" s="1"/>
  <c r="AM231" i="69"/>
  <c r="AM232" i="69" s="1"/>
  <c r="AO232" i="69" s="1"/>
  <c r="BK231" i="69"/>
  <c r="BK232" i="69" s="1"/>
  <c r="BM232" i="69" s="1"/>
  <c r="BS231" i="69"/>
  <c r="BS232" i="69" s="1"/>
  <c r="BU232" i="69" s="1"/>
  <c r="CQ231" i="69"/>
  <c r="CQ232" i="69" s="1"/>
  <c r="CS232" i="69" s="1"/>
  <c r="CY231" i="69"/>
  <c r="CY232" i="69" s="1"/>
  <c r="DA232" i="69" s="1"/>
  <c r="DW231" i="69"/>
  <c r="DW232" i="69" s="1"/>
  <c r="DY232" i="69" s="1"/>
  <c r="EE231" i="69"/>
  <c r="EE232" i="69" s="1"/>
  <c r="EG232" i="69" s="1"/>
  <c r="FC231" i="69"/>
  <c r="FC232" i="69" s="1"/>
  <c r="FE232" i="69" s="1"/>
  <c r="FK231" i="69"/>
  <c r="FK232" i="69" s="1"/>
  <c r="FM232" i="69" s="1"/>
  <c r="GI231" i="69"/>
  <c r="GI232" i="69" s="1"/>
  <c r="GK232" i="69" s="1"/>
  <c r="GQ231" i="69"/>
  <c r="GQ232" i="69" s="1"/>
  <c r="GS232" i="69" s="1"/>
  <c r="AE231" i="68"/>
  <c r="AE232" i="68" s="1"/>
  <c r="AG232" i="68" s="1"/>
  <c r="AM231" i="68"/>
  <c r="AM232" i="68" s="1"/>
  <c r="AO232" i="68" s="1"/>
  <c r="BK231" i="68"/>
  <c r="BK232" i="68" s="1"/>
  <c r="BM232" i="68" s="1"/>
  <c r="BS231" i="68"/>
  <c r="BS232" i="68" s="1"/>
  <c r="BU232" i="68" s="1"/>
  <c r="CQ231" i="68"/>
  <c r="CQ232" i="68" s="1"/>
  <c r="CS232" i="68" s="1"/>
  <c r="CY231" i="68"/>
  <c r="CY232" i="68" s="1"/>
  <c r="DA232" i="68" s="1"/>
  <c r="DW231" i="68"/>
  <c r="DW232" i="68" s="1"/>
  <c r="DY232" i="68" s="1"/>
  <c r="FC231" i="68"/>
  <c r="FC232" i="68" s="1"/>
  <c r="FE232" i="68" s="1"/>
  <c r="GI231" i="68"/>
  <c r="GI232" i="68" s="1"/>
  <c r="GK232" i="68" s="1"/>
  <c r="BC231" i="71"/>
  <c r="BC232" i="71" s="1"/>
  <c r="BE232" i="71" s="1"/>
  <c r="CI231" i="71"/>
  <c r="CI232" i="71" s="1"/>
  <c r="CK232" i="71" s="1"/>
  <c r="DO231" i="71"/>
  <c r="DO232" i="71" s="1"/>
  <c r="DQ232" i="71" s="1"/>
  <c r="EU231" i="71"/>
  <c r="EU232" i="71" s="1"/>
  <c r="EW232" i="71" s="1"/>
  <c r="AI231" i="71"/>
  <c r="AI232" i="71" s="1"/>
  <c r="AK232" i="71" s="1"/>
  <c r="BO231" i="71"/>
  <c r="BO232" i="71" s="1"/>
  <c r="BQ232" i="71" s="1"/>
  <c r="CU231" i="71"/>
  <c r="CU232" i="71" s="1"/>
  <c r="CW232" i="71" s="1"/>
  <c r="EA231" i="71"/>
  <c r="EA232" i="71" s="1"/>
  <c r="EC232" i="71" s="1"/>
  <c r="FG231" i="71"/>
  <c r="FG232" i="71" s="1"/>
  <c r="FI232" i="71" s="1"/>
  <c r="GM231" i="71"/>
  <c r="GM232" i="71" s="1"/>
  <c r="GO232" i="71" s="1"/>
  <c r="CA231" i="68"/>
  <c r="CA232" i="68" s="1"/>
  <c r="CC232" i="68" s="1"/>
  <c r="EE231" i="68"/>
  <c r="EE232" i="68" s="1"/>
  <c r="EG232" i="68" s="1"/>
  <c r="EM231" i="68"/>
  <c r="EM232" i="68" s="1"/>
  <c r="EO232" i="68" s="1"/>
  <c r="AU231" i="68"/>
  <c r="AU232" i="68" s="1"/>
  <c r="AW232" i="68" s="1"/>
  <c r="O231" i="68"/>
  <c r="O232" i="68" s="1"/>
  <c r="Q232" i="68" s="1"/>
  <c r="DG231" i="68"/>
  <c r="DG232" i="68" s="1"/>
  <c r="DI232" i="68" s="1"/>
  <c r="S231" i="69"/>
  <c r="S232" i="69" s="1"/>
  <c r="U232" i="69" s="1"/>
  <c r="AY231" i="69"/>
  <c r="AY232" i="69" s="1"/>
  <c r="BA232" i="69" s="1"/>
  <c r="CE231" i="69"/>
  <c r="CE232" i="69" s="1"/>
  <c r="CG232" i="69" s="1"/>
  <c r="DK231" i="69"/>
  <c r="DK232" i="69" s="1"/>
  <c r="DM232" i="69" s="1"/>
  <c r="EQ231" i="69"/>
  <c r="EQ232" i="69" s="1"/>
  <c r="ES232" i="69" s="1"/>
  <c r="FW231" i="69"/>
  <c r="FW232" i="69" s="1"/>
  <c r="FY232" i="69" s="1"/>
  <c r="O323" i="71"/>
  <c r="E136" i="72" s="1"/>
  <c r="FS231" i="68"/>
  <c r="FS232" i="68" s="1"/>
  <c r="FU232" i="68" s="1"/>
  <c r="GY231" i="68"/>
  <c r="GY232" i="68" s="1"/>
  <c r="HA232" i="68" s="1"/>
  <c r="AM231" i="70"/>
  <c r="AM232" i="70" s="1"/>
  <c r="AO232" i="70" s="1"/>
  <c r="BS231" i="70"/>
  <c r="BS232" i="70" s="1"/>
  <c r="BU232" i="70" s="1"/>
  <c r="CY231" i="70"/>
  <c r="CY232" i="70" s="1"/>
  <c r="DA232" i="70" s="1"/>
  <c r="EE231" i="70"/>
  <c r="EE232" i="70" s="1"/>
  <c r="EG232" i="70" s="1"/>
  <c r="AE231" i="71"/>
  <c r="AE232" i="71" s="1"/>
  <c r="AG232" i="71" s="1"/>
  <c r="BK231" i="71"/>
  <c r="BK232" i="71" s="1"/>
  <c r="BM232" i="71" s="1"/>
  <c r="CQ231" i="71"/>
  <c r="CQ232" i="71" s="1"/>
  <c r="CS232" i="71" s="1"/>
  <c r="GA231" i="71"/>
  <c r="GA232" i="71" s="1"/>
  <c r="GC232" i="71" s="1"/>
  <c r="CI231" i="69"/>
  <c r="CI232" i="69" s="1"/>
  <c r="CK232" i="69" s="1"/>
  <c r="BC231" i="68"/>
  <c r="BC232" i="68" s="1"/>
  <c r="BE232" i="68" s="1"/>
  <c r="S231" i="68"/>
  <c r="S232" i="68" s="1"/>
  <c r="U232" i="68" s="1"/>
  <c r="AI231" i="68"/>
  <c r="AI232" i="68" s="1"/>
  <c r="AK232" i="68" s="1"/>
  <c r="CE231" i="68"/>
  <c r="CE232" i="68" s="1"/>
  <c r="CG232" i="68" s="1"/>
  <c r="CU231" i="68"/>
  <c r="CU232" i="68" s="1"/>
  <c r="CW232" i="68" s="1"/>
  <c r="DK231" i="68"/>
  <c r="DK232" i="68" s="1"/>
  <c r="DM232" i="68" s="1"/>
  <c r="EQ231" i="68"/>
  <c r="EQ232" i="68" s="1"/>
  <c r="ES232" i="68" s="1"/>
  <c r="FG231" i="68"/>
  <c r="FG232" i="68" s="1"/>
  <c r="FI232" i="68" s="1"/>
  <c r="FW231" i="68"/>
  <c r="FW232" i="68" s="1"/>
  <c r="FY232" i="68" s="1"/>
  <c r="S231" i="70"/>
  <c r="S232" i="70" s="1"/>
  <c r="U232" i="70" s="1"/>
  <c r="AA231" i="70"/>
  <c r="AA232" i="70" s="1"/>
  <c r="AC232" i="70" s="1"/>
  <c r="AI231" i="70"/>
  <c r="AI232" i="70" s="1"/>
  <c r="AK232" i="70" s="1"/>
  <c r="AY231" i="70"/>
  <c r="AY232" i="70" s="1"/>
  <c r="BA232" i="70" s="1"/>
  <c r="BG231" i="70"/>
  <c r="BG232" i="70" s="1"/>
  <c r="BI232" i="70" s="1"/>
  <c r="BO231" i="70"/>
  <c r="BO232" i="70" s="1"/>
  <c r="BQ232" i="70" s="1"/>
  <c r="CE231" i="70"/>
  <c r="CE232" i="70" s="1"/>
  <c r="CG232" i="70" s="1"/>
  <c r="CU231" i="70"/>
  <c r="CU232" i="70" s="1"/>
  <c r="CW232" i="70" s="1"/>
  <c r="DK231" i="70"/>
  <c r="DK232" i="70" s="1"/>
  <c r="DM232" i="70" s="1"/>
  <c r="EA231" i="70"/>
  <c r="EA232" i="70" s="1"/>
  <c r="EC232" i="70" s="1"/>
  <c r="EQ231" i="70"/>
  <c r="EQ232" i="70" s="1"/>
  <c r="ES232" i="70" s="1"/>
  <c r="FG231" i="70"/>
  <c r="FG232" i="70" s="1"/>
  <c r="FI232" i="70" s="1"/>
  <c r="FW231" i="70"/>
  <c r="FW232" i="70" s="1"/>
  <c r="FY232" i="70" s="1"/>
  <c r="GM231" i="70"/>
  <c r="GM232" i="70" s="1"/>
  <c r="GO232" i="70" s="1"/>
  <c r="EU231" i="69"/>
  <c r="EU232" i="69" s="1"/>
  <c r="EW232" i="69" s="1"/>
  <c r="BC231" i="69"/>
  <c r="BC232" i="69" s="1"/>
  <c r="BE232" i="69" s="1"/>
  <c r="DO231" i="69"/>
  <c r="DO232" i="69" s="1"/>
  <c r="DQ232" i="69" s="1"/>
  <c r="CI231" i="68"/>
  <c r="CI232" i="68" s="1"/>
  <c r="CK232" i="68" s="1"/>
  <c r="GA231" i="68"/>
  <c r="GA232" i="68" s="1"/>
  <c r="GC232" i="68" s="1"/>
  <c r="EU231" i="70"/>
  <c r="EU232" i="70" s="1"/>
  <c r="EW232" i="70" s="1"/>
  <c r="FC231" i="70"/>
  <c r="FC232" i="70" s="1"/>
  <c r="FE232" i="70" s="1"/>
  <c r="FK231" i="70"/>
  <c r="FK232" i="70" s="1"/>
  <c r="FM232" i="70" s="1"/>
  <c r="GA231" i="70"/>
  <c r="GA232" i="70" s="1"/>
  <c r="GC232" i="70" s="1"/>
  <c r="EU231" i="68"/>
  <c r="EU232" i="68" s="1"/>
  <c r="EW232" i="68" s="1"/>
  <c r="DW231" i="71"/>
  <c r="DW232" i="71" s="1"/>
  <c r="DY232" i="71" s="1"/>
  <c r="EM231" i="71"/>
  <c r="EM232" i="71" s="1"/>
  <c r="EO232" i="71" s="1"/>
  <c r="FC231" i="71"/>
  <c r="FC232" i="71" s="1"/>
  <c r="FE232" i="71" s="1"/>
  <c r="FS231" i="71"/>
  <c r="FS232" i="71" s="1"/>
  <c r="FU232" i="71" s="1"/>
  <c r="GI231" i="71"/>
  <c r="GI232" i="71" s="1"/>
  <c r="GK232" i="71" s="1"/>
  <c r="GY231" i="71"/>
  <c r="GY232" i="71" s="1"/>
  <c r="HA232" i="71" s="1"/>
  <c r="GA231" i="69"/>
  <c r="GA232" i="69" s="1"/>
  <c r="GC232" i="69" s="1"/>
  <c r="DO231" i="68"/>
  <c r="DO232" i="68" s="1"/>
  <c r="DQ232" i="68" s="1"/>
  <c r="AY231" i="68"/>
  <c r="AY232" i="68" s="1"/>
  <c r="BA232" i="68" s="1"/>
  <c r="BO231" i="68"/>
  <c r="BO232" i="68" s="1"/>
  <c r="BQ232" i="68" s="1"/>
  <c r="EA231" i="68"/>
  <c r="EA232" i="68" s="1"/>
  <c r="EC232" i="68" s="1"/>
  <c r="GM231" i="68"/>
  <c r="GM232" i="68" s="1"/>
  <c r="GO232" i="68" s="1"/>
  <c r="O231" i="70"/>
  <c r="O232" i="70" s="1"/>
  <c r="Q232" i="70" s="1"/>
  <c r="AU231" i="70"/>
  <c r="AU232" i="70" s="1"/>
  <c r="AW232" i="70" s="1"/>
  <c r="CA231" i="70"/>
  <c r="CA232" i="70" s="1"/>
  <c r="CC232" i="70" s="1"/>
  <c r="DG231" i="70"/>
  <c r="DG232" i="70" s="1"/>
  <c r="DI232" i="70" s="1"/>
  <c r="EM231" i="70"/>
  <c r="EM232" i="70" s="1"/>
  <c r="EO232" i="70" s="1"/>
  <c r="FS231" i="70"/>
  <c r="FS232" i="70" s="1"/>
  <c r="FU232" i="70" s="1"/>
  <c r="GQ231" i="70"/>
  <c r="GQ232" i="70" s="1"/>
  <c r="GS232" i="70" s="1"/>
  <c r="GY231" i="70"/>
  <c r="GY232" i="70" s="1"/>
  <c r="HA232" i="70" s="1"/>
  <c r="AA231" i="68"/>
  <c r="AA232" i="68" s="1"/>
  <c r="AC232" i="68" s="1"/>
  <c r="BG231" i="68"/>
  <c r="BG232" i="68" s="1"/>
  <c r="BI232" i="68" s="1"/>
  <c r="CM231" i="68"/>
  <c r="CM232" i="68" s="1"/>
  <c r="CO232" i="68" s="1"/>
  <c r="DS231" i="68"/>
  <c r="DS232" i="68" s="1"/>
  <c r="DU232" i="68" s="1"/>
  <c r="EY231" i="68"/>
  <c r="EY232" i="68" s="1"/>
  <c r="FA232" i="68" s="1"/>
  <c r="GE231" i="68"/>
  <c r="GE232" i="68" s="1"/>
  <c r="GG232" i="68" s="1"/>
  <c r="AA231" i="69"/>
  <c r="AA232" i="69" s="1"/>
  <c r="AC232" i="69" s="1"/>
  <c r="BG231" i="69"/>
  <c r="BG232" i="69" s="1"/>
  <c r="BI232" i="69" s="1"/>
  <c r="CM231" i="69"/>
  <c r="CM232" i="69" s="1"/>
  <c r="CO232" i="69" s="1"/>
  <c r="DS231" i="69"/>
  <c r="DS232" i="69" s="1"/>
  <c r="DU232" i="69" s="1"/>
  <c r="EY231" i="69"/>
  <c r="EY232" i="69" s="1"/>
  <c r="FA232" i="69" s="1"/>
  <c r="GE231" i="69"/>
  <c r="GE232" i="69" s="1"/>
  <c r="GG232" i="69" s="1"/>
  <c r="O336" i="71"/>
  <c r="E156" i="72" s="1"/>
  <c r="AI231" i="69"/>
  <c r="AI232" i="69" s="1"/>
  <c r="AK232" i="69" s="1"/>
  <c r="BO231" i="69"/>
  <c r="BO232" i="69" s="1"/>
  <c r="BQ232" i="69" s="1"/>
  <c r="CU231" i="69"/>
  <c r="CU232" i="69" s="1"/>
  <c r="CW232" i="69" s="1"/>
  <c r="EA231" i="69"/>
  <c r="EA232" i="69" s="1"/>
  <c r="EC232" i="69" s="1"/>
  <c r="FG231" i="69"/>
  <c r="FG232" i="69" s="1"/>
  <c r="FI232" i="69" s="1"/>
  <c r="GM231" i="69"/>
  <c r="GM232" i="69" s="1"/>
  <c r="GO232" i="69" s="1"/>
  <c r="I329" i="71"/>
  <c r="I334" i="71"/>
  <c r="E87" i="72" s="1"/>
  <c r="E334" i="72" s="1"/>
  <c r="I326" i="71"/>
  <c r="O330" i="71"/>
  <c r="E140" i="72" s="1"/>
  <c r="O331" i="71"/>
  <c r="E141" i="72" s="1"/>
  <c r="O332" i="71"/>
  <c r="E150" i="72" s="1"/>
  <c r="O335" i="71"/>
  <c r="E155" i="72" s="1"/>
  <c r="O324" i="71"/>
  <c r="G136" i="72" s="1"/>
  <c r="I332" i="71"/>
  <c r="E83" i="72" s="1"/>
  <c r="E243" i="72" s="1"/>
  <c r="I335" i="71"/>
  <c r="E88" i="72" s="1"/>
  <c r="E424" i="72" s="1"/>
  <c r="I336" i="71"/>
  <c r="E89" i="72" s="1"/>
  <c r="E425" i="72" s="1"/>
  <c r="I337" i="71"/>
  <c r="E90" i="72" s="1"/>
  <c r="E426" i="72" s="1"/>
  <c r="I338" i="71"/>
  <c r="P338" i="71" s="1"/>
  <c r="E104" i="73" s="1"/>
  <c r="E214" i="73" s="1"/>
  <c r="E262" i="73" s="1"/>
  <c r="E307" i="73" s="1"/>
  <c r="O320" i="71"/>
  <c r="E131" i="72" s="1"/>
  <c r="G347" i="71"/>
  <c r="I323" i="71"/>
  <c r="E55" i="72" s="1"/>
  <c r="I324" i="71"/>
  <c r="G55" i="72" s="1"/>
  <c r="G304" i="72" s="1"/>
  <c r="I325" i="71"/>
  <c r="I328" i="71"/>
  <c r="O334" i="71"/>
  <c r="E154" i="72" s="1"/>
  <c r="O231" i="69"/>
  <c r="O232" i="69" s="1"/>
  <c r="Q232" i="69" s="1"/>
  <c r="AU231" i="69"/>
  <c r="AU232" i="69" s="1"/>
  <c r="AW232" i="69" s="1"/>
  <c r="CA231" i="69"/>
  <c r="CA232" i="69" s="1"/>
  <c r="CC232" i="69" s="1"/>
  <c r="DG231" i="69"/>
  <c r="DG232" i="69" s="1"/>
  <c r="DI232" i="69" s="1"/>
  <c r="EM231" i="69"/>
  <c r="EM232" i="69" s="1"/>
  <c r="EO232" i="69" s="1"/>
  <c r="FS231" i="69"/>
  <c r="FS232" i="69" s="1"/>
  <c r="FU232" i="69" s="1"/>
  <c r="GY231" i="69"/>
  <c r="GY232" i="69" s="1"/>
  <c r="HA232" i="69" s="1"/>
  <c r="AM231" i="71"/>
  <c r="AM232" i="71" s="1"/>
  <c r="AO232" i="71" s="1"/>
  <c r="BS231" i="71"/>
  <c r="BS232" i="71" s="1"/>
  <c r="BU232" i="71" s="1"/>
  <c r="CY231" i="71"/>
  <c r="CY232" i="71" s="1"/>
  <c r="DA232" i="71" s="1"/>
  <c r="EE231" i="71"/>
  <c r="EE232" i="71" s="1"/>
  <c r="EG232" i="71" s="1"/>
  <c r="FK231" i="71"/>
  <c r="FK232" i="71" s="1"/>
  <c r="FM232" i="71" s="1"/>
  <c r="GQ231" i="71"/>
  <c r="GQ232" i="71" s="1"/>
  <c r="GS232" i="71" s="1"/>
  <c r="O333" i="71"/>
  <c r="E152" i="72" s="1"/>
  <c r="O337" i="71"/>
  <c r="E157" i="72" s="1"/>
  <c r="FK231" i="68"/>
  <c r="FK232" i="68" s="1"/>
  <c r="FM232" i="68" s="1"/>
  <c r="GQ231" i="68"/>
  <c r="GQ232" i="68" s="1"/>
  <c r="GS232" i="68" s="1"/>
  <c r="AE231" i="70"/>
  <c r="AE232" i="70" s="1"/>
  <c r="AG232" i="70" s="1"/>
  <c r="BK231" i="70"/>
  <c r="BK232" i="70" s="1"/>
  <c r="BM232" i="70" s="1"/>
  <c r="CQ231" i="70"/>
  <c r="CQ232" i="70" s="1"/>
  <c r="CS232" i="70" s="1"/>
  <c r="DW231" i="70"/>
  <c r="DW232" i="70" s="1"/>
  <c r="DY232" i="70" s="1"/>
  <c r="GI231" i="70"/>
  <c r="GI232" i="70" s="1"/>
  <c r="GK232" i="70" s="1"/>
  <c r="I320" i="71"/>
  <c r="E37" i="72" s="1"/>
  <c r="I322" i="71"/>
  <c r="I327" i="71"/>
  <c r="I330" i="71"/>
  <c r="E71" i="72" s="1"/>
  <c r="I331" i="71"/>
  <c r="E73" i="72" s="1"/>
  <c r="I333" i="71"/>
  <c r="E85" i="72" s="1"/>
  <c r="E421" i="72" s="1"/>
  <c r="CM231" i="70"/>
  <c r="CM232" i="70" s="1"/>
  <c r="CO232" i="70" s="1"/>
  <c r="DS231" i="70"/>
  <c r="DS232" i="70" s="1"/>
  <c r="DU232" i="70" s="1"/>
  <c r="EY231" i="70"/>
  <c r="EY232" i="70" s="1"/>
  <c r="FA232" i="70" s="1"/>
  <c r="GE231" i="70"/>
  <c r="GE232" i="70" s="1"/>
  <c r="GG232" i="70" s="1"/>
  <c r="I321" i="71"/>
  <c r="G37" i="72" s="1"/>
  <c r="G286" i="72" s="1"/>
  <c r="E395" i="73" l="1"/>
  <c r="E71" i="73"/>
  <c r="E181" i="73" s="1"/>
  <c r="E233" i="72"/>
  <c r="E238" i="73"/>
  <c r="E283" i="73" s="1"/>
  <c r="E248" i="73"/>
  <c r="E293" i="73" s="1"/>
  <c r="E243" i="73"/>
  <c r="E288" i="73" s="1"/>
  <c r="E217" i="72"/>
  <c r="E247" i="73"/>
  <c r="E292" i="73" s="1"/>
  <c r="E36" i="73"/>
  <c r="E349" i="73" s="1"/>
  <c r="E399" i="73"/>
  <c r="D2" i="73"/>
  <c r="E400" i="73"/>
  <c r="E398" i="73"/>
  <c r="D3" i="72"/>
  <c r="D3" i="73" s="1"/>
  <c r="O166" i="72"/>
  <c r="O161" i="72"/>
  <c r="S166" i="72"/>
  <c r="S161" i="72"/>
  <c r="N161" i="72"/>
  <c r="N166" i="72"/>
  <c r="R166" i="72"/>
  <c r="R161" i="72"/>
  <c r="M166" i="72"/>
  <c r="M161" i="72"/>
  <c r="Q161" i="72"/>
  <c r="Q166" i="72"/>
  <c r="L166" i="72"/>
  <c r="M167" i="72" s="1"/>
  <c r="L161" i="72"/>
  <c r="P166" i="72"/>
  <c r="Q167" i="72" s="1"/>
  <c r="P161" i="72"/>
  <c r="O96" i="72"/>
  <c r="O99" i="72" s="1"/>
  <c r="O101" i="72" s="1"/>
  <c r="O95" i="72"/>
  <c r="HE14" i="71" s="1"/>
  <c r="Z96" i="72"/>
  <c r="Z99" i="72" s="1"/>
  <c r="Z95" i="72"/>
  <c r="S95" i="72"/>
  <c r="S96" i="72"/>
  <c r="S99" i="72" s="1"/>
  <c r="M96" i="72"/>
  <c r="M99" i="72" s="1"/>
  <c r="M101" i="72" s="1"/>
  <c r="M95" i="72"/>
  <c r="L96" i="72"/>
  <c r="L99" i="72" s="1"/>
  <c r="L101" i="72" s="1"/>
  <c r="L95" i="72"/>
  <c r="HE14" i="68" s="1"/>
  <c r="X96" i="72"/>
  <c r="X99" i="72" s="1"/>
  <c r="X95" i="72"/>
  <c r="N96" i="72"/>
  <c r="N99" i="72" s="1"/>
  <c r="N101" i="72" s="1"/>
  <c r="N95" i="72"/>
  <c r="Q95" i="72"/>
  <c r="Q96" i="72"/>
  <c r="Q99" i="72" s="1"/>
  <c r="P95" i="72"/>
  <c r="P96" i="72"/>
  <c r="P99" i="72" s="1"/>
  <c r="Y96" i="72"/>
  <c r="Y99" i="72" s="1"/>
  <c r="Y95" i="72"/>
  <c r="R95" i="72"/>
  <c r="R96" i="72"/>
  <c r="R99" i="72" s="1"/>
  <c r="AA96" i="72"/>
  <c r="AA99" i="72" s="1"/>
  <c r="AA95" i="72"/>
  <c r="M273" i="73"/>
  <c r="Q273" i="73"/>
  <c r="X200" i="73"/>
  <c r="L273" i="73"/>
  <c r="P273" i="73"/>
  <c r="Q318" i="73"/>
  <c r="O318" i="73"/>
  <c r="N318" i="73"/>
  <c r="R318" i="73"/>
  <c r="M318" i="73"/>
  <c r="S318" i="73"/>
  <c r="P318" i="73"/>
  <c r="L318" i="73"/>
  <c r="O273" i="73"/>
  <c r="R273" i="73"/>
  <c r="S273" i="73"/>
  <c r="N273" i="73"/>
  <c r="T200" i="73"/>
  <c r="T226" i="73" s="1"/>
  <c r="R200" i="73"/>
  <c r="R226" i="73" s="1"/>
  <c r="N200" i="73"/>
  <c r="N226" i="73" s="1"/>
  <c r="U401" i="73"/>
  <c r="U92" i="73" s="1"/>
  <c r="S401" i="73"/>
  <c r="S92" i="73" s="1"/>
  <c r="N90" i="73"/>
  <c r="N115" i="73" s="1"/>
  <c r="Q200" i="73"/>
  <c r="Q226" i="73" s="1"/>
  <c r="X401" i="73"/>
  <c r="X92" i="73" s="1"/>
  <c r="M200" i="73"/>
  <c r="M226" i="73" s="1"/>
  <c r="Y401" i="73"/>
  <c r="Y92" i="73" s="1"/>
  <c r="V200" i="73"/>
  <c r="V226" i="73" s="1"/>
  <c r="K232" i="69"/>
  <c r="M232" i="69" s="1"/>
  <c r="P90" i="73"/>
  <c r="P115" i="73" s="1"/>
  <c r="M401" i="73"/>
  <c r="M92" i="73" s="1"/>
  <c r="U90" i="73"/>
  <c r="U115" i="73" s="1"/>
  <c r="Y90" i="73"/>
  <c r="Y200" i="73"/>
  <c r="Q401" i="73"/>
  <c r="Q92" i="73" s="1"/>
  <c r="U200" i="73"/>
  <c r="U226" i="73" s="1"/>
  <c r="U406" i="73"/>
  <c r="U202" i="73" s="1"/>
  <c r="R401" i="73"/>
  <c r="R92" i="73" s="1"/>
  <c r="AA401" i="73"/>
  <c r="AA92" i="73" s="1"/>
  <c r="Z401" i="73"/>
  <c r="Z92" i="73" s="1"/>
  <c r="L406" i="73"/>
  <c r="L202" i="73" s="1"/>
  <c r="N406" i="73"/>
  <c r="N202" i="73" s="1"/>
  <c r="O200" i="73"/>
  <c r="O226" i="73" s="1"/>
  <c r="T401" i="73"/>
  <c r="T92" i="73" s="1"/>
  <c r="O401" i="73"/>
  <c r="O92" i="73" s="1"/>
  <c r="V406" i="73"/>
  <c r="V202" i="73" s="1"/>
  <c r="O90" i="73"/>
  <c r="O115" i="73" s="1"/>
  <c r="Z406" i="73"/>
  <c r="Z202" i="73" s="1"/>
  <c r="S90" i="73"/>
  <c r="S115" i="73" s="1"/>
  <c r="Y406" i="73"/>
  <c r="Y202" i="73" s="1"/>
  <c r="N401" i="73"/>
  <c r="N92" i="73" s="1"/>
  <c r="W401" i="73"/>
  <c r="W92" i="73" s="1"/>
  <c r="V401" i="73"/>
  <c r="V92" i="73" s="1"/>
  <c r="P406" i="73"/>
  <c r="P202" i="73" s="1"/>
  <c r="R406" i="73"/>
  <c r="R202" i="73" s="1"/>
  <c r="S200" i="73"/>
  <c r="S226" i="73" s="1"/>
  <c r="O406" i="73"/>
  <c r="O202" i="73" s="1"/>
  <c r="P200" i="73"/>
  <c r="P226" i="73" s="1"/>
  <c r="AA406" i="73"/>
  <c r="AA202" i="73" s="1"/>
  <c r="S406" i="73"/>
  <c r="S202" i="73" s="1"/>
  <c r="L200" i="73"/>
  <c r="L226" i="73" s="1"/>
  <c r="W406" i="73"/>
  <c r="W202" i="73" s="1"/>
  <c r="R90" i="73"/>
  <c r="R115" i="73" s="1"/>
  <c r="W200" i="73"/>
  <c r="W226" i="73" s="1"/>
  <c r="Z200" i="73"/>
  <c r="X406" i="73"/>
  <c r="X202" i="73" s="1"/>
  <c r="M406" i="73"/>
  <c r="M202" i="73" s="1"/>
  <c r="T406" i="73"/>
  <c r="T202" i="73" s="1"/>
  <c r="Q406" i="73"/>
  <c r="Q202" i="73" s="1"/>
  <c r="T90" i="73"/>
  <c r="T115" i="73" s="1"/>
  <c r="AA90" i="73"/>
  <c r="Z90" i="73"/>
  <c r="AA200" i="73"/>
  <c r="X90" i="73"/>
  <c r="W90" i="73"/>
  <c r="W115" i="73" s="1"/>
  <c r="V90" i="73"/>
  <c r="V115" i="73" s="1"/>
  <c r="L90" i="73"/>
  <c r="L115" i="73" s="1"/>
  <c r="L401" i="73"/>
  <c r="L92" i="73" s="1"/>
  <c r="M90" i="73"/>
  <c r="M115" i="73" s="1"/>
  <c r="P401" i="73"/>
  <c r="P92" i="73" s="1"/>
  <c r="Q90" i="73"/>
  <c r="Q115" i="73" s="1"/>
  <c r="K232" i="70"/>
  <c r="M232" i="70" s="1"/>
  <c r="W232" i="69"/>
  <c r="Y232" i="69" s="1"/>
  <c r="W232" i="70"/>
  <c r="Y232" i="70" s="1"/>
  <c r="K232" i="71"/>
  <c r="M232" i="71" s="1"/>
  <c r="W232" i="68"/>
  <c r="Y232" i="68" s="1"/>
  <c r="W94" i="72"/>
  <c r="K232" i="68"/>
  <c r="M232" i="68" s="1"/>
  <c r="M111" i="72"/>
  <c r="M116" i="72" s="1"/>
  <c r="V167" i="72"/>
  <c r="V168" i="72" s="1"/>
  <c r="U168" i="72"/>
  <c r="U94" i="72"/>
  <c r="L111" i="72"/>
  <c r="L116" i="72" s="1"/>
  <c r="N111" i="72"/>
  <c r="N116" i="72" s="1"/>
  <c r="T94" i="72"/>
  <c r="V94" i="72"/>
  <c r="W232" i="71"/>
  <c r="Y232" i="71" s="1"/>
  <c r="W167" i="72"/>
  <c r="W168" i="72" s="1"/>
  <c r="O111" i="72"/>
  <c r="O116" i="72" s="1"/>
  <c r="D4" i="73"/>
  <c r="AD24" i="76"/>
  <c r="AA24" i="76" s="1"/>
  <c r="AC24" i="76"/>
  <c r="Z24" i="76" s="1"/>
  <c r="AB24" i="76"/>
  <c r="Y24" i="76" s="1"/>
  <c r="P328" i="71"/>
  <c r="E66" i="72"/>
  <c r="E247" i="72"/>
  <c r="E330" i="72"/>
  <c r="E409" i="72"/>
  <c r="E199" i="72"/>
  <c r="G393" i="72"/>
  <c r="E304" i="72"/>
  <c r="P325" i="71"/>
  <c r="E56" i="72"/>
  <c r="P329" i="71"/>
  <c r="E67" i="72"/>
  <c r="E249" i="72"/>
  <c r="E423" i="72"/>
  <c r="E419" i="72"/>
  <c r="E320" i="72"/>
  <c r="G199" i="72"/>
  <c r="E286" i="72"/>
  <c r="E248" i="72"/>
  <c r="E393" i="72"/>
  <c r="E336" i="72"/>
  <c r="E70" i="73"/>
  <c r="E180" i="73" s="1"/>
  <c r="G375" i="72"/>
  <c r="E375" i="72"/>
  <c r="E335" i="72"/>
  <c r="E54" i="73"/>
  <c r="E367" i="73" s="1"/>
  <c r="E245" i="72"/>
  <c r="E250" i="72"/>
  <c r="E332" i="72"/>
  <c r="E337" i="72"/>
  <c r="E234" i="72"/>
  <c r="E321" i="72"/>
  <c r="P327" i="71"/>
  <c r="E61" i="72"/>
  <c r="E410" i="72"/>
  <c r="G217" i="72"/>
  <c r="P322" i="71"/>
  <c r="E44" i="72"/>
  <c r="P326" i="71"/>
  <c r="G56" i="72"/>
  <c r="C39" i="46"/>
  <c r="BT10" i="79" s="1"/>
  <c r="D5" i="72"/>
  <c r="P330" i="71"/>
  <c r="P321" i="71"/>
  <c r="P337" i="71"/>
  <c r="P331" i="71"/>
  <c r="P324" i="71"/>
  <c r="P323" i="71"/>
  <c r="P332" i="71"/>
  <c r="P320" i="71"/>
  <c r="P333" i="71"/>
  <c r="P335" i="71"/>
  <c r="P334" i="71"/>
  <c r="P336" i="71"/>
  <c r="HE14" i="70" l="1"/>
  <c r="HE14" i="69"/>
  <c r="E397" i="73"/>
  <c r="E393" i="73"/>
  <c r="T102" i="72"/>
  <c r="L102" i="72"/>
  <c r="L105" i="72" s="1"/>
  <c r="M106" i="72" s="1"/>
  <c r="M105" i="72"/>
  <c r="U96" i="72"/>
  <c r="U99" i="72" s="1"/>
  <c r="U95" i="72"/>
  <c r="V96" i="72"/>
  <c r="V99" i="72" s="1"/>
  <c r="V95" i="72"/>
  <c r="T95" i="72"/>
  <c r="HI14" i="68" s="1"/>
  <c r="T96" i="72"/>
  <c r="T99" i="72" s="1"/>
  <c r="W96" i="72"/>
  <c r="W99" i="72" s="1"/>
  <c r="W95" i="72"/>
  <c r="HI14" i="71" s="1"/>
  <c r="X227" i="73"/>
  <c r="AA116" i="73"/>
  <c r="AA227" i="73"/>
  <c r="Z227" i="73"/>
  <c r="T227" i="73"/>
  <c r="Y227" i="73"/>
  <c r="S227" i="73"/>
  <c r="O227" i="73"/>
  <c r="V227" i="73"/>
  <c r="M227" i="73"/>
  <c r="R227" i="73"/>
  <c r="P227" i="73"/>
  <c r="Q227" i="73"/>
  <c r="U227" i="73"/>
  <c r="W227" i="73"/>
  <c r="N227" i="73"/>
  <c r="N116" i="73"/>
  <c r="T116" i="73"/>
  <c r="HI15" i="68" s="1"/>
  <c r="Z116" i="73"/>
  <c r="Y116" i="73"/>
  <c r="Q116" i="73"/>
  <c r="X116" i="73"/>
  <c r="L227" i="73"/>
  <c r="S116" i="73"/>
  <c r="U116" i="73"/>
  <c r="P116" i="73"/>
  <c r="W116" i="73"/>
  <c r="HI15" i="71" s="1"/>
  <c r="R116" i="73"/>
  <c r="V116" i="73"/>
  <c r="O116" i="73"/>
  <c r="HE15" i="71" s="1"/>
  <c r="M116" i="73"/>
  <c r="L116" i="73"/>
  <c r="HE15" i="68" s="1"/>
  <c r="R101" i="72"/>
  <c r="Z101" i="72"/>
  <c r="S101" i="72"/>
  <c r="AA101" i="72"/>
  <c r="S167" i="72"/>
  <c r="S168" i="72" s="1"/>
  <c r="T103" i="72"/>
  <c r="U103" i="72" s="1"/>
  <c r="V103" i="72" s="1"/>
  <c r="W103" i="72" s="1"/>
  <c r="L103" i="72"/>
  <c r="M103" i="72" s="1"/>
  <c r="N103" i="72" s="1"/>
  <c r="O103" i="72" s="1"/>
  <c r="X101" i="72"/>
  <c r="P101" i="72"/>
  <c r="R167" i="72"/>
  <c r="R168" i="72" s="1"/>
  <c r="Q168" i="72"/>
  <c r="O167" i="72"/>
  <c r="O168" i="72" s="1"/>
  <c r="Y101" i="72"/>
  <c r="Q101" i="72"/>
  <c r="M168" i="72"/>
  <c r="N167" i="72"/>
  <c r="N168" i="72" s="1"/>
  <c r="AJ27" i="76"/>
  <c r="H39" i="46"/>
  <c r="O112" i="57" s="1"/>
  <c r="H7" i="77"/>
  <c r="H28" i="77"/>
  <c r="G394" i="72"/>
  <c r="G218" i="72"/>
  <c r="G305" i="72"/>
  <c r="E43" i="73"/>
  <c r="E356" i="73" s="1"/>
  <c r="E382" i="72"/>
  <c r="E206" i="72"/>
  <c r="E293" i="72"/>
  <c r="E405" i="72"/>
  <c r="E66" i="73"/>
  <c r="E316" i="72"/>
  <c r="E229" i="72"/>
  <c r="E55" i="73"/>
  <c r="E368" i="73" s="1"/>
  <c r="E305" i="72"/>
  <c r="E218" i="72"/>
  <c r="E394" i="72"/>
  <c r="E65" i="73"/>
  <c r="E404" i="72"/>
  <c r="E315" i="72"/>
  <c r="E228" i="72"/>
  <c r="E60" i="73"/>
  <c r="E399" i="72"/>
  <c r="E310" i="72"/>
  <c r="E223" i="72"/>
  <c r="HE15" i="70" l="1"/>
  <c r="HI14" i="70"/>
  <c r="HI15" i="70"/>
  <c r="HE15" i="69"/>
  <c r="HI14" i="69"/>
  <c r="HI15" i="69"/>
  <c r="T101" i="72"/>
  <c r="T100" i="72"/>
  <c r="W101" i="72"/>
  <c r="W100" i="72"/>
  <c r="V101" i="72"/>
  <c r="V100" i="72"/>
  <c r="U101" i="72"/>
  <c r="U100" i="72"/>
  <c r="L112" i="57"/>
  <c r="O97" i="57"/>
  <c r="L97" i="57"/>
  <c r="F95" i="57"/>
  <c r="AA100" i="72"/>
  <c r="Z100" i="72"/>
  <c r="Y100" i="72"/>
  <c r="F110" i="57"/>
  <c r="O113" i="57"/>
  <c r="L113" i="57"/>
  <c r="O110" i="57"/>
  <c r="L110" i="57"/>
  <c r="O98" i="57"/>
  <c r="L98" i="57"/>
  <c r="O95" i="57"/>
  <c r="L95" i="57"/>
  <c r="O71" i="57"/>
  <c r="O70" i="57"/>
  <c r="L70" i="57"/>
  <c r="J31" i="77" s="1"/>
  <c r="J38" i="77" s="1"/>
  <c r="L71" i="57"/>
  <c r="O25" i="57"/>
  <c r="O24" i="57"/>
  <c r="L24" i="57"/>
  <c r="L25" i="57"/>
  <c r="J11" i="77" s="1"/>
  <c r="X100" i="72"/>
  <c r="T105" i="72"/>
  <c r="U106" i="72" s="1"/>
  <c r="KX10" i="79"/>
  <c r="F105" i="57"/>
  <c r="R111" i="57" s="1"/>
  <c r="CB10" i="79"/>
  <c r="F103" i="57"/>
  <c r="LB10" i="79" s="1"/>
  <c r="IC10" i="79"/>
  <c r="F66" i="57"/>
  <c r="G35" i="77" s="1"/>
  <c r="T32" i="46"/>
  <c r="AO10" i="79" s="1"/>
  <c r="G33" i="46"/>
  <c r="AV10" i="79" s="1"/>
  <c r="AD33" i="46"/>
  <c r="AX10" i="79" s="1"/>
  <c r="AN33" i="46"/>
  <c r="AY10" i="79" s="1"/>
  <c r="T33" i="46"/>
  <c r="AW10" i="79" s="1"/>
  <c r="G34" i="46"/>
  <c r="BD10" i="79" s="1"/>
  <c r="D13" i="57"/>
  <c r="CM10" i="79" s="1"/>
  <c r="D61" i="57"/>
  <c r="HT10" i="79" s="1"/>
  <c r="U39" i="46"/>
  <c r="CC10" i="79" s="1"/>
  <c r="D59" i="57"/>
  <c r="HQ10" i="79" s="1"/>
  <c r="D15" i="57"/>
  <c r="CP10" i="79" s="1"/>
  <c r="LP10" i="79"/>
  <c r="G35" i="46"/>
  <c r="BL10" i="79" s="1"/>
  <c r="F90" i="57"/>
  <c r="KL10" i="79" s="1"/>
  <c r="F88" i="57"/>
  <c r="KJ10" i="79" s="1"/>
  <c r="E175" i="73"/>
  <c r="E378" i="73"/>
  <c r="E373" i="73"/>
  <c r="E170" i="73"/>
  <c r="E176" i="73"/>
  <c r="E379" i="73"/>
  <c r="M284" i="71"/>
  <c r="AR260" i="68"/>
  <c r="AR272" i="71"/>
  <c r="BB284" i="71"/>
  <c r="AK248" i="69"/>
  <c r="P260" i="69"/>
  <c r="J248" i="69"/>
  <c r="AZ284" i="71"/>
  <c r="AI260" i="69"/>
  <c r="AC248" i="70"/>
  <c r="AP284" i="71"/>
  <c r="AM272" i="68"/>
  <c r="L272" i="71"/>
  <c r="I260" i="71"/>
  <c r="P248" i="70"/>
  <c r="AW272" i="69"/>
  <c r="E248" i="69"/>
  <c r="L272" i="70"/>
  <c r="BA248" i="71"/>
  <c r="Z248" i="68"/>
  <c r="AQ260" i="69"/>
  <c r="E260" i="68"/>
  <c r="AR284" i="70"/>
  <c r="T284" i="68"/>
  <c r="AO248" i="68"/>
  <c r="J284" i="71"/>
  <c r="AG284" i="70"/>
  <c r="AK284" i="71"/>
  <c r="AP248" i="69"/>
  <c r="W248" i="69"/>
  <c r="AW248" i="70"/>
  <c r="AF284" i="71"/>
  <c r="E272" i="69"/>
  <c r="AG248" i="68"/>
  <c r="J260" i="69"/>
  <c r="AE272" i="69"/>
  <c r="J272" i="68"/>
  <c r="K272" i="70"/>
  <c r="Q248" i="71"/>
  <c r="I272" i="71"/>
  <c r="AE260" i="68"/>
  <c r="Z284" i="69"/>
  <c r="AE260" i="71"/>
  <c r="T284" i="69"/>
  <c r="BA260" i="69"/>
  <c r="R248" i="70"/>
  <c r="S260" i="70"/>
  <c r="W284" i="69"/>
  <c r="I260" i="69"/>
  <c r="R260" i="68"/>
  <c r="AA260" i="71"/>
  <c r="AH284" i="68"/>
  <c r="AN260" i="71"/>
  <c r="AH272" i="68"/>
  <c r="K248" i="68"/>
  <c r="L272" i="68"/>
  <c r="AT260" i="71"/>
  <c r="Q260" i="70"/>
  <c r="BA272" i="69"/>
  <c r="AG284" i="71"/>
  <c r="AB272" i="68"/>
  <c r="V248" i="69"/>
  <c r="Z260" i="71"/>
  <c r="AC248" i="71"/>
  <c r="AJ260" i="68"/>
  <c r="AO272" i="68"/>
  <c r="J284" i="68"/>
  <c r="AI248" i="69"/>
  <c r="AN272" i="71"/>
  <c r="AE260" i="70"/>
  <c r="BB248" i="70"/>
  <c r="G260" i="68"/>
  <c r="AH272" i="70"/>
  <c r="AN284" i="69"/>
  <c r="F284" i="71"/>
  <c r="BA284" i="68"/>
  <c r="AJ284" i="69"/>
  <c r="AV248" i="70"/>
  <c r="BA260" i="71"/>
  <c r="V284" i="71"/>
  <c r="J284" i="69"/>
  <c r="AH284" i="71"/>
  <c r="N272" i="68"/>
  <c r="AV248" i="68"/>
  <c r="U260" i="71"/>
  <c r="X248" i="69"/>
  <c r="I284" i="68"/>
  <c r="Y284" i="71"/>
  <c r="Q260" i="69"/>
  <c r="F248" i="70"/>
  <c r="M272" i="68"/>
  <c r="X272" i="71"/>
  <c r="S260" i="71"/>
  <c r="AH248" i="68"/>
  <c r="G248" i="69"/>
  <c r="L248" i="71"/>
  <c r="W248" i="70"/>
  <c r="Y272" i="70"/>
  <c r="AF284" i="68"/>
  <c r="V248" i="71"/>
  <c r="K284" i="68"/>
  <c r="AH284" i="70"/>
  <c r="E272" i="70"/>
  <c r="AO260" i="69"/>
  <c r="AX284" i="68"/>
  <c r="G248" i="68"/>
  <c r="Y284" i="69"/>
  <c r="BB272" i="70"/>
  <c r="Z248" i="71"/>
  <c r="T248" i="69"/>
  <c r="K284" i="71"/>
  <c r="AE272" i="68"/>
  <c r="AX248" i="68"/>
  <c r="AG260" i="71"/>
  <c r="N260" i="69"/>
  <c r="T272" i="68"/>
  <c r="Q272" i="68"/>
  <c r="AB284" i="69"/>
  <c r="H248" i="71"/>
  <c r="S260" i="69"/>
  <c r="AB248" i="70"/>
  <c r="H272" i="69"/>
  <c r="AR272" i="69"/>
  <c r="AO260" i="70"/>
  <c r="AH260" i="69"/>
  <c r="BA248" i="70"/>
  <c r="J248" i="70"/>
  <c r="T260" i="69"/>
  <c r="W260" i="69"/>
  <c r="AY260" i="68"/>
  <c r="G260" i="69"/>
  <c r="AM260" i="71"/>
  <c r="BB284" i="68"/>
  <c r="G284" i="69"/>
  <c r="AT272" i="70"/>
  <c r="AN248" i="69"/>
  <c r="AB248" i="68"/>
  <c r="H272" i="70"/>
  <c r="AN284" i="68"/>
  <c r="AS284" i="71"/>
  <c r="E260" i="69"/>
  <c r="I260" i="70"/>
  <c r="AC260" i="69"/>
  <c r="AD284" i="70"/>
  <c r="AG260" i="68"/>
  <c r="AD284" i="71"/>
  <c r="F248" i="71"/>
  <c r="AB272" i="71"/>
  <c r="Y248" i="69"/>
  <c r="AU284" i="69"/>
  <c r="W260" i="71"/>
  <c r="K260" i="70"/>
  <c r="AA260" i="69"/>
  <c r="W272" i="70"/>
  <c r="E20" i="46"/>
  <c r="S272" i="69"/>
  <c r="AF248" i="69"/>
  <c r="AW260" i="68"/>
  <c r="AX260" i="70"/>
  <c r="Z272" i="69"/>
  <c r="AU248" i="68"/>
  <c r="AT272" i="68"/>
  <c r="AH248" i="71"/>
  <c r="M248" i="71"/>
  <c r="AV260" i="70"/>
  <c r="AE284" i="68"/>
  <c r="AL284" i="71"/>
  <c r="AY284" i="68"/>
  <c r="M260" i="69"/>
  <c r="R248" i="68"/>
  <c r="AE284" i="71"/>
  <c r="AN284" i="71"/>
  <c r="K284" i="70"/>
  <c r="AT260" i="69"/>
  <c r="AP284" i="69"/>
  <c r="AZ260" i="70"/>
  <c r="AC284" i="70"/>
  <c r="AV248" i="71"/>
  <c r="AJ272" i="68"/>
  <c r="AQ260" i="70"/>
  <c r="AM284" i="71"/>
  <c r="AJ272" i="70"/>
  <c r="AE284" i="70"/>
  <c r="AG248" i="69"/>
  <c r="AX284" i="69"/>
  <c r="AX248" i="70"/>
  <c r="AL272" i="70"/>
  <c r="N248" i="68"/>
  <c r="F260" i="71"/>
  <c r="AS248" i="71"/>
  <c r="AC260" i="71"/>
  <c r="AU248" i="69"/>
  <c r="O272" i="71"/>
  <c r="AP260" i="68"/>
  <c r="N284" i="69"/>
  <c r="AP284" i="68"/>
  <c r="Z284" i="71"/>
  <c r="Q260" i="71"/>
  <c r="AV284" i="68"/>
  <c r="AA284" i="69"/>
  <c r="BB248" i="69"/>
  <c r="AY272" i="70"/>
  <c r="AT248" i="71"/>
  <c r="AF284" i="70"/>
  <c r="AK260" i="70"/>
  <c r="AM284" i="69"/>
  <c r="AD248" i="69"/>
  <c r="AF260" i="71"/>
  <c r="AH260" i="70"/>
  <c r="AS260" i="68"/>
  <c r="AK272" i="69"/>
  <c r="S260" i="68"/>
  <c r="P260" i="68"/>
  <c r="AU272" i="71"/>
  <c r="S248" i="68"/>
  <c r="F284" i="69"/>
  <c r="AW272" i="71"/>
  <c r="AA248" i="69"/>
  <c r="W272" i="68"/>
  <c r="AL260" i="70"/>
  <c r="AR284" i="71"/>
  <c r="P272" i="69"/>
  <c r="N284" i="70"/>
  <c r="AV260" i="69"/>
  <c r="AB248" i="71"/>
  <c r="AM284" i="70"/>
  <c r="N248" i="71"/>
  <c r="AS248" i="70"/>
  <c r="AG272" i="71"/>
  <c r="M284" i="70"/>
  <c r="AB260" i="71"/>
  <c r="AF260" i="70"/>
  <c r="AI272" i="69"/>
  <c r="H272" i="68"/>
  <c r="W272" i="69"/>
  <c r="AV272" i="68"/>
  <c r="BB272" i="69"/>
  <c r="AR260" i="69"/>
  <c r="BA248" i="69"/>
  <c r="V284" i="69"/>
  <c r="AD284" i="69"/>
  <c r="AO260" i="71"/>
  <c r="AR248" i="69"/>
  <c r="AM248" i="70"/>
  <c r="AQ248" i="69"/>
  <c r="AW272" i="70"/>
  <c r="E22" i="46"/>
  <c r="P248" i="71"/>
  <c r="AQ248" i="70"/>
  <c r="AQ272" i="68"/>
  <c r="AC284" i="68"/>
  <c r="Y260" i="69"/>
  <c r="AA284" i="70"/>
  <c r="AK284" i="70"/>
  <c r="AP272" i="70"/>
  <c r="AY284" i="71"/>
  <c r="AJ248" i="71"/>
  <c r="F272" i="68"/>
  <c r="AS284" i="68"/>
  <c r="E248" i="68"/>
  <c r="AC248" i="68"/>
  <c r="U248" i="68"/>
  <c r="AU248" i="70"/>
  <c r="AT260" i="70"/>
  <c r="AH284" i="69"/>
  <c r="T248" i="71"/>
  <c r="AI284" i="70"/>
  <c r="R284" i="68"/>
  <c r="AZ284" i="68"/>
  <c r="AX248" i="69"/>
  <c r="N248" i="69"/>
  <c r="AP248" i="68"/>
  <c r="AS248" i="68"/>
  <c r="AE248" i="69"/>
  <c r="AW260" i="69"/>
  <c r="U284" i="70"/>
  <c r="AB272" i="69"/>
  <c r="AM272" i="71"/>
  <c r="BB248" i="68"/>
  <c r="AX272" i="69"/>
  <c r="AM272" i="70"/>
  <c r="AO248" i="69"/>
  <c r="AO248" i="70"/>
  <c r="AN248" i="71"/>
  <c r="L284" i="71"/>
  <c r="P272" i="71"/>
  <c r="AU272" i="70"/>
  <c r="AD284" i="68"/>
  <c r="P272" i="70"/>
  <c r="Z248" i="70"/>
  <c r="AO248" i="71"/>
  <c r="AS272" i="70"/>
  <c r="AU284" i="71"/>
  <c r="AA272" i="68"/>
  <c r="V248" i="70"/>
  <c r="AA260" i="70"/>
  <c r="L260" i="68"/>
  <c r="H284" i="69"/>
  <c r="AO284" i="69"/>
  <c r="AP272" i="68"/>
  <c r="AC284" i="69"/>
  <c r="T272" i="71"/>
  <c r="Y260" i="70"/>
  <c r="AJ248" i="70"/>
  <c r="AT284" i="71"/>
  <c r="AH260" i="71"/>
  <c r="J272" i="71"/>
  <c r="K248" i="70"/>
  <c r="K248" i="69"/>
  <c r="AD272" i="70"/>
  <c r="X248" i="70"/>
  <c r="R260" i="69"/>
  <c r="U272" i="71"/>
  <c r="AI248" i="70"/>
  <c r="M260" i="70"/>
  <c r="AK272" i="68"/>
  <c r="X260" i="71"/>
  <c r="AT248" i="68"/>
  <c r="AT248" i="69"/>
  <c r="AF272" i="70"/>
  <c r="I284" i="70"/>
  <c r="BA284" i="69"/>
  <c r="U248" i="70"/>
  <c r="K260" i="68"/>
  <c r="AG284" i="69"/>
  <c r="AH248" i="70"/>
  <c r="AQ248" i="68"/>
  <c r="R272" i="68"/>
  <c r="AS260" i="69"/>
  <c r="L248" i="70"/>
  <c r="S284" i="71"/>
  <c r="AR248" i="68"/>
  <c r="AZ272" i="71"/>
  <c r="AH272" i="69"/>
  <c r="AG272" i="70"/>
  <c r="AX272" i="70"/>
  <c r="H260" i="68"/>
  <c r="AU284" i="68"/>
  <c r="I284" i="69"/>
  <c r="AY272" i="69"/>
  <c r="AL272" i="71"/>
  <c r="Y284" i="68"/>
  <c r="Q272" i="69"/>
  <c r="AR248" i="70"/>
  <c r="P284" i="71"/>
  <c r="AL284" i="69"/>
  <c r="P284" i="68"/>
  <c r="S284" i="68"/>
  <c r="AB284" i="68"/>
  <c r="AX260" i="68"/>
  <c r="BB284" i="69"/>
  <c r="E272" i="68"/>
  <c r="AV260" i="68"/>
  <c r="Q248" i="70"/>
  <c r="P272" i="68"/>
  <c r="AR272" i="70"/>
  <c r="AZ284" i="70"/>
  <c r="AE284" i="69"/>
  <c r="P260" i="70"/>
  <c r="Y272" i="71"/>
  <c r="G260" i="70"/>
  <c r="AD260" i="68"/>
  <c r="AR284" i="69"/>
  <c r="AI284" i="71"/>
  <c r="AV284" i="70"/>
  <c r="P248" i="69"/>
  <c r="G260" i="71"/>
  <c r="AU260" i="68"/>
  <c r="P260" i="71"/>
  <c r="L284" i="69"/>
  <c r="AO260" i="68"/>
  <c r="J260" i="68"/>
  <c r="V284" i="68"/>
  <c r="X248" i="68"/>
  <c r="AA272" i="70"/>
  <c r="X284" i="70"/>
  <c r="S284" i="70"/>
  <c r="M272" i="71"/>
  <c r="G284" i="68"/>
  <c r="F272" i="69"/>
  <c r="AW248" i="71"/>
  <c r="J248" i="71"/>
  <c r="X260" i="69"/>
  <c r="V248" i="68"/>
  <c r="BA284" i="71"/>
  <c r="M284" i="68"/>
  <c r="AL260" i="68"/>
  <c r="E248" i="70"/>
  <c r="AZ284" i="69"/>
  <c r="AN260" i="69"/>
  <c r="Z260" i="70"/>
  <c r="AZ272" i="70"/>
  <c r="AP260" i="70"/>
  <c r="G248" i="70"/>
  <c r="AI272" i="71"/>
  <c r="AA260" i="68"/>
  <c r="AG260" i="70"/>
  <c r="AL248" i="68"/>
  <c r="S272" i="68"/>
  <c r="I248" i="68"/>
  <c r="G284" i="71"/>
  <c r="AJ260" i="70"/>
  <c r="AA248" i="70"/>
  <c r="AB284" i="71"/>
  <c r="U272" i="68"/>
  <c r="Q248" i="69"/>
  <c r="V272" i="68"/>
  <c r="AL260" i="71"/>
  <c r="X272" i="68"/>
  <c r="AW260" i="71"/>
  <c r="J272" i="70"/>
  <c r="E21" i="46"/>
  <c r="AZ272" i="69"/>
  <c r="V272" i="71"/>
  <c r="H260" i="69"/>
  <c r="U272" i="69"/>
  <c r="AF272" i="69"/>
  <c r="O260" i="68"/>
  <c r="H260" i="71"/>
  <c r="H260" i="70"/>
  <c r="O284" i="68"/>
  <c r="Q284" i="70"/>
  <c r="BB260" i="69"/>
  <c r="X260" i="70"/>
  <c r="F284" i="70"/>
  <c r="AZ248" i="70"/>
  <c r="Q272" i="70"/>
  <c r="AD248" i="68"/>
  <c r="S284" i="69"/>
  <c r="AE248" i="71"/>
  <c r="BA284" i="70"/>
  <c r="T260" i="71"/>
  <c r="V260" i="70"/>
  <c r="Z260" i="68"/>
  <c r="O248" i="70"/>
  <c r="AQ272" i="69"/>
  <c r="BA260" i="68"/>
  <c r="AJ260" i="71"/>
  <c r="R284" i="69"/>
  <c r="L248" i="68"/>
  <c r="AL284" i="68"/>
  <c r="AW260" i="70"/>
  <c r="AC248" i="69"/>
  <c r="F248" i="69"/>
  <c r="AX260" i="69"/>
  <c r="L260" i="70"/>
  <c r="AF248" i="68"/>
  <c r="N284" i="71"/>
  <c r="Z248" i="69"/>
  <c r="J248" i="68"/>
  <c r="AR272" i="68"/>
  <c r="I272" i="68"/>
  <c r="O248" i="71"/>
  <c r="AJ284" i="71"/>
  <c r="O260" i="69"/>
  <c r="BA260" i="70"/>
  <c r="AI272" i="70"/>
  <c r="R272" i="70"/>
  <c r="M248" i="70"/>
  <c r="F272" i="70"/>
  <c r="H284" i="71"/>
  <c r="O272" i="70"/>
  <c r="AO284" i="70"/>
  <c r="AC272" i="70"/>
  <c r="T248" i="70"/>
  <c r="AV248" i="69"/>
  <c r="Y284" i="70"/>
  <c r="AJ272" i="69"/>
  <c r="AI248" i="71"/>
  <c r="K284" i="69"/>
  <c r="L260" i="69"/>
  <c r="AZ248" i="71"/>
  <c r="AS260" i="71"/>
  <c r="AW248" i="69"/>
  <c r="AB272" i="70"/>
  <c r="AI260" i="68"/>
  <c r="Y260" i="68"/>
  <c r="AB248" i="69"/>
  <c r="W272" i="71"/>
  <c r="O260" i="71"/>
  <c r="AS260" i="70"/>
  <c r="AY284" i="69"/>
  <c r="AD248" i="70"/>
  <c r="H272" i="71"/>
  <c r="AO272" i="69"/>
  <c r="AL248" i="69"/>
  <c r="N284" i="68"/>
  <c r="AD260" i="71"/>
  <c r="AT260" i="68"/>
  <c r="M248" i="68"/>
  <c r="O284" i="71"/>
  <c r="Y272" i="69"/>
  <c r="N260" i="70"/>
  <c r="U272" i="70"/>
  <c r="AC284" i="71"/>
  <c r="I248" i="69"/>
  <c r="AQ284" i="70"/>
  <c r="E284" i="70"/>
  <c r="Z272" i="68"/>
  <c r="BA272" i="71"/>
  <c r="AY248" i="68"/>
  <c r="AQ284" i="71"/>
  <c r="H284" i="70"/>
  <c r="AV272" i="70"/>
  <c r="F248" i="68"/>
  <c r="U248" i="71"/>
  <c r="R272" i="69"/>
  <c r="AB260" i="68"/>
  <c r="T284" i="71"/>
  <c r="AY272" i="68"/>
  <c r="I248" i="71"/>
  <c r="Z272" i="70"/>
  <c r="I260" i="68"/>
  <c r="AE248" i="70"/>
  <c r="AX248" i="71"/>
  <c r="AA284" i="68"/>
  <c r="AI260" i="71"/>
  <c r="AL272" i="69"/>
  <c r="AF248" i="70"/>
  <c r="I248" i="70"/>
  <c r="AC260" i="70"/>
  <c r="S248" i="71"/>
  <c r="AQ248" i="71"/>
  <c r="BA272" i="68"/>
  <c r="AO272" i="71"/>
  <c r="AH248" i="69"/>
  <c r="AU284" i="70"/>
  <c r="AR284" i="68"/>
  <c r="AI248" i="68"/>
  <c r="L260" i="71"/>
  <c r="AE272" i="70"/>
  <c r="AY260" i="71"/>
  <c r="AX260" i="71"/>
  <c r="AT284" i="68"/>
  <c r="AC272" i="68"/>
  <c r="H248" i="70"/>
  <c r="N248" i="70"/>
  <c r="AP260" i="69"/>
  <c r="AU272" i="68"/>
  <c r="E25" i="46"/>
  <c r="AP284" i="70"/>
  <c r="S272" i="71"/>
  <c r="AG272" i="69"/>
  <c r="AO284" i="68"/>
  <c r="AT284" i="70"/>
  <c r="AG284" i="68"/>
  <c r="N272" i="71"/>
  <c r="V260" i="68"/>
  <c r="AS272" i="68"/>
  <c r="Y260" i="71"/>
  <c r="M260" i="71"/>
  <c r="AK272" i="70"/>
  <c r="AU248" i="71"/>
  <c r="AZ260" i="69"/>
  <c r="E248" i="71"/>
  <c r="AT248" i="70"/>
  <c r="AY260" i="69"/>
  <c r="Y248" i="68"/>
  <c r="W284" i="68"/>
  <c r="J260" i="70"/>
  <c r="V272" i="70"/>
  <c r="M272" i="69"/>
  <c r="R248" i="69"/>
  <c r="E272" i="71"/>
  <c r="O272" i="69"/>
  <c r="AA272" i="69"/>
  <c r="AZ272" i="68"/>
  <c r="M272" i="70"/>
  <c r="L272" i="69"/>
  <c r="V260" i="71"/>
  <c r="BA272" i="70"/>
  <c r="AI260" i="70"/>
  <c r="E284" i="68"/>
  <c r="Q284" i="69"/>
  <c r="N272" i="69"/>
  <c r="AE260" i="69"/>
  <c r="T248" i="68"/>
  <c r="BB260" i="68"/>
  <c r="AM248" i="71"/>
  <c r="T260" i="68"/>
  <c r="J284" i="70"/>
  <c r="AD272" i="68"/>
  <c r="S272" i="70"/>
  <c r="AA248" i="68"/>
  <c r="AY248" i="69"/>
  <c r="AA284" i="71"/>
  <c r="AU272" i="69"/>
  <c r="AS272" i="69"/>
  <c r="U284" i="69"/>
  <c r="AP260" i="71"/>
  <c r="AG248" i="71"/>
  <c r="AE248" i="68"/>
  <c r="T260" i="70"/>
  <c r="AB284" i="70"/>
  <c r="O284" i="70"/>
  <c r="AJ260" i="69"/>
  <c r="AD260" i="70"/>
  <c r="R284" i="71"/>
  <c r="H248" i="68"/>
  <c r="T272" i="70"/>
  <c r="AC272" i="69"/>
  <c r="F260" i="69"/>
  <c r="H284" i="68"/>
  <c r="AY272" i="71"/>
  <c r="AV272" i="71"/>
  <c r="R260" i="71"/>
  <c r="AD272" i="71"/>
  <c r="E260" i="71"/>
  <c r="O248" i="68"/>
  <c r="AD248" i="71"/>
  <c r="AL248" i="71"/>
  <c r="U260" i="68"/>
  <c r="AY248" i="70"/>
  <c r="M284" i="69"/>
  <c r="AN260" i="68"/>
  <c r="AR260" i="71"/>
  <c r="AG260" i="69"/>
  <c r="BB260" i="70"/>
  <c r="AN272" i="69"/>
  <c r="BA248" i="68"/>
  <c r="AK248" i="68"/>
  <c r="G272" i="68"/>
  <c r="AW284" i="68"/>
  <c r="K272" i="68"/>
  <c r="AP272" i="69"/>
  <c r="AW284" i="70"/>
  <c r="AX284" i="70"/>
  <c r="X272" i="70"/>
  <c r="AX284" i="71"/>
  <c r="AU260" i="71"/>
  <c r="R272" i="71"/>
  <c r="R248" i="71"/>
  <c r="P284" i="70"/>
  <c r="AY284" i="70"/>
  <c r="U260" i="69"/>
  <c r="AB260" i="70"/>
  <c r="Q248" i="68"/>
  <c r="AL272" i="68"/>
  <c r="AM260" i="70"/>
  <c r="V284" i="70"/>
  <c r="AK260" i="71"/>
  <c r="W248" i="68"/>
  <c r="AK260" i="69"/>
  <c r="K272" i="69"/>
  <c r="AQ284" i="68"/>
  <c r="G272" i="71"/>
  <c r="G248" i="71"/>
  <c r="K272" i="71"/>
  <c r="K248" i="71"/>
  <c r="E284" i="69"/>
  <c r="AN272" i="70"/>
  <c r="I284" i="71"/>
  <c r="AP248" i="70"/>
  <c r="Y248" i="70"/>
  <c r="AN248" i="68"/>
  <c r="AZ260" i="68"/>
  <c r="F284" i="68"/>
  <c r="Y272" i="68"/>
  <c r="S248" i="70"/>
  <c r="U260" i="70"/>
  <c r="AW284" i="71"/>
  <c r="K260" i="71"/>
  <c r="AX272" i="68"/>
  <c r="BB272" i="68"/>
  <c r="Z284" i="68"/>
  <c r="AK272" i="71"/>
  <c r="BB260" i="71"/>
  <c r="AK284" i="68"/>
  <c r="AZ260" i="71"/>
  <c r="AM260" i="69"/>
  <c r="BB284" i="70"/>
  <c r="W284" i="70"/>
  <c r="AJ248" i="68"/>
  <c r="AS248" i="69"/>
  <c r="M248" i="69"/>
  <c r="AM260" i="68"/>
  <c r="AQ272" i="70"/>
  <c r="U284" i="68"/>
  <c r="AL260" i="69"/>
  <c r="AK248" i="70"/>
  <c r="X248" i="71"/>
  <c r="AV272" i="69"/>
  <c r="E284" i="71"/>
  <c r="X284" i="68"/>
  <c r="T272" i="69"/>
  <c r="Q284" i="71"/>
  <c r="L284" i="68"/>
  <c r="L284" i="70"/>
  <c r="W284" i="71"/>
  <c r="G284" i="70"/>
  <c r="AS284" i="69"/>
  <c r="AT272" i="71"/>
  <c r="G272" i="70"/>
  <c r="G272" i="69"/>
  <c r="BB272" i="71"/>
  <c r="V260" i="69"/>
  <c r="AQ260" i="68"/>
  <c r="AQ284" i="69"/>
  <c r="U248" i="69"/>
  <c r="O260" i="70"/>
  <c r="AA272" i="71"/>
  <c r="W248" i="71"/>
  <c r="AK260" i="68"/>
  <c r="E23" i="46"/>
  <c r="AO284" i="71"/>
  <c r="AT272" i="69"/>
  <c r="N260" i="71"/>
  <c r="AN272" i="68"/>
  <c r="O284" i="69"/>
  <c r="J272" i="69"/>
  <c r="AF272" i="71"/>
  <c r="AN248" i="70"/>
  <c r="Z260" i="69"/>
  <c r="AR248" i="71"/>
  <c r="AP248" i="71"/>
  <c r="AU260" i="70"/>
  <c r="AV260" i="71"/>
  <c r="S248" i="69"/>
  <c r="AR260" i="70"/>
  <c r="AF248" i="71"/>
  <c r="L248" i="69"/>
  <c r="I272" i="70"/>
  <c r="O248" i="69"/>
  <c r="AD272" i="69"/>
  <c r="K260" i="69"/>
  <c r="AM284" i="68"/>
  <c r="AU260" i="69"/>
  <c r="N260" i="68"/>
  <c r="AW248" i="68"/>
  <c r="AM272" i="69"/>
  <c r="AI272" i="68"/>
  <c r="V272" i="69"/>
  <c r="J260" i="71"/>
  <c r="AN284" i="70"/>
  <c r="AS272" i="71"/>
  <c r="AL248" i="70"/>
  <c r="AM248" i="69"/>
  <c r="AL284" i="70"/>
  <c r="AA248" i="71"/>
  <c r="R284" i="70"/>
  <c r="F260" i="70"/>
  <c r="AK284" i="69"/>
  <c r="T284" i="70"/>
  <c r="Z272" i="71"/>
  <c r="AM248" i="68"/>
  <c r="AD260" i="69"/>
  <c r="Z284" i="70"/>
  <c r="AZ248" i="69"/>
  <c r="AT284" i="69"/>
  <c r="AJ272" i="71"/>
  <c r="X260" i="68"/>
  <c r="O272" i="68"/>
  <c r="AJ248" i="69"/>
  <c r="Q260" i="68"/>
  <c r="AF272" i="68"/>
  <c r="AY248" i="71"/>
  <c r="Q284" i="68"/>
  <c r="AH260" i="68"/>
  <c r="AO272" i="70"/>
  <c r="AS284" i="70"/>
  <c r="AG272" i="68"/>
  <c r="R260" i="70"/>
  <c r="X284" i="69"/>
  <c r="AG248" i="70"/>
  <c r="BB248" i="71"/>
  <c r="P284" i="69"/>
  <c r="AC260" i="68"/>
  <c r="F272" i="71"/>
  <c r="AQ272" i="71"/>
  <c r="W260" i="70"/>
  <c r="AF260" i="69"/>
  <c r="AJ284" i="68"/>
  <c r="AV284" i="69"/>
  <c r="P248" i="68"/>
  <c r="AN260" i="70"/>
  <c r="AP272" i="71"/>
  <c r="AE272" i="71"/>
  <c r="AZ248" i="68"/>
  <c r="F260" i="68"/>
  <c r="X272" i="69"/>
  <c r="AK248" i="71"/>
  <c r="M260" i="68"/>
  <c r="H21" i="46"/>
  <c r="U284" i="71"/>
  <c r="AH272" i="71"/>
  <c r="AI284" i="69"/>
  <c r="Y248" i="71"/>
  <c r="AF260" i="68"/>
  <c r="W260" i="68"/>
  <c r="AW284" i="69"/>
  <c r="E260" i="70"/>
  <c r="AB260" i="69"/>
  <c r="H248" i="69"/>
  <c r="AF284" i="69"/>
  <c r="AW272" i="68"/>
  <c r="AI284" i="68"/>
  <c r="AX272" i="71"/>
  <c r="Q272" i="71"/>
  <c r="AQ260" i="71"/>
  <c r="X284" i="71"/>
  <c r="N272" i="70"/>
  <c r="AV284" i="71"/>
  <c r="AY260" i="70"/>
  <c r="AC272" i="71"/>
  <c r="AJ284" i="70"/>
  <c r="I272" i="69"/>
  <c r="BP249" i="71" l="1"/>
  <c r="CU261" i="71"/>
  <c r="BT285" i="69"/>
  <c r="BU285" i="68"/>
  <c r="CJ285" i="68"/>
  <c r="BE285" i="70"/>
  <c r="CK273" i="71"/>
  <c r="CK261" i="70"/>
  <c r="CL273" i="69"/>
  <c r="BE261" i="69"/>
  <c r="CV249" i="69"/>
  <c r="BY273" i="71"/>
  <c r="CT249" i="71"/>
  <c r="CN249" i="70"/>
  <c r="CH273" i="69"/>
  <c r="BY273" i="69"/>
  <c r="CM261" i="68"/>
  <c r="BM285" i="68"/>
  <c r="BO261" i="70"/>
  <c r="CQ261" i="71"/>
  <c r="CI261" i="71"/>
  <c r="CV273" i="70"/>
  <c r="BW249" i="71"/>
  <c r="CG285" i="68"/>
  <c r="CZ273" i="71"/>
  <c r="BI261" i="68"/>
  <c r="CN285" i="69"/>
  <c r="BK285" i="71"/>
  <c r="BE273" i="70"/>
  <c r="CG249" i="71"/>
  <c r="CI261" i="68"/>
  <c r="BS285" i="70"/>
  <c r="CZ285" i="71"/>
  <c r="BQ261" i="69"/>
  <c r="CP261" i="70"/>
  <c r="BJ285" i="68"/>
  <c r="CR285" i="68"/>
  <c r="CU249" i="70"/>
  <c r="CX249" i="71"/>
  <c r="BW273" i="70"/>
  <c r="CF285" i="69"/>
  <c r="BN273" i="71"/>
  <c r="BS261" i="69"/>
  <c r="CN273" i="68"/>
  <c r="CZ261" i="70"/>
  <c r="CP273" i="71"/>
  <c r="CJ261" i="71"/>
  <c r="BH261" i="68"/>
  <c r="CL285" i="69"/>
  <c r="BD261" i="69"/>
  <c r="CL273" i="68"/>
  <c r="CO273" i="68"/>
  <c r="BL273" i="68"/>
  <c r="BX249" i="70"/>
  <c r="CG249" i="69"/>
  <c r="AL299" i="68"/>
  <c r="CK249" i="68"/>
  <c r="BV273" i="70"/>
  <c r="AO299" i="68"/>
  <c r="CN249" i="68"/>
  <c r="CJ261" i="68"/>
  <c r="BT273" i="71"/>
  <c r="BL261" i="68"/>
  <c r="CT273" i="68"/>
  <c r="BI273" i="70"/>
  <c r="CG273" i="69"/>
  <c r="BJ273" i="70"/>
  <c r="CT261" i="70"/>
  <c r="CR273" i="69"/>
  <c r="CW285" i="71"/>
  <c r="DA261" i="71"/>
  <c r="BW261" i="70"/>
  <c r="DA249" i="68"/>
  <c r="BB299" i="68"/>
  <c r="BV273" i="68"/>
  <c r="AW299" i="68"/>
  <c r="CV249" i="68"/>
  <c r="CB273" i="69"/>
  <c r="CR261" i="71"/>
  <c r="BK273" i="69"/>
  <c r="CJ273" i="70"/>
  <c r="CQ249" i="70"/>
  <c r="CE261" i="70"/>
  <c r="CE285" i="69"/>
  <c r="BL285" i="69"/>
  <c r="CK249" i="69"/>
  <c r="CD285" i="69"/>
  <c r="AY299" i="68"/>
  <c r="CX249" i="68"/>
  <c r="CZ261" i="68"/>
  <c r="CP249" i="69"/>
  <c r="BZ273" i="69"/>
  <c r="BZ261" i="71"/>
  <c r="BY273" i="68"/>
  <c r="CN261" i="68"/>
  <c r="BG285" i="69"/>
  <c r="CA261" i="69"/>
  <c r="BM273" i="69"/>
  <c r="DA273" i="70"/>
  <c r="CB249" i="71"/>
  <c r="CJ285" i="69"/>
  <c r="V299" i="68"/>
  <c r="BU249" i="68"/>
  <c r="BW249" i="70"/>
  <c r="CI273" i="68"/>
  <c r="BD249" i="68"/>
  <c r="E299" i="68"/>
  <c r="BE273" i="68"/>
  <c r="CI285" i="69"/>
  <c r="CE273" i="68"/>
  <c r="CW285" i="70"/>
  <c r="BJ261" i="68"/>
  <c r="CT249" i="69"/>
  <c r="BI249" i="70"/>
  <c r="BP285" i="68"/>
  <c r="BP285" i="71"/>
  <c r="BE273" i="71"/>
  <c r="BU285" i="70"/>
  <c r="BY273" i="70"/>
  <c r="CJ261" i="70"/>
  <c r="CR285" i="71"/>
  <c r="CO285" i="71"/>
  <c r="CO261" i="68"/>
  <c r="BE249" i="70"/>
  <c r="CO249" i="70"/>
  <c r="CN273" i="71"/>
  <c r="CF261" i="70"/>
  <c r="BZ261" i="69"/>
  <c r="BS285" i="68"/>
  <c r="BV249" i="71"/>
  <c r="CL285" i="71"/>
  <c r="CJ249" i="71"/>
  <c r="CO261" i="69"/>
  <c r="CV261" i="71"/>
  <c r="AP299" i="68"/>
  <c r="CO249" i="68"/>
  <c r="BI273" i="68"/>
  <c r="CO249" i="71"/>
  <c r="CT273" i="69"/>
  <c r="CD249" i="70"/>
  <c r="CJ273" i="71"/>
  <c r="DA261" i="69"/>
  <c r="CX273" i="69"/>
  <c r="BZ249" i="69"/>
  <c r="BM261" i="68"/>
  <c r="BS273" i="70"/>
  <c r="CY249" i="71"/>
  <c r="CZ261" i="71"/>
  <c r="BL261" i="71"/>
  <c r="CD285" i="68"/>
  <c r="CA261" i="71"/>
  <c r="BY249" i="69"/>
  <c r="CX249" i="70"/>
  <c r="CN273" i="69"/>
  <c r="CY285" i="70"/>
  <c r="BL285" i="68"/>
  <c r="CP273" i="69"/>
  <c r="CL249" i="70"/>
  <c r="CQ273" i="68"/>
  <c r="BQ261" i="68"/>
  <c r="BD285" i="70"/>
  <c r="BK285" i="69"/>
  <c r="BK261" i="68"/>
  <c r="CP273" i="70"/>
  <c r="BM261" i="69"/>
  <c r="BD285" i="71"/>
  <c r="BY261" i="71"/>
  <c r="BE261" i="70"/>
  <c r="BW261" i="69"/>
  <c r="CC273" i="70"/>
  <c r="CU249" i="71"/>
  <c r="BM273" i="70"/>
  <c r="CI249" i="71"/>
  <c r="CZ285" i="68"/>
  <c r="BP261" i="68"/>
  <c r="CV285" i="70"/>
  <c r="BT249" i="70"/>
  <c r="CB261" i="71"/>
  <c r="CZ249" i="70"/>
  <c r="BR273" i="68"/>
  <c r="BS249" i="69"/>
  <c r="CB261" i="68"/>
  <c r="CL261" i="70"/>
  <c r="BH249" i="71"/>
  <c r="CE285" i="70"/>
  <c r="CM285" i="68"/>
  <c r="CB249" i="70"/>
  <c r="W299" i="68"/>
  <c r="BV249" i="68"/>
  <c r="BP261" i="69"/>
  <c r="BH285" i="71"/>
  <c r="CZ273" i="68"/>
  <c r="BZ261" i="68"/>
  <c r="BJ261" i="70"/>
  <c r="CQ285" i="70"/>
  <c r="BZ273" i="71"/>
  <c r="BH261" i="70"/>
  <c r="BW273" i="69"/>
  <c r="BM249" i="70"/>
  <c r="BW273" i="68"/>
  <c r="CY273" i="71"/>
  <c r="CD273" i="69"/>
  <c r="CQ249" i="71"/>
  <c r="BZ285" i="71"/>
  <c r="BV261" i="69"/>
  <c r="BY285" i="68"/>
  <c r="BP285" i="70"/>
  <c r="CL273" i="71"/>
  <c r="CV273" i="71"/>
  <c r="CT261" i="69"/>
  <c r="BG249" i="68"/>
  <c r="H299" i="68"/>
  <c r="BK261" i="69"/>
  <c r="BV261" i="70"/>
  <c r="BX261" i="71"/>
  <c r="CN249" i="69"/>
  <c r="BL285" i="70"/>
  <c r="BD273" i="70"/>
  <c r="BT261" i="68"/>
  <c r="BG273" i="71"/>
  <c r="CQ273" i="70"/>
  <c r="CG249" i="70"/>
  <c r="BN249" i="70"/>
  <c r="CQ249" i="69"/>
  <c r="CH285" i="68"/>
  <c r="BH261" i="69"/>
  <c r="CP285" i="70"/>
  <c r="BO261" i="71"/>
  <c r="BZ261" i="70"/>
  <c r="BL273" i="69"/>
  <c r="CI285" i="70"/>
  <c r="BP273" i="71"/>
  <c r="BU249" i="69"/>
  <c r="BQ285" i="70"/>
  <c r="BI249" i="71"/>
  <c r="BJ249" i="69"/>
  <c r="CB285" i="70"/>
  <c r="CE249" i="68"/>
  <c r="AF299" i="68"/>
  <c r="CX285" i="71"/>
  <c r="BE285" i="71"/>
  <c r="CI249" i="69"/>
  <c r="CO273" i="69"/>
  <c r="CZ285" i="69"/>
  <c r="CR249" i="71"/>
  <c r="CG261" i="69"/>
  <c r="CR249" i="68"/>
  <c r="AS299" i="68"/>
  <c r="BL249" i="71"/>
  <c r="BO285" i="69"/>
  <c r="CK273" i="68"/>
  <c r="CX273" i="68"/>
  <c r="CS249" i="71"/>
  <c r="BG273" i="70"/>
  <c r="CH261" i="69"/>
  <c r="CC249" i="69"/>
  <c r="BX285" i="71"/>
  <c r="CM273" i="70"/>
  <c r="CP249" i="71"/>
  <c r="CH273" i="71"/>
  <c r="BV261" i="71"/>
  <c r="BD261" i="68"/>
  <c r="BN261" i="70"/>
  <c r="CM249" i="68"/>
  <c r="AN299" i="68"/>
  <c r="BE261" i="68"/>
  <c r="BG249" i="70"/>
  <c r="CK261" i="71"/>
  <c r="BM249" i="69"/>
  <c r="BI261" i="69"/>
  <c r="BY261" i="69"/>
  <c r="CX249" i="69"/>
  <c r="BO273" i="71"/>
  <c r="DA273" i="68"/>
  <c r="BN285" i="68"/>
  <c r="BH285" i="69"/>
  <c r="BE285" i="69"/>
  <c r="CL285" i="68"/>
  <c r="BQ285" i="71"/>
  <c r="BJ285" i="69"/>
  <c r="BK273" i="71"/>
  <c r="CR273" i="68"/>
  <c r="BP273" i="69"/>
  <c r="CF273" i="71"/>
  <c r="CW261" i="70"/>
  <c r="CK249" i="71"/>
  <c r="CC249" i="70"/>
  <c r="BO273" i="68"/>
  <c r="BI285" i="71"/>
  <c r="BY261" i="68"/>
  <c r="CN261" i="71"/>
  <c r="CW285" i="68"/>
  <c r="BV285" i="69"/>
  <c r="BH249" i="69"/>
  <c r="CT261" i="68"/>
  <c r="BU249" i="70"/>
  <c r="CT285" i="70"/>
  <c r="BF285" i="70"/>
  <c r="BN249" i="71"/>
  <c r="CA273" i="68"/>
  <c r="BZ249" i="71"/>
  <c r="CV249" i="71"/>
  <c r="BJ249" i="70"/>
  <c r="CY261" i="70"/>
  <c r="BW273" i="71"/>
  <c r="CO273" i="70"/>
  <c r="CM285" i="69"/>
  <c r="BN273" i="68"/>
  <c r="BJ273" i="68"/>
  <c r="BH285" i="70"/>
  <c r="BE261" i="71"/>
  <c r="CN261" i="70"/>
  <c r="BQ285" i="68"/>
  <c r="BW285" i="71"/>
  <c r="DA249" i="71"/>
  <c r="Q299" i="68"/>
  <c r="BP249" i="68"/>
  <c r="BS285" i="71"/>
  <c r="CX273" i="70"/>
  <c r="AB299" i="68"/>
  <c r="CA249" i="68"/>
  <c r="CY285" i="71"/>
  <c r="CD273" i="68"/>
  <c r="BH285" i="68"/>
  <c r="BD285" i="69"/>
  <c r="BR249" i="71"/>
  <c r="BF249" i="70"/>
  <c r="CT285" i="69"/>
  <c r="CP261" i="69"/>
  <c r="BT249" i="69"/>
  <c r="BU249" i="71"/>
  <c r="CY249" i="68"/>
  <c r="AZ299" i="68"/>
  <c r="CB273" i="68"/>
  <c r="BU273" i="68"/>
  <c r="AR299" i="68"/>
  <c r="CQ249" i="68"/>
  <c r="CF249" i="68"/>
  <c r="AG299" i="68"/>
  <c r="CM249" i="70"/>
  <c r="BZ249" i="68"/>
  <c r="AA299" i="68"/>
  <c r="BD261" i="70"/>
  <c r="CW273" i="68"/>
  <c r="BG261" i="70"/>
  <c r="CT285" i="68"/>
  <c r="BR249" i="68"/>
  <c r="S299" i="68"/>
  <c r="BJ261" i="69"/>
  <c r="CC261" i="70"/>
  <c r="CH249" i="71"/>
  <c r="CL261" i="68"/>
  <c r="BU261" i="68"/>
  <c r="BQ273" i="70"/>
  <c r="CR249" i="70"/>
  <c r="CV261" i="68"/>
  <c r="CC249" i="71"/>
  <c r="CX285" i="69"/>
  <c r="BP249" i="70"/>
  <c r="BU273" i="70"/>
  <c r="BU261" i="70"/>
  <c r="CC285" i="69"/>
  <c r="CJ249" i="70"/>
  <c r="BR261" i="70"/>
  <c r="CB285" i="71"/>
  <c r="BF261" i="71"/>
  <c r="BZ273" i="68"/>
  <c r="BK261" i="70"/>
  <c r="CK285" i="71"/>
  <c r="BL273" i="70"/>
  <c r="CF285" i="71"/>
  <c r="CK285" i="70"/>
  <c r="BE273" i="69"/>
  <c r="BI273" i="71"/>
  <c r="CO285" i="69"/>
  <c r="BG285" i="71"/>
  <c r="CJ285" i="70"/>
  <c r="CG273" i="70"/>
  <c r="BW261" i="68"/>
  <c r="CV285" i="68"/>
  <c r="CE273" i="70"/>
  <c r="BM249" i="68"/>
  <c r="N299" i="68"/>
  <c r="CQ273" i="69"/>
  <c r="CH285" i="70"/>
  <c r="BN261" i="69"/>
  <c r="CF249" i="70"/>
  <c r="CA261" i="70"/>
  <c r="CA261" i="68"/>
  <c r="DA249" i="69"/>
  <c r="CM249" i="69"/>
  <c r="BI249" i="69"/>
  <c r="CH261" i="70"/>
  <c r="BW249" i="69"/>
  <c r="BJ249" i="71"/>
  <c r="CB261" i="70"/>
  <c r="CO261" i="70"/>
  <c r="BX249" i="69"/>
  <c r="BY249" i="68"/>
  <c r="Z299" i="68"/>
  <c r="CP285" i="69"/>
  <c r="CE285" i="68"/>
  <c r="CD273" i="71"/>
  <c r="CS285" i="68"/>
  <c r="BP249" i="69"/>
  <c r="BR285" i="71"/>
  <c r="BD273" i="69"/>
  <c r="CE273" i="71"/>
  <c r="BR273" i="70"/>
  <c r="CV285" i="69"/>
  <c r="BJ261" i="71"/>
  <c r="BG261" i="71"/>
  <c r="CA273" i="69"/>
  <c r="CT273" i="71"/>
  <c r="CC273" i="69"/>
  <c r="CI261" i="69"/>
  <c r="CI273" i="69"/>
  <c r="BL249" i="69"/>
  <c r="BM273" i="71"/>
  <c r="CX261" i="70"/>
  <c r="BM249" i="71"/>
  <c r="CE249" i="69"/>
  <c r="O299" i="68"/>
  <c r="BN249" i="68"/>
  <c r="CR261" i="70"/>
  <c r="CU261" i="68"/>
  <c r="BI261" i="70"/>
  <c r="BS261" i="71"/>
  <c r="BU285" i="69"/>
  <c r="BN273" i="69"/>
  <c r="BQ249" i="70"/>
  <c r="BT273" i="70"/>
  <c r="BO249" i="69"/>
  <c r="CT285" i="71"/>
  <c r="CW261" i="69"/>
  <c r="BO285" i="71"/>
  <c r="BX285" i="69"/>
  <c r="CZ273" i="69"/>
  <c r="CL249" i="69"/>
  <c r="BF285" i="68"/>
  <c r="CG261" i="71"/>
  <c r="CS261" i="69"/>
  <c r="CD261" i="69"/>
  <c r="BZ285" i="70"/>
  <c r="BF261" i="68"/>
  <c r="CI273" i="71"/>
  <c r="BF273" i="68"/>
  <c r="CS249" i="69"/>
  <c r="CK273" i="70"/>
  <c r="BG273" i="69"/>
  <c r="BS249" i="71"/>
  <c r="BU261" i="71"/>
  <c r="BW285" i="69"/>
  <c r="BT261" i="69"/>
  <c r="BQ273" i="69"/>
  <c r="BZ285" i="69"/>
  <c r="CS273" i="70"/>
  <c r="BO261" i="69"/>
  <c r="CU285" i="71"/>
  <c r="BT261" i="71"/>
  <c r="BJ273" i="71"/>
  <c r="BH249" i="70"/>
  <c r="CY273" i="70"/>
  <c r="CA273" i="71"/>
  <c r="CZ249" i="71"/>
  <c r="CP261" i="68"/>
  <c r="BX273" i="70"/>
  <c r="CO273" i="71"/>
  <c r="CW261" i="71"/>
  <c r="BT273" i="68"/>
  <c r="CW249" i="69"/>
  <c r="CE285" i="71"/>
  <c r="BI273" i="69"/>
  <c r="CC273" i="68"/>
  <c r="BV261" i="68"/>
  <c r="CV285" i="71"/>
  <c r="BN261" i="68"/>
  <c r="BG261" i="68"/>
  <c r="BO261" i="68"/>
  <c r="BN249" i="69"/>
  <c r="BN285" i="70"/>
  <c r="BX285" i="70"/>
  <c r="CR249" i="69"/>
  <c r="CF285" i="68"/>
  <c r="BK285" i="70"/>
  <c r="CL285" i="70"/>
  <c r="BM285" i="71"/>
  <c r="BD261" i="71"/>
  <c r="BN261" i="71"/>
  <c r="BD273" i="68"/>
  <c r="BV285" i="68"/>
  <c r="CZ285" i="70"/>
  <c r="CZ249" i="69"/>
  <c r="AU299" i="68"/>
  <c r="CT249" i="68"/>
  <c r="CZ261" i="69"/>
  <c r="BM261" i="70"/>
  <c r="CU285" i="70"/>
  <c r="CR273" i="70"/>
  <c r="BE249" i="69"/>
  <c r="CM249" i="71"/>
  <c r="CU273" i="69"/>
  <c r="BP261" i="70"/>
  <c r="CK249" i="70"/>
  <c r="BL273" i="71"/>
  <c r="CS285" i="71"/>
  <c r="BJ285" i="70"/>
  <c r="BS273" i="68"/>
  <c r="BX261" i="69"/>
  <c r="DA249" i="70"/>
  <c r="CS285" i="69"/>
  <c r="CJ249" i="68"/>
  <c r="AK299" i="68"/>
  <c r="CS249" i="68"/>
  <c r="AT299" i="68"/>
  <c r="CW249" i="70"/>
  <c r="CA249" i="70"/>
  <c r="CG285" i="69"/>
  <c r="BS273" i="69"/>
  <c r="BQ261" i="70"/>
  <c r="CX285" i="70"/>
  <c r="BT249" i="71"/>
  <c r="CU285" i="68"/>
  <c r="BF285" i="69"/>
  <c r="CJ249" i="69"/>
  <c r="CH273" i="70"/>
  <c r="CU249" i="68"/>
  <c r="AV299" i="68"/>
  <c r="BF249" i="71"/>
  <c r="CE249" i="70"/>
  <c r="BY261" i="70"/>
  <c r="BE249" i="71"/>
  <c r="BK273" i="70"/>
  <c r="BU261" i="69"/>
  <c r="BV249" i="70"/>
  <c r="CM261" i="70"/>
  <c r="CX261" i="71"/>
  <c r="CA285" i="71"/>
  <c r="BK249" i="70"/>
  <c r="CV249" i="70"/>
  <c r="BN285" i="69"/>
  <c r="BI285" i="70"/>
  <c r="CE261" i="68"/>
  <c r="BT261" i="70"/>
  <c r="CE273" i="69"/>
  <c r="BT285" i="70"/>
  <c r="BR261" i="68"/>
  <c r="BH273" i="70"/>
  <c r="CA285" i="70"/>
  <c r="CU249" i="69"/>
  <c r="CI249" i="68"/>
  <c r="AJ299" i="68"/>
  <c r="CS285" i="70"/>
  <c r="BD285" i="68"/>
  <c r="CA249" i="71"/>
  <c r="BG249" i="69"/>
  <c r="CC273" i="71"/>
  <c r="BV273" i="71"/>
  <c r="DA285" i="69"/>
  <c r="Y299" i="68"/>
  <c r="BX249" i="68"/>
  <c r="CD249" i="71"/>
  <c r="CQ261" i="69"/>
  <c r="CV273" i="68"/>
  <c r="BS285" i="69"/>
  <c r="BX273" i="69"/>
  <c r="CH285" i="71"/>
  <c r="CN249" i="71"/>
  <c r="CB249" i="69"/>
  <c r="BP285" i="69"/>
  <c r="BH273" i="68"/>
  <c r="CS261" i="71"/>
  <c r="CR273" i="71"/>
  <c r="BR285" i="70"/>
  <c r="CI249" i="70"/>
  <c r="CM285" i="71"/>
  <c r="BH273" i="69"/>
  <c r="CB285" i="68"/>
  <c r="CD261" i="70"/>
  <c r="CY249" i="69"/>
  <c r="CZ249" i="68"/>
  <c r="BA299" i="68"/>
  <c r="BW261" i="71"/>
  <c r="CW285" i="69"/>
  <c r="BR261" i="69"/>
  <c r="CS261" i="70"/>
  <c r="BY249" i="71"/>
  <c r="CF273" i="68"/>
  <c r="BO285" i="70"/>
  <c r="F299" i="68"/>
  <c r="BE249" i="68"/>
  <c r="BP261" i="71"/>
  <c r="DA285" i="68"/>
  <c r="DA285" i="71"/>
  <c r="BK285" i="68"/>
  <c r="BM273" i="68"/>
  <c r="BF273" i="71"/>
  <c r="CK273" i="69"/>
  <c r="CM261" i="69"/>
  <c r="CC285" i="71"/>
  <c r="BD249" i="69"/>
  <c r="DA273" i="71"/>
  <c r="BK249" i="71"/>
  <c r="BO249" i="68"/>
  <c r="P299" i="68"/>
  <c r="CD273" i="70"/>
  <c r="BZ249" i="70"/>
  <c r="CR261" i="69"/>
  <c r="BV249" i="69"/>
  <c r="CM273" i="68"/>
  <c r="BS261" i="68"/>
  <c r="BX249" i="71"/>
  <c r="BR249" i="70"/>
  <c r="BT273" i="69"/>
  <c r="CV261" i="69"/>
  <c r="CJ273" i="69"/>
  <c r="BK249" i="69"/>
  <c r="BS261" i="70"/>
  <c r="BS249" i="70"/>
  <c r="BV285" i="70"/>
  <c r="CN285" i="68"/>
  <c r="AX299" i="68"/>
  <c r="CW249" i="68"/>
  <c r="CU261" i="69"/>
  <c r="BT285" i="68"/>
  <c r="BQ261" i="71"/>
  <c r="CA249" i="69"/>
  <c r="CW261" i="68"/>
  <c r="CX261" i="69"/>
  <c r="BR285" i="69"/>
  <c r="DA273" i="69"/>
  <c r="BI249" i="68"/>
  <c r="J299" i="68"/>
  <c r="CD261" i="71"/>
  <c r="BN285" i="71"/>
  <c r="CQ285" i="69"/>
  <c r="BY249" i="70"/>
  <c r="CV261" i="70"/>
  <c r="CF261" i="71"/>
  <c r="CY273" i="68"/>
  <c r="BK273" i="68"/>
  <c r="CM285" i="70"/>
  <c r="BW285" i="70"/>
  <c r="BX261" i="70"/>
  <c r="CD285" i="71"/>
  <c r="CR285" i="69"/>
  <c r="CP273" i="68"/>
  <c r="CM273" i="71"/>
  <c r="BY285" i="70"/>
  <c r="CM273" i="69"/>
  <c r="CJ273" i="68"/>
  <c r="CF249" i="69"/>
  <c r="BG249" i="71"/>
  <c r="CT249" i="70"/>
  <c r="CP261" i="71"/>
  <c r="CR285" i="70"/>
  <c r="BQ249" i="71"/>
  <c r="CU273" i="70"/>
  <c r="BY285" i="71"/>
  <c r="CL261" i="71"/>
  <c r="CQ273" i="71"/>
  <c r="CU261" i="70"/>
  <c r="CG285" i="71"/>
  <c r="CP285" i="68"/>
  <c r="CH261" i="71"/>
  <c r="CY285" i="69"/>
  <c r="CF261" i="68"/>
  <c r="CV273" i="69"/>
  <c r="BF273" i="69"/>
  <c r="BF249" i="69"/>
  <c r="CU285" i="69"/>
  <c r="BK261" i="71"/>
  <c r="CI261" i="70"/>
  <c r="BQ273" i="68"/>
  <c r="CO249" i="69"/>
  <c r="BM261" i="71"/>
  <c r="CL249" i="71"/>
  <c r="CH285" i="69"/>
  <c r="BX273" i="68"/>
  <c r="BG261" i="69"/>
  <c r="CW273" i="70"/>
  <c r="CR261" i="68"/>
  <c r="CE249" i="71"/>
  <c r="AE299" i="68"/>
  <c r="CD249" i="68"/>
  <c r="CB273" i="70"/>
  <c r="DA285" i="70"/>
  <c r="CF273" i="69"/>
  <c r="CL273" i="70"/>
  <c r="BM285" i="70"/>
  <c r="BQ249" i="69"/>
  <c r="CU273" i="71"/>
  <c r="BX261" i="68"/>
  <c r="CA285" i="68"/>
  <c r="CS249" i="70"/>
  <c r="CC249" i="68"/>
  <c r="AD299" i="68"/>
  <c r="CU273" i="68"/>
  <c r="CN261" i="69"/>
  <c r="BY285" i="69"/>
  <c r="M299" i="68"/>
  <c r="BL249" i="68"/>
  <c r="CC261" i="68"/>
  <c r="BO273" i="70"/>
  <c r="CK285" i="68"/>
  <c r="CB273" i="71"/>
  <c r="CW273" i="71"/>
  <c r="K299" i="68"/>
  <c r="BJ249" i="68"/>
  <c r="BI261" i="71"/>
  <c r="BZ273" i="70"/>
  <c r="BS273" i="71"/>
  <c r="R299" i="68"/>
  <c r="BQ249" i="68"/>
  <c r="CK285" i="69"/>
  <c r="CP249" i="70"/>
  <c r="CH249" i="69"/>
  <c r="CC261" i="69"/>
  <c r="DA261" i="70"/>
  <c r="BL261" i="70"/>
  <c r="CD285" i="70"/>
  <c r="CA285" i="69"/>
  <c r="BT249" i="68"/>
  <c r="U299" i="68"/>
  <c r="CI285" i="71"/>
  <c r="CN273" i="70"/>
  <c r="BQ273" i="71"/>
  <c r="BG285" i="70"/>
  <c r="CO285" i="68"/>
  <c r="BF261" i="69"/>
  <c r="CQ261" i="68"/>
  <c r="BJ285" i="71"/>
  <c r="BI285" i="69"/>
  <c r="BJ273" i="69"/>
  <c r="BZ285" i="68"/>
  <c r="BD249" i="70"/>
  <c r="CC285" i="70"/>
  <c r="BO249" i="70"/>
  <c r="BF273" i="70"/>
  <c r="AH299" i="68"/>
  <c r="CG249" i="68"/>
  <c r="CI285" i="68"/>
  <c r="CH249" i="68"/>
  <c r="AI299" i="68"/>
  <c r="BF285" i="71"/>
  <c r="CY285" i="68"/>
  <c r="CJ285" i="71"/>
  <c r="CS273" i="69"/>
  <c r="DA261" i="68"/>
  <c r="CG273" i="71"/>
  <c r="BE285" i="68"/>
  <c r="BU273" i="71"/>
  <c r="CD249" i="69"/>
  <c r="CG261" i="70"/>
  <c r="CQ261" i="70"/>
  <c r="CF249" i="71"/>
  <c r="CN285" i="70"/>
  <c r="CL261" i="69"/>
  <c r="BR273" i="71"/>
  <c r="BX285" i="68"/>
  <c r="BO273" i="69"/>
  <c r="CG285" i="70"/>
  <c r="CX273" i="71"/>
  <c r="CH261" i="68"/>
  <c r="BR285" i="68"/>
  <c r="BD249" i="71"/>
  <c r="BP273" i="70"/>
  <c r="BV273" i="69"/>
  <c r="BD273" i="71"/>
  <c r="CD261" i="68"/>
  <c r="CS261" i="68"/>
  <c r="BF261" i="70"/>
  <c r="CC285" i="68"/>
  <c r="BK249" i="68"/>
  <c r="L299" i="68"/>
  <c r="BL249" i="70"/>
  <c r="CS273" i="68"/>
  <c r="CG273" i="68"/>
  <c r="BU273" i="69"/>
  <c r="X299" i="68"/>
  <c r="BW249" i="68"/>
  <c r="CB285" i="69"/>
  <c r="BL261" i="69"/>
  <c r="CX285" i="68"/>
  <c r="BO249" i="71"/>
  <c r="BI285" i="68"/>
  <c r="AM299" i="68"/>
  <c r="CL249" i="68"/>
  <c r="CF261" i="69"/>
  <c r="CH249" i="70"/>
  <c r="CI273" i="70"/>
  <c r="BP273" i="68"/>
  <c r="AC299" i="68"/>
  <c r="CB249" i="68"/>
  <c r="BW285" i="68"/>
  <c r="CG261" i="68"/>
  <c r="CT261" i="71"/>
  <c r="CP285" i="71"/>
  <c r="BM285" i="69"/>
  <c r="CX261" i="68"/>
  <c r="BL285" i="71"/>
  <c r="CZ273" i="70"/>
  <c r="BU285" i="71"/>
  <c r="CJ261" i="69"/>
  <c r="CW249" i="71"/>
  <c r="CK261" i="68"/>
  <c r="CB261" i="69"/>
  <c r="BH261" i="71"/>
  <c r="CS273" i="71"/>
  <c r="BR261" i="71"/>
  <c r="CE261" i="69"/>
  <c r="CQ285" i="68"/>
  <c r="I299" i="68"/>
  <c r="BH249" i="68"/>
  <c r="AQ299" i="68"/>
  <c r="CP249" i="68"/>
  <c r="CF285" i="70"/>
  <c r="CN285" i="71"/>
  <c r="T299" i="68"/>
  <c r="BS249" i="68"/>
  <c r="BT285" i="71"/>
  <c r="CY261" i="68"/>
  <c r="CY273" i="69"/>
  <c r="CF273" i="70"/>
  <c r="CE261" i="71"/>
  <c r="BR249" i="69"/>
  <c r="CO261" i="71"/>
  <c r="BN273" i="70"/>
  <c r="CY261" i="71"/>
  <c r="CO285" i="70"/>
  <c r="CW273" i="69"/>
  <c r="CQ285" i="71"/>
  <c r="BR273" i="69"/>
  <c r="BG285" i="68"/>
  <c r="CA273" i="70"/>
  <c r="BO285" i="68"/>
  <c r="CY261" i="69"/>
  <c r="CY249" i="70"/>
  <c r="BG273" i="68"/>
  <c r="CK261" i="69"/>
  <c r="BH273" i="71"/>
  <c r="CC261" i="71"/>
  <c r="BX273" i="71"/>
  <c r="CT273" i="70"/>
  <c r="BQ285" i="69"/>
  <c r="BV285" i="71"/>
  <c r="G299" i="68"/>
  <c r="BF249" i="68"/>
  <c r="CM261" i="71"/>
  <c r="CH273" i="68"/>
  <c r="P32" i="77"/>
  <c r="P36" i="77" s="1"/>
  <c r="P31" i="77"/>
  <c r="P40" i="77" s="1"/>
  <c r="J32" i="77"/>
  <c r="J36" i="77" s="1"/>
  <c r="P11" i="77"/>
  <c r="V15" i="77" s="1"/>
  <c r="P10" i="77"/>
  <c r="P16" i="77" s="1"/>
  <c r="J10" i="77"/>
  <c r="J17" i="77" s="1"/>
  <c r="J46" i="77"/>
  <c r="N31" i="77"/>
  <c r="J44" i="77"/>
  <c r="J45" i="77"/>
  <c r="J42" i="77"/>
  <c r="J43" i="77"/>
  <c r="J40" i="77"/>
  <c r="J41" i="77"/>
  <c r="J39" i="77"/>
  <c r="J35" i="77"/>
  <c r="J37" i="77"/>
  <c r="I70" i="57"/>
  <c r="G31" i="77" s="1"/>
  <c r="J15" i="77"/>
  <c r="O68" i="57"/>
  <c r="IM10" i="79" s="1"/>
  <c r="L68" i="57"/>
  <c r="HW10" i="79"/>
  <c r="I68" i="57"/>
  <c r="II10" i="79" s="1"/>
  <c r="LD10" i="79"/>
  <c r="L111" i="57"/>
  <c r="O111" i="57"/>
  <c r="LE10" i="79"/>
  <c r="IA10" i="79"/>
  <c r="IF10" i="79"/>
  <c r="F67" i="57"/>
  <c r="G36" i="77" s="1"/>
  <c r="ID10" i="79"/>
  <c r="IB10" i="79"/>
  <c r="G32" i="46"/>
  <c r="AN10" i="79" s="1"/>
  <c r="AN32" i="46"/>
  <c r="AQ10" i="79" s="1"/>
  <c r="AD32" i="46"/>
  <c r="AP10" i="79" s="1"/>
  <c r="I23" i="46"/>
  <c r="D2" i="77" s="1"/>
  <c r="L17" i="77" s="1"/>
  <c r="P10" i="79"/>
  <c r="D10" i="79"/>
  <c r="L10" i="79"/>
  <c r="H10" i="79"/>
  <c r="B2" i="77"/>
  <c r="B4" i="77"/>
  <c r="F3" i="77" s="1"/>
  <c r="AC66" i="57"/>
  <c r="JA10" i="79"/>
  <c r="AE66" i="57"/>
  <c r="O72" i="57"/>
  <c r="JG10" i="79" s="1"/>
  <c r="R96" i="57"/>
  <c r="O96" i="57"/>
  <c r="L96" i="57"/>
  <c r="F96" i="57"/>
  <c r="I96" i="57"/>
  <c r="IE10" i="79"/>
  <c r="AC15" i="57"/>
  <c r="AA14" i="57"/>
  <c r="AB15" i="57"/>
  <c r="AC14" i="57"/>
  <c r="AB13" i="57"/>
  <c r="AA12" i="57"/>
  <c r="AC59" i="57"/>
  <c r="AC12" i="57"/>
  <c r="AA58" i="57"/>
  <c r="Z12" i="57"/>
  <c r="AB58" i="57"/>
  <c r="Z14" i="57"/>
  <c r="AA13" i="57"/>
  <c r="AC60" i="57"/>
  <c r="AA60" i="57"/>
  <c r="Z13" i="57"/>
  <c r="AC58" i="57"/>
  <c r="AB61" i="57"/>
  <c r="AC61" i="57"/>
  <c r="Z59" i="57"/>
  <c r="AA15" i="57"/>
  <c r="AB59" i="57"/>
  <c r="AA61" i="57"/>
  <c r="AB60" i="57"/>
  <c r="AB14" i="57"/>
  <c r="Z15" i="57"/>
  <c r="AB12" i="57"/>
  <c r="AC13" i="57"/>
  <c r="Z61" i="57"/>
  <c r="Z58" i="57"/>
  <c r="Z60" i="57"/>
  <c r="AA59" i="57"/>
  <c r="E286" i="68" l="1" a="1"/>
  <c r="E286" i="68" s="1"/>
  <c r="F286" i="68" s="1" a="1"/>
  <c r="F286" i="68" s="1"/>
  <c r="F287" i="68" s="1"/>
  <c r="E250" i="68" a="1"/>
  <c r="E250" i="68" s="1"/>
  <c r="F250" i="68" s="1" a="1"/>
  <c r="F250" i="68" s="1"/>
  <c r="F251" i="68" s="1"/>
  <c r="E274" i="68" a="1"/>
  <c r="E274" i="68" s="1"/>
  <c r="F274" i="68" s="1" a="1"/>
  <c r="F274" i="68" s="1"/>
  <c r="F275" i="68" s="1"/>
  <c r="E262" i="68" a="1"/>
  <c r="E262" i="68" s="1"/>
  <c r="F262" i="68" s="1" a="1"/>
  <c r="F262" i="68" s="1"/>
  <c r="F263" i="68" s="1"/>
  <c r="L15" i="77"/>
  <c r="L16" i="77"/>
  <c r="L11" i="77"/>
  <c r="QO10" i="79" s="1"/>
  <c r="L14" i="77"/>
  <c r="X17" i="77"/>
  <c r="UU10" i="79" s="1"/>
  <c r="X18" i="77"/>
  <c r="UV10" i="79" s="1"/>
  <c r="X16" i="77"/>
  <c r="UT10" i="79" s="1"/>
  <c r="X11" i="77"/>
  <c r="UO10" i="79" s="1"/>
  <c r="X10" i="77"/>
  <c r="UN10" i="79" s="1"/>
  <c r="R16" i="77"/>
  <c r="ST10" i="79" s="1"/>
  <c r="R10" i="77"/>
  <c r="SN10" i="79" s="1"/>
  <c r="R11" i="77"/>
  <c r="SO10" i="79" s="1"/>
  <c r="QU10" i="79"/>
  <c r="L10" i="77"/>
  <c r="QN10" i="79" s="1"/>
  <c r="I58" i="57"/>
  <c r="HR10" i="79" s="1"/>
  <c r="T31" i="77"/>
  <c r="P38" i="77"/>
  <c r="P35" i="77"/>
  <c r="P37" i="77"/>
  <c r="P46" i="77"/>
  <c r="P42" i="77"/>
  <c r="P41" i="77"/>
  <c r="P44" i="77"/>
  <c r="P43" i="77"/>
  <c r="P14" i="77"/>
  <c r="P45" i="77"/>
  <c r="P39" i="77"/>
  <c r="P23" i="77"/>
  <c r="T10" i="77"/>
  <c r="P17" i="77"/>
  <c r="R17" i="77" s="1"/>
  <c r="SU10" i="79" s="1"/>
  <c r="P15" i="77"/>
  <c r="P20" i="77"/>
  <c r="P19" i="77"/>
  <c r="P22" i="77"/>
  <c r="P21" i="77"/>
  <c r="P24" i="77"/>
  <c r="P18" i="77"/>
  <c r="R18" i="77" s="1"/>
  <c r="SV10" i="79" s="1"/>
  <c r="J24" i="77"/>
  <c r="J16" i="77"/>
  <c r="J19" i="77"/>
  <c r="J20" i="77"/>
  <c r="J14" i="77"/>
  <c r="J18" i="77"/>
  <c r="L18" i="77" s="1"/>
  <c r="QV10" i="79" s="1"/>
  <c r="J21" i="77"/>
  <c r="J23" i="77"/>
  <c r="J22" i="77"/>
  <c r="N10" i="77"/>
  <c r="I61" i="57"/>
  <c r="I59" i="57"/>
  <c r="I60" i="57"/>
  <c r="I13" i="57"/>
  <c r="I15" i="57"/>
  <c r="I14" i="57"/>
  <c r="I12" i="57"/>
  <c r="IS10" i="79"/>
  <c r="O69" i="57"/>
  <c r="IN10" i="79" s="1"/>
  <c r="W18" i="77"/>
  <c r="W10" i="77"/>
  <c r="W17" i="77"/>
  <c r="W11" i="77"/>
  <c r="W16" i="77"/>
  <c r="Q11" i="77"/>
  <c r="Q10" i="77"/>
  <c r="Q16" i="77"/>
  <c r="K17" i="77"/>
  <c r="K10" i="77"/>
  <c r="K11" i="77"/>
  <c r="K18" i="77"/>
  <c r="I71" i="57"/>
  <c r="L69" i="57"/>
  <c r="IL10" i="79" s="1"/>
  <c r="HX10" i="79"/>
  <c r="I69" i="57"/>
  <c r="IJ10" i="79" s="1"/>
  <c r="L72" i="57"/>
  <c r="JE10" i="79" s="1"/>
  <c r="AD66" i="57"/>
  <c r="IK10" i="79"/>
  <c r="O73" i="57"/>
  <c r="JH10" i="79" s="1"/>
  <c r="AD67" i="57"/>
  <c r="L73" i="57"/>
  <c r="JF10" i="79" s="1"/>
  <c r="AF67" i="57"/>
  <c r="R73" i="57"/>
  <c r="JJ10" i="79" s="1"/>
  <c r="AF66" i="57"/>
  <c r="R72" i="57"/>
  <c r="JI10" i="79" s="1"/>
  <c r="AC67" i="57"/>
  <c r="JB10" i="79"/>
  <c r="AE67" i="57"/>
  <c r="E251" i="68" l="1"/>
  <c r="HN10" i="68" s="1"/>
  <c r="G274" i="68" a="1"/>
  <c r="G274" i="68" s="1"/>
  <c r="G275" i="68" s="1"/>
  <c r="G250" i="68" a="1"/>
  <c r="G250" i="68" s="1"/>
  <c r="H250" i="68" s="1" a="1"/>
  <c r="H250" i="68" s="1"/>
  <c r="H251" i="68" s="1"/>
  <c r="E287" i="68"/>
  <c r="HZ10" i="68" s="1"/>
  <c r="G262" i="68" a="1"/>
  <c r="G262" i="68" s="1"/>
  <c r="H262" i="68" s="1" a="1"/>
  <c r="H262" i="68" s="1"/>
  <c r="H263" i="68" s="1"/>
  <c r="E275" i="68"/>
  <c r="HV10" i="68" s="1"/>
  <c r="G286" i="68" a="1"/>
  <c r="G286" i="68" s="1"/>
  <c r="G287" i="68" s="1"/>
  <c r="E263" i="68"/>
  <c r="HR10" i="68" s="1"/>
  <c r="QT10" i="79"/>
  <c r="K16" i="77"/>
  <c r="Q17" i="77"/>
  <c r="M16" i="77"/>
  <c r="Q18" i="77"/>
  <c r="AA66" i="57"/>
  <c r="AA67" i="57"/>
  <c r="HS10" i="79"/>
  <c r="HV10" i="79"/>
  <c r="AB67" i="57"/>
  <c r="AB66" i="57"/>
  <c r="HU10" i="79"/>
  <c r="CQ10" i="79"/>
  <c r="AB20" i="57"/>
  <c r="AA20" i="57"/>
  <c r="CN10" i="79"/>
  <c r="CR10" i="79"/>
  <c r="AB21" i="57"/>
  <c r="AA21" i="57"/>
  <c r="CO10" i="79"/>
  <c r="IT10" i="79"/>
  <c r="G32" i="77"/>
  <c r="KN10" i="79"/>
  <c r="AF68" i="57"/>
  <c r="IY10" i="79" s="1"/>
  <c r="AF69" i="57"/>
  <c r="IZ10" i="79" s="1"/>
  <c r="HT10" i="68" l="1"/>
  <c r="HS10" i="68"/>
  <c r="HP10" i="68"/>
  <c r="HO10" i="68"/>
  <c r="HX10" i="68"/>
  <c r="HW10" i="68"/>
  <c r="IB10" i="68"/>
  <c r="IA10" i="68"/>
  <c r="HZ11" i="68"/>
  <c r="HN11" i="68"/>
  <c r="HV11" i="68"/>
  <c r="HV12" i="68" s="1"/>
  <c r="HR11" i="68"/>
  <c r="E288" i="68"/>
  <c r="H274" i="68" a="1"/>
  <c r="H274" i="68" s="1"/>
  <c r="I274" i="68" s="1" a="1"/>
  <c r="I274" i="68" s="1"/>
  <c r="I275" i="68" s="1"/>
  <c r="G251" i="68"/>
  <c r="E264" i="68"/>
  <c r="I250" i="68" a="1"/>
  <c r="I250" i="68" s="1"/>
  <c r="I251" i="68" s="1"/>
  <c r="I262" i="68" a="1"/>
  <c r="I262" i="68" s="1"/>
  <c r="J262" i="68" s="1" a="1"/>
  <c r="J262" i="68" s="1"/>
  <c r="J263" i="68" s="1"/>
  <c r="G263" i="68"/>
  <c r="H286" i="68" a="1"/>
  <c r="H286" i="68" s="1"/>
  <c r="H287" i="68" s="1"/>
  <c r="AD68" i="57"/>
  <c r="IU10" i="79" s="1"/>
  <c r="AD69" i="57"/>
  <c r="IV10" i="79" s="1"/>
  <c r="AE69" i="57"/>
  <c r="IX10" i="79" s="1"/>
  <c r="AE68" i="57"/>
  <c r="IW10" i="79"/>
  <c r="HN12" i="68" l="1"/>
  <c r="E265" i="68"/>
  <c r="E269" i="68" s="1"/>
  <c r="E270" i="68" s="1"/>
  <c r="HQ10" i="69"/>
  <c r="E289" i="68"/>
  <c r="E315" i="68" s="1"/>
  <c r="HY10" i="69"/>
  <c r="HX12" i="68"/>
  <c r="HW12" i="68"/>
  <c r="HT11" i="68"/>
  <c r="HS11" i="68"/>
  <c r="HX11" i="68"/>
  <c r="HW11" i="68"/>
  <c r="HR12" i="68"/>
  <c r="HR13" i="68" s="1"/>
  <c r="IB11" i="68"/>
  <c r="IA11" i="68"/>
  <c r="HZ12" i="68"/>
  <c r="HO11" i="68"/>
  <c r="HP11" i="68"/>
  <c r="IF10" i="68"/>
  <c r="IH10" i="68"/>
  <c r="E285" i="69"/>
  <c r="E276" i="68"/>
  <c r="HU10" i="69" s="1"/>
  <c r="E261" i="69"/>
  <c r="E252" i="68"/>
  <c r="HM10" i="69" s="1"/>
  <c r="H275" i="68"/>
  <c r="HV13" i="68" s="1"/>
  <c r="HV14" i="68" s="1"/>
  <c r="J274" i="68" a="1"/>
  <c r="J274" i="68" s="1"/>
  <c r="J275" i="68" s="1"/>
  <c r="J250" i="68" a="1"/>
  <c r="J250" i="68" s="1"/>
  <c r="K250" i="68" s="1" a="1"/>
  <c r="K250" i="68" s="1"/>
  <c r="K251" i="68" s="1"/>
  <c r="I263" i="68"/>
  <c r="K262" i="68" a="1"/>
  <c r="K262" i="68" s="1"/>
  <c r="K263" i="68" s="1"/>
  <c r="I286" i="68" a="1"/>
  <c r="I286" i="68" s="1"/>
  <c r="J286" i="68" s="1" a="1"/>
  <c r="J286" i="68" s="1"/>
  <c r="J287" i="68" s="1"/>
  <c r="E267" i="68" l="1"/>
  <c r="E301" i="68" s="1"/>
  <c r="E309" i="68" s="1"/>
  <c r="HO12" i="68"/>
  <c r="HP12" i="68"/>
  <c r="E266" i="68"/>
  <c r="E290" i="68"/>
  <c r="E291" i="68"/>
  <c r="E303" i="68" s="1"/>
  <c r="E311" i="68" s="1"/>
  <c r="E313" i="68"/>
  <c r="E293" i="68"/>
  <c r="E294" i="68" s="1"/>
  <c r="HN13" i="68"/>
  <c r="HV15" i="68"/>
  <c r="HW15" i="68" s="1"/>
  <c r="HS12" i="68"/>
  <c r="HT12" i="68"/>
  <c r="HW13" i="68"/>
  <c r="HX13" i="68"/>
  <c r="IB12" i="68"/>
  <c r="IA12" i="68"/>
  <c r="HW14" i="68"/>
  <c r="HX14" i="68"/>
  <c r="HS13" i="68"/>
  <c r="HT13" i="68"/>
  <c r="HZ13" i="68"/>
  <c r="H288" i="68" s="1"/>
  <c r="HR14" i="68"/>
  <c r="G264" i="68"/>
  <c r="HQ12" i="69" s="1"/>
  <c r="F276" i="68"/>
  <c r="HU11" i="69" s="1"/>
  <c r="E277" i="68"/>
  <c r="IG10" i="68" s="1"/>
  <c r="E273" i="69"/>
  <c r="G288" i="68"/>
  <c r="HY12" i="69" s="1"/>
  <c r="F252" i="68"/>
  <c r="HM11" i="69" s="1"/>
  <c r="F288" i="68"/>
  <c r="HY11" i="69" s="1"/>
  <c r="E253" i="68"/>
  <c r="IE10" i="68" s="1"/>
  <c r="E249" i="69"/>
  <c r="F264" i="68"/>
  <c r="HQ11" i="69" s="1"/>
  <c r="K274" i="68" a="1"/>
  <c r="K274" i="68" s="1"/>
  <c r="K275" i="68" s="1"/>
  <c r="L262" i="68" a="1"/>
  <c r="L262" i="68" s="1"/>
  <c r="L263" i="68" s="1"/>
  <c r="I287" i="68"/>
  <c r="J251" i="68"/>
  <c r="K286" i="68" a="1"/>
  <c r="K286" i="68" s="1"/>
  <c r="L286" i="68" s="1" a="1"/>
  <c r="L286" i="68" s="1"/>
  <c r="L287" i="68" s="1"/>
  <c r="L250" i="68" a="1"/>
  <c r="L250" i="68" s="1"/>
  <c r="L251" i="68" s="1"/>
  <c r="E307" i="69" l="1"/>
  <c r="E305" i="69"/>
  <c r="HN14" i="68"/>
  <c r="HP14" i="68" s="1"/>
  <c r="HO13" i="68"/>
  <c r="HX15" i="68"/>
  <c r="HV16" i="68"/>
  <c r="HX16" i="68" s="1"/>
  <c r="HP13" i="68"/>
  <c r="H285" i="69"/>
  <c r="HY13" i="69"/>
  <c r="IB13" i="68"/>
  <c r="IA13" i="68"/>
  <c r="HZ14" i="68"/>
  <c r="HZ15" i="68" s="1"/>
  <c r="HT14" i="68"/>
  <c r="HS14" i="68"/>
  <c r="HR15" i="68"/>
  <c r="G261" i="69"/>
  <c r="G265" i="68"/>
  <c r="IF12" i="68" s="1"/>
  <c r="H252" i="68"/>
  <c r="HM13" i="69" s="1"/>
  <c r="G276" i="68"/>
  <c r="HU12" i="69" s="1"/>
  <c r="H264" i="68"/>
  <c r="HQ13" i="69" s="1"/>
  <c r="G252" i="68"/>
  <c r="HM12" i="69" s="1"/>
  <c r="E279" i="68"/>
  <c r="E281" i="68"/>
  <c r="E282" i="68" s="1"/>
  <c r="E278" i="68"/>
  <c r="E314" i="68"/>
  <c r="F289" i="68"/>
  <c r="IH11" i="68" s="1"/>
  <c r="F285" i="69"/>
  <c r="F261" i="69"/>
  <c r="F265" i="68"/>
  <c r="IF11" i="68" s="1"/>
  <c r="G285" i="69"/>
  <c r="G289" i="68"/>
  <c r="IH12" i="68" s="1"/>
  <c r="F277" i="68"/>
  <c r="IG11" i="68" s="1"/>
  <c r="F273" i="69"/>
  <c r="F253" i="68"/>
  <c r="IE11" i="68" s="1"/>
  <c r="F249" i="69"/>
  <c r="E312" i="68"/>
  <c r="E255" i="68"/>
  <c r="AB1" i="72"/>
  <c r="AB1" i="73" s="1"/>
  <c r="E254" i="68"/>
  <c r="E257" i="68"/>
  <c r="E258" i="68" s="1"/>
  <c r="L274" i="68" a="1"/>
  <c r="L274" i="68" s="1"/>
  <c r="M274" i="68" s="1" a="1"/>
  <c r="M274" i="68" s="1"/>
  <c r="M275" i="68" s="1"/>
  <c r="H276" i="68"/>
  <c r="K287" i="68"/>
  <c r="M286" i="68" a="1"/>
  <c r="M286" i="68" s="1"/>
  <c r="N286" i="68" s="1" a="1"/>
  <c r="N286" i="68" s="1"/>
  <c r="N287" i="68" s="1"/>
  <c r="M250" i="68" a="1"/>
  <c r="M250" i="68" s="1"/>
  <c r="N250" i="68" s="1" a="1"/>
  <c r="N250" i="68" s="1"/>
  <c r="N251" i="68" s="1"/>
  <c r="M262" i="68" a="1"/>
  <c r="M262" i="68" s="1"/>
  <c r="N262" i="68" s="1" a="1"/>
  <c r="N262" i="68" s="1"/>
  <c r="N263" i="68" s="1"/>
  <c r="H289" i="68"/>
  <c r="I252" i="68" l="1"/>
  <c r="HM14" i="69" s="1"/>
  <c r="HO14" i="68"/>
  <c r="HN15" i="68"/>
  <c r="HO15" i="68" s="1"/>
  <c r="HW16" i="68"/>
  <c r="H273" i="69"/>
  <c r="HU13" i="69"/>
  <c r="I288" i="68"/>
  <c r="I289" i="68" s="1"/>
  <c r="HZ16" i="68"/>
  <c r="HZ17" i="68" s="1"/>
  <c r="IB14" i="68"/>
  <c r="IA14" i="68"/>
  <c r="IB15" i="68"/>
  <c r="IA15" i="68"/>
  <c r="HT15" i="68"/>
  <c r="HS15" i="68"/>
  <c r="HR16" i="68"/>
  <c r="H290" i="68"/>
  <c r="IH13" i="68"/>
  <c r="G253" i="68"/>
  <c r="IE12" i="68" s="1"/>
  <c r="G249" i="69"/>
  <c r="H265" i="68"/>
  <c r="IF13" i="68" s="1"/>
  <c r="H261" i="69"/>
  <c r="E304" i="69"/>
  <c r="E300" i="68"/>
  <c r="E308" i="68" s="1"/>
  <c r="G315" i="68"/>
  <c r="G293" i="68"/>
  <c r="G294" i="68" s="1"/>
  <c r="G291" i="68"/>
  <c r="G290" i="68"/>
  <c r="H249" i="69"/>
  <c r="H253" i="68"/>
  <c r="IE13" i="68" s="1"/>
  <c r="IE14" i="68"/>
  <c r="J276" i="68"/>
  <c r="F314" i="68"/>
  <c r="F279" i="68"/>
  <c r="F281" i="68"/>
  <c r="F282" i="68" s="1"/>
  <c r="F278" i="68"/>
  <c r="F255" i="68"/>
  <c r="F254" i="68"/>
  <c r="AF1" i="72"/>
  <c r="AF1" i="73" s="1"/>
  <c r="F312" i="68"/>
  <c r="F257" i="68"/>
  <c r="F258" i="68" s="1"/>
  <c r="F290" i="68"/>
  <c r="F291" i="68"/>
  <c r="F315" i="68"/>
  <c r="F293" i="68"/>
  <c r="F294" i="68" s="1"/>
  <c r="I264" i="68"/>
  <c r="HQ14" i="69" s="1"/>
  <c r="G277" i="68"/>
  <c r="IG12" i="68" s="1"/>
  <c r="G273" i="69"/>
  <c r="I276" i="68"/>
  <c r="HU14" i="69" s="1"/>
  <c r="G267" i="68"/>
  <c r="G269" i="68"/>
  <c r="G270" i="68" s="1"/>
  <c r="G266" i="68"/>
  <c r="G313" i="68"/>
  <c r="F313" i="68"/>
  <c r="F267" i="68"/>
  <c r="F269" i="68"/>
  <c r="F270" i="68" s="1"/>
  <c r="F266" i="68"/>
  <c r="E302" i="68"/>
  <c r="E310" i="68" s="1"/>
  <c r="E306" i="69"/>
  <c r="N274" i="68" a="1"/>
  <c r="N274" i="68" s="1"/>
  <c r="O274" i="68" s="1" a="1"/>
  <c r="O274" i="68" s="1"/>
  <c r="O275" i="68" s="1"/>
  <c r="L275" i="68"/>
  <c r="HV17" i="68" s="1"/>
  <c r="H277" i="68"/>
  <c r="H314" i="68" s="1"/>
  <c r="O250" i="68" a="1"/>
  <c r="O250" i="68" s="1"/>
  <c r="P250" i="68" s="1" a="1"/>
  <c r="P250" i="68" s="1"/>
  <c r="P251" i="68" s="1"/>
  <c r="M287" i="68"/>
  <c r="M263" i="68"/>
  <c r="O262" i="68" a="1"/>
  <c r="O262" i="68" s="1"/>
  <c r="P262" i="68" s="1" a="1"/>
  <c r="P262" i="68" s="1"/>
  <c r="P263" i="68" s="1"/>
  <c r="O286" i="68" a="1"/>
  <c r="O286" i="68" s="1"/>
  <c r="P286" i="68" s="1" a="1"/>
  <c r="P286" i="68" s="1"/>
  <c r="M251" i="68"/>
  <c r="J288" i="68"/>
  <c r="H291" i="68"/>
  <c r="H307" i="69" s="1"/>
  <c r="H315" i="68"/>
  <c r="H293" i="68"/>
  <c r="H294" i="68" s="1"/>
  <c r="K276" i="68"/>
  <c r="I249" i="69" l="1"/>
  <c r="I253" i="68"/>
  <c r="I254" i="68" s="1"/>
  <c r="HP15" i="68"/>
  <c r="HN16" i="68"/>
  <c r="HO16" i="68" s="1"/>
  <c r="I285" i="69"/>
  <c r="HY14" i="69"/>
  <c r="J273" i="69"/>
  <c r="HU15" i="69"/>
  <c r="K273" i="69"/>
  <c r="HU16" i="69"/>
  <c r="J289" i="68"/>
  <c r="J290" i="68" s="1"/>
  <c r="HY15" i="69"/>
  <c r="IB17" i="68"/>
  <c r="IA17" i="68"/>
  <c r="HZ18" i="68"/>
  <c r="IB18" i="68" s="1"/>
  <c r="IB16" i="68"/>
  <c r="K288" i="68"/>
  <c r="K285" i="69" s="1"/>
  <c r="IA16" i="68"/>
  <c r="HW17" i="68"/>
  <c r="HX17" i="68"/>
  <c r="HS16" i="68"/>
  <c r="HT16" i="68"/>
  <c r="HV18" i="68"/>
  <c r="HR17" i="68"/>
  <c r="J277" i="68"/>
  <c r="J314" i="68" s="1"/>
  <c r="H279" i="68"/>
  <c r="H302" i="68" s="1"/>
  <c r="H310" i="68" s="1"/>
  <c r="H278" i="68"/>
  <c r="H281" i="68"/>
  <c r="H282" i="68" s="1"/>
  <c r="IG13" i="68"/>
  <c r="I290" i="68"/>
  <c r="IH14" i="68"/>
  <c r="IG15" i="68"/>
  <c r="IH16" i="68"/>
  <c r="IH15" i="68"/>
  <c r="J252" i="68"/>
  <c r="HM15" i="69" s="1"/>
  <c r="J264" i="68"/>
  <c r="HQ15" i="69" s="1"/>
  <c r="G314" i="68"/>
  <c r="G278" i="68"/>
  <c r="G279" i="68"/>
  <c r="G281" i="68"/>
  <c r="G282" i="68" s="1"/>
  <c r="G301" i="68"/>
  <c r="G309" i="68" s="1"/>
  <c r="G305" i="69"/>
  <c r="I265" i="68"/>
  <c r="IF14" i="68" s="1"/>
  <c r="I261" i="69"/>
  <c r="F304" i="69"/>
  <c r="F300" i="68"/>
  <c r="F308" i="68" s="1"/>
  <c r="H266" i="68"/>
  <c r="H313" i="68"/>
  <c r="H267" i="68"/>
  <c r="H269" i="68"/>
  <c r="H270" i="68" s="1"/>
  <c r="I277" i="68"/>
  <c r="IG14" i="68" s="1"/>
  <c r="I273" i="69"/>
  <c r="H254" i="68"/>
  <c r="H257" i="68"/>
  <c r="H258" i="68" s="1"/>
  <c r="AN1" i="72"/>
  <c r="AN1" i="73" s="1"/>
  <c r="H312" i="68"/>
  <c r="H255" i="68"/>
  <c r="G312" i="68"/>
  <c r="AJ1" i="72"/>
  <c r="AJ1" i="73" s="1"/>
  <c r="G255" i="68"/>
  <c r="G257" i="68"/>
  <c r="G258" i="68" s="1"/>
  <c r="G254" i="68"/>
  <c r="F302" i="68"/>
  <c r="F310" i="68" s="1"/>
  <c r="F306" i="69"/>
  <c r="F303" i="68"/>
  <c r="F311" i="68" s="1"/>
  <c r="F307" i="69"/>
  <c r="G307" i="69"/>
  <c r="G303" i="68"/>
  <c r="G311" i="68" s="1"/>
  <c r="F301" i="68"/>
  <c r="F309" i="68" s="1"/>
  <c r="F305" i="69"/>
  <c r="I291" i="68"/>
  <c r="I303" i="68" s="1"/>
  <c r="I311" i="68" s="1"/>
  <c r="I293" i="68"/>
  <c r="I294" i="68" s="1"/>
  <c r="I315" i="68"/>
  <c r="N275" i="68"/>
  <c r="P274" i="68" a="1"/>
  <c r="P274" i="68" s="1"/>
  <c r="Q274" i="68" s="1" a="1"/>
  <c r="Q274" i="68" s="1"/>
  <c r="Q275" i="68" s="1"/>
  <c r="O287" i="68"/>
  <c r="Q250" i="68" a="1"/>
  <c r="Q250" i="68" s="1"/>
  <c r="R250" i="68" s="1" a="1"/>
  <c r="R250" i="68" s="1"/>
  <c r="O263" i="68"/>
  <c r="Q262" i="68" a="1"/>
  <c r="Q262" i="68" s="1"/>
  <c r="R262" i="68" s="1" a="1"/>
  <c r="R262" i="68" s="1"/>
  <c r="R263" i="68" s="1"/>
  <c r="O251" i="68"/>
  <c r="J285" i="69"/>
  <c r="H303" i="68"/>
  <c r="H311" i="68" s="1"/>
  <c r="L276" i="68"/>
  <c r="K277" i="68"/>
  <c r="K281" i="68" s="1"/>
  <c r="K282" i="68" s="1"/>
  <c r="L288" i="68"/>
  <c r="Q286" i="68" a="1"/>
  <c r="Q286" i="68" s="1"/>
  <c r="P287" i="68"/>
  <c r="AR1" i="72" l="1"/>
  <c r="AR1" i="73" s="1"/>
  <c r="I255" i="68"/>
  <c r="I300" i="68" s="1"/>
  <c r="I308" i="68" s="1"/>
  <c r="I312" i="68"/>
  <c r="I257" i="68"/>
  <c r="I258" i="68" s="1"/>
  <c r="HN17" i="68"/>
  <c r="HP17" i="68" s="1"/>
  <c r="HP16" i="68"/>
  <c r="HV19" i="68"/>
  <c r="HV20" i="68" s="1"/>
  <c r="HX20" i="68" s="1"/>
  <c r="J291" i="68"/>
  <c r="J307" i="69" s="1"/>
  <c r="J315" i="68"/>
  <c r="L273" i="69"/>
  <c r="HU17" i="69"/>
  <c r="L289" i="68"/>
  <c r="L291" i="68" s="1"/>
  <c r="L303" i="68" s="1"/>
  <c r="HY17" i="69"/>
  <c r="J293" i="68"/>
  <c r="J294" i="68" s="1"/>
  <c r="K289" i="68"/>
  <c r="HY16" i="69"/>
  <c r="J281" i="68"/>
  <c r="J282" i="68" s="1"/>
  <c r="J278" i="68"/>
  <c r="J279" i="68"/>
  <c r="J306" i="69" s="1"/>
  <c r="M288" i="68"/>
  <c r="M289" i="68" s="1"/>
  <c r="M315" i="68" s="1"/>
  <c r="HZ19" i="68"/>
  <c r="HZ20" i="68" s="1"/>
  <c r="IA18" i="68"/>
  <c r="HW18" i="68"/>
  <c r="HX18" i="68"/>
  <c r="HS17" i="68"/>
  <c r="HT17" i="68"/>
  <c r="HR18" i="68"/>
  <c r="M264" i="68" s="1"/>
  <c r="HQ18" i="69" s="1"/>
  <c r="H306" i="69"/>
  <c r="IH17" i="68"/>
  <c r="IG16" i="68"/>
  <c r="I307" i="69"/>
  <c r="K252" i="68"/>
  <c r="HM16" i="69" s="1"/>
  <c r="H304" i="69"/>
  <c r="H300" i="68"/>
  <c r="H308" i="68" s="1"/>
  <c r="J253" i="68"/>
  <c r="IE15" i="68" s="1"/>
  <c r="J249" i="69"/>
  <c r="H305" i="69"/>
  <c r="H301" i="68"/>
  <c r="H309" i="68" s="1"/>
  <c r="G306" i="69"/>
  <c r="G302" i="68"/>
  <c r="G310" i="68" s="1"/>
  <c r="K264" i="68"/>
  <c r="HQ16" i="69" s="1"/>
  <c r="I278" i="68"/>
  <c r="I281" i="68"/>
  <c r="I282" i="68" s="1"/>
  <c r="I314" i="68"/>
  <c r="I279" i="68"/>
  <c r="L264" i="68"/>
  <c r="HQ17" i="69" s="1"/>
  <c r="I266" i="68"/>
  <c r="I313" i="68"/>
  <c r="I267" i="68"/>
  <c r="I269" i="68"/>
  <c r="I270" i="68" s="1"/>
  <c r="J261" i="69"/>
  <c r="J265" i="68"/>
  <c r="IF15" i="68" s="1"/>
  <c r="M276" i="68"/>
  <c r="G300" i="68"/>
  <c r="G308" i="68" s="1"/>
  <c r="G304" i="69"/>
  <c r="P275" i="68"/>
  <c r="R274" i="68" a="1"/>
  <c r="R274" i="68" s="1"/>
  <c r="S274" i="68" s="1" a="1"/>
  <c r="S274" i="68" s="1"/>
  <c r="S275" i="68" s="1"/>
  <c r="IH18" i="68"/>
  <c r="Q251" i="68"/>
  <c r="Q263" i="68"/>
  <c r="S262" i="68" a="1"/>
  <c r="S262" i="68" s="1"/>
  <c r="T262" i="68" s="1" a="1"/>
  <c r="T262" i="68" s="1"/>
  <c r="L277" i="68"/>
  <c r="K279" i="68"/>
  <c r="K302" i="68" s="1"/>
  <c r="K314" i="68"/>
  <c r="K278" i="68"/>
  <c r="L285" i="69"/>
  <c r="R286" i="68" a="1"/>
  <c r="R286" i="68" s="1"/>
  <c r="Q287" i="68"/>
  <c r="S250" i="68" a="1"/>
  <c r="S250" i="68" s="1"/>
  <c r="R251" i="68"/>
  <c r="I304" i="69" l="1"/>
  <c r="HN18" i="68"/>
  <c r="HP18" i="68" s="1"/>
  <c r="HO17" i="68"/>
  <c r="HW20" i="68"/>
  <c r="O276" i="68"/>
  <c r="O277" i="68" s="1"/>
  <c r="O314" i="68" s="1"/>
  <c r="N276" i="68"/>
  <c r="N273" i="69" s="1"/>
  <c r="HW19" i="68"/>
  <c r="HX19" i="68"/>
  <c r="J303" i="68"/>
  <c r="J311" i="68" s="1"/>
  <c r="HV21" i="68"/>
  <c r="HV22" i="68" s="1"/>
  <c r="L293" i="68"/>
  <c r="L294" i="68" s="1"/>
  <c r="L315" i="68"/>
  <c r="L290" i="68"/>
  <c r="M290" i="68"/>
  <c r="M285" i="69"/>
  <c r="HY18" i="69"/>
  <c r="L307" i="69"/>
  <c r="M273" i="69"/>
  <c r="HU18" i="69"/>
  <c r="K291" i="68"/>
  <c r="K290" i="68"/>
  <c r="K315" i="68"/>
  <c r="K293" i="68"/>
  <c r="K294" i="68" s="1"/>
  <c r="J302" i="68"/>
  <c r="J310" i="68" s="1"/>
  <c r="M293" i="68"/>
  <c r="M294" i="68" s="1"/>
  <c r="M291" i="68"/>
  <c r="M307" i="69" s="1"/>
  <c r="IA20" i="68"/>
  <c r="O288" i="68"/>
  <c r="O289" i="68" s="1"/>
  <c r="O291" i="68" s="1"/>
  <c r="IB20" i="68"/>
  <c r="IA19" i="68"/>
  <c r="IB19" i="68"/>
  <c r="HZ21" i="68"/>
  <c r="HZ22" i="68" s="1"/>
  <c r="IB22" i="68" s="1"/>
  <c r="HR19" i="68"/>
  <c r="N264" i="68" s="1"/>
  <c r="N265" i="68" s="1"/>
  <c r="N266" i="68" s="1"/>
  <c r="HS18" i="68"/>
  <c r="HT18" i="68"/>
  <c r="L311" i="68"/>
  <c r="K310" i="68"/>
  <c r="L281" i="68"/>
  <c r="L282" i="68" s="1"/>
  <c r="IG17" i="68"/>
  <c r="L252" i="68"/>
  <c r="HM17" i="69" s="1"/>
  <c r="J269" i="68"/>
  <c r="J270" i="68" s="1"/>
  <c r="J313" i="68"/>
  <c r="J266" i="68"/>
  <c r="J267" i="68"/>
  <c r="AV1" i="72"/>
  <c r="AV1" i="73" s="1"/>
  <c r="J257" i="68"/>
  <c r="J258" i="68" s="1"/>
  <c r="J312" i="68"/>
  <c r="J254" i="68"/>
  <c r="J255" i="68"/>
  <c r="M265" i="68"/>
  <c r="IF18" i="68" s="1"/>
  <c r="M261" i="69"/>
  <c r="L261" i="69"/>
  <c r="L265" i="68"/>
  <c r="IF17" i="68" s="1"/>
  <c r="I305" i="69"/>
  <c r="I301" i="68"/>
  <c r="I309" i="68" s="1"/>
  <c r="I302" i="68"/>
  <c r="I310" i="68" s="1"/>
  <c r="I306" i="69"/>
  <c r="K253" i="68"/>
  <c r="IE16" i="68" s="1"/>
  <c r="K249" i="69"/>
  <c r="M277" i="68"/>
  <c r="M279" i="68" s="1"/>
  <c r="M302" i="68" s="1"/>
  <c r="K265" i="68"/>
  <c r="IF16" i="68" s="1"/>
  <c r="K261" i="69"/>
  <c r="N288" i="68"/>
  <c r="T274" i="68" a="1"/>
  <c r="T274" i="68" s="1"/>
  <c r="U274" i="68" s="1" a="1"/>
  <c r="U274" i="68" s="1"/>
  <c r="R275" i="68"/>
  <c r="S263" i="68"/>
  <c r="L278" i="68"/>
  <c r="L279" i="68"/>
  <c r="L302" i="68" s="1"/>
  <c r="IG20" i="68"/>
  <c r="L314" i="68"/>
  <c r="K306" i="69"/>
  <c r="IH20" i="68"/>
  <c r="U262" i="68" a="1"/>
  <c r="U262" i="68" s="1"/>
  <c r="T263" i="68"/>
  <c r="T250" i="68" a="1"/>
  <c r="T250" i="68" s="1"/>
  <c r="S251" i="68"/>
  <c r="S286" i="68" a="1"/>
  <c r="S286" i="68" s="1"/>
  <c r="R287" i="68"/>
  <c r="HO18" i="68" l="1"/>
  <c r="HN19" i="68"/>
  <c r="HN20" i="68" s="1"/>
  <c r="O273" i="69"/>
  <c r="HU20" i="69"/>
  <c r="HU19" i="69"/>
  <c r="N277" i="68"/>
  <c r="N279" i="68" s="1"/>
  <c r="N306" i="69" s="1"/>
  <c r="HW21" i="68"/>
  <c r="O278" i="68"/>
  <c r="O279" i="68"/>
  <c r="O302" i="68" s="1"/>
  <c r="O310" i="68" s="1"/>
  <c r="O281" i="68"/>
  <c r="O282" i="68" s="1"/>
  <c r="HX21" i="68"/>
  <c r="HZ23" i="68"/>
  <c r="IB23" i="68" s="1"/>
  <c r="M303" i="68"/>
  <c r="M311" i="68" s="1"/>
  <c r="O285" i="69"/>
  <c r="HY20" i="69"/>
  <c r="K307" i="69"/>
  <c r="K303" i="68"/>
  <c r="K311" i="68" s="1"/>
  <c r="IA22" i="68"/>
  <c r="N285" i="69"/>
  <c r="HY19" i="69"/>
  <c r="N261" i="69"/>
  <c r="HQ19" i="69"/>
  <c r="IA21" i="68"/>
  <c r="IB21" i="68"/>
  <c r="HV23" i="68"/>
  <c r="HW23" i="68" s="1"/>
  <c r="HR20" i="68"/>
  <c r="O264" i="68" s="1"/>
  <c r="O265" i="68" s="1"/>
  <c r="HS19" i="68"/>
  <c r="HT19" i="68"/>
  <c r="HX22" i="68"/>
  <c r="HW22" i="68"/>
  <c r="N289" i="68"/>
  <c r="N315" i="68" s="1"/>
  <c r="IG19" i="68"/>
  <c r="IH19" i="68"/>
  <c r="M278" i="68"/>
  <c r="IG18" i="68"/>
  <c r="M306" i="69"/>
  <c r="M281" i="68"/>
  <c r="M282" i="68" s="1"/>
  <c r="M314" i="68"/>
  <c r="M310" i="68" s="1"/>
  <c r="L310" i="68"/>
  <c r="N269" i="68"/>
  <c r="N270" i="68" s="1"/>
  <c r="IF19" i="68"/>
  <c r="K269" i="68"/>
  <c r="K270" i="68" s="1"/>
  <c r="K313" i="68"/>
  <c r="K266" i="68"/>
  <c r="K267" i="68"/>
  <c r="K255" i="68"/>
  <c r="AZ1" i="72"/>
  <c r="AZ1" i="73" s="1"/>
  <c r="K257" i="68"/>
  <c r="K258" i="68" s="1"/>
  <c r="K254" i="68"/>
  <c r="K312" i="68"/>
  <c r="M266" i="68"/>
  <c r="M269" i="68"/>
  <c r="M270" i="68" s="1"/>
  <c r="M267" i="68"/>
  <c r="M313" i="68"/>
  <c r="J304" i="69"/>
  <c r="J300" i="68"/>
  <c r="J308" i="68" s="1"/>
  <c r="L249" i="69"/>
  <c r="L253" i="68"/>
  <c r="IE17" i="68" s="1"/>
  <c r="M252" i="68"/>
  <c r="HM18" i="69" s="1"/>
  <c r="J301" i="68"/>
  <c r="J309" i="68" s="1"/>
  <c r="J305" i="69"/>
  <c r="L269" i="68"/>
  <c r="L270" i="68" s="1"/>
  <c r="L267" i="68"/>
  <c r="L266" i="68"/>
  <c r="L313" i="68"/>
  <c r="T275" i="68"/>
  <c r="N267" i="68"/>
  <c r="N305" i="69" s="1"/>
  <c r="N313" i="68"/>
  <c r="P276" i="68"/>
  <c r="L306" i="69"/>
  <c r="O293" i="68"/>
  <c r="O294" i="68" s="1"/>
  <c r="P288" i="68"/>
  <c r="O290" i="68"/>
  <c r="O315" i="68"/>
  <c r="V274" i="68" a="1"/>
  <c r="V274" i="68" s="1"/>
  <c r="U275" i="68"/>
  <c r="U250" i="68" a="1"/>
  <c r="U250" i="68" s="1"/>
  <c r="T251" i="68"/>
  <c r="V262" i="68" a="1"/>
  <c r="V262" i="68" s="1"/>
  <c r="U263" i="68"/>
  <c r="T286" i="68" a="1"/>
  <c r="T286" i="68" s="1"/>
  <c r="S287" i="68"/>
  <c r="O307" i="69"/>
  <c r="O303" i="68"/>
  <c r="O311" i="68" s="1"/>
  <c r="HP19" i="68" l="1"/>
  <c r="HO19" i="68"/>
  <c r="HZ24" i="68"/>
  <c r="IB24" i="68" s="1"/>
  <c r="N281" i="68"/>
  <c r="N282" i="68" s="1"/>
  <c r="N314" i="68"/>
  <c r="N278" i="68"/>
  <c r="HO20" i="68"/>
  <c r="O306" i="69"/>
  <c r="HP20" i="68"/>
  <c r="HN21" i="68"/>
  <c r="IA23" i="68"/>
  <c r="N293" i="68"/>
  <c r="N294" i="68" s="1"/>
  <c r="N290" i="68"/>
  <c r="N291" i="68"/>
  <c r="N303" i="68" s="1"/>
  <c r="N311" i="68" s="1"/>
  <c r="HV24" i="68"/>
  <c r="HW24" i="68" s="1"/>
  <c r="P273" i="69"/>
  <c r="HU21" i="69"/>
  <c r="O261" i="69"/>
  <c r="HQ20" i="69"/>
  <c r="P289" i="68"/>
  <c r="P293" i="68" s="1"/>
  <c r="P294" i="68" s="1"/>
  <c r="HY21" i="69"/>
  <c r="HX23" i="68"/>
  <c r="HR21" i="68"/>
  <c r="HT21" i="68" s="1"/>
  <c r="HS20" i="68"/>
  <c r="HT20" i="68"/>
  <c r="IH21" i="68"/>
  <c r="O266" i="68"/>
  <c r="IF20" i="68"/>
  <c r="L305" i="69"/>
  <c r="L301" i="68"/>
  <c r="L309" i="68" s="1"/>
  <c r="K300" i="68"/>
  <c r="K308" i="68" s="1"/>
  <c r="K304" i="69"/>
  <c r="M253" i="68"/>
  <c r="IE18" i="68" s="1"/>
  <c r="M249" i="69"/>
  <c r="K301" i="68"/>
  <c r="K309" i="68" s="1"/>
  <c r="K305" i="69"/>
  <c r="M301" i="68"/>
  <c r="M309" i="68" s="1"/>
  <c r="M305" i="69"/>
  <c r="N252" i="68"/>
  <c r="HM19" i="69" s="1"/>
  <c r="L312" i="68"/>
  <c r="BD1" i="72"/>
  <c r="BD1" i="73" s="1"/>
  <c r="L254" i="68"/>
  <c r="L257" i="68"/>
  <c r="L258" i="68" s="1"/>
  <c r="L255" i="68"/>
  <c r="O267" i="68"/>
  <c r="O301" i="68" s="1"/>
  <c r="N301" i="68"/>
  <c r="N309" i="68" s="1"/>
  <c r="P277" i="68"/>
  <c r="P281" i="68" s="1"/>
  <c r="P282" i="68" s="1"/>
  <c r="R276" i="68"/>
  <c r="O313" i="68"/>
  <c r="O269" i="68"/>
  <c r="O270" i="68" s="1"/>
  <c r="Q276" i="68"/>
  <c r="N302" i="68"/>
  <c r="N310" i="68" s="1"/>
  <c r="Q288" i="68"/>
  <c r="P285" i="69"/>
  <c r="U286" i="68" a="1"/>
  <c r="U286" i="68" s="1"/>
  <c r="T287" i="68"/>
  <c r="V250" i="68" a="1"/>
  <c r="V250" i="68" s="1"/>
  <c r="U251" i="68"/>
  <c r="W262" i="68" a="1"/>
  <c r="W262" i="68" s="1"/>
  <c r="V263" i="68"/>
  <c r="W274" i="68" a="1"/>
  <c r="W274" i="68" s="1"/>
  <c r="V275" i="68"/>
  <c r="HZ25" i="68" l="1"/>
  <c r="IA25" i="68" s="1"/>
  <c r="P290" i="68"/>
  <c r="IA24" i="68"/>
  <c r="P291" i="68"/>
  <c r="P303" i="68" s="1"/>
  <c r="P311" i="68" s="1"/>
  <c r="N307" i="69"/>
  <c r="P252" i="68"/>
  <c r="P249" i="69" s="1"/>
  <c r="IE21" i="68"/>
  <c r="HP21" i="68"/>
  <c r="HO21" i="68"/>
  <c r="HN22" i="68"/>
  <c r="Q252" i="68" s="1"/>
  <c r="HV25" i="68"/>
  <c r="HX24" i="68"/>
  <c r="P314" i="68"/>
  <c r="P315" i="68"/>
  <c r="Q285" i="69"/>
  <c r="HY22" i="69"/>
  <c r="R277" i="68"/>
  <c r="R279" i="68" s="1"/>
  <c r="R306" i="69" s="1"/>
  <c r="HU23" i="69"/>
  <c r="Q273" i="69"/>
  <c r="HU22" i="69"/>
  <c r="P264" i="68"/>
  <c r="HQ21" i="69" s="1"/>
  <c r="HS21" i="68"/>
  <c r="HR22" i="68"/>
  <c r="IF21" i="68"/>
  <c r="IG23" i="68"/>
  <c r="P279" i="68"/>
  <c r="P306" i="69" s="1"/>
  <c r="IG21" i="68"/>
  <c r="O309" i="68"/>
  <c r="N249" i="69"/>
  <c r="N253" i="68"/>
  <c r="IE19" i="68" s="1"/>
  <c r="L300" i="68"/>
  <c r="L308" i="68" s="1"/>
  <c r="L304" i="69"/>
  <c r="M257" i="68"/>
  <c r="M258" i="68" s="1"/>
  <c r="M255" i="68"/>
  <c r="M312" i="68"/>
  <c r="BH1" i="72"/>
  <c r="BH1" i="73" s="1"/>
  <c r="M254" i="68"/>
  <c r="O252" i="68"/>
  <c r="HM20" i="69" s="1"/>
  <c r="O305" i="69"/>
  <c r="Q277" i="68"/>
  <c r="Q281" i="68" s="1"/>
  <c r="Q282" i="68" s="1"/>
  <c r="P278" i="68"/>
  <c r="R273" i="69"/>
  <c r="S276" i="68"/>
  <c r="Q289" i="68"/>
  <c r="R288" i="68"/>
  <c r="X274" i="68" a="1"/>
  <c r="X274" i="68" s="1"/>
  <c r="W275" i="68"/>
  <c r="V286" i="68" a="1"/>
  <c r="V286" i="68" s="1"/>
  <c r="U287" i="68"/>
  <c r="HZ26" i="68" s="1"/>
  <c r="X262" i="68" a="1"/>
  <c r="X262" i="68" s="1"/>
  <c r="W263" i="68"/>
  <c r="W250" i="68" a="1"/>
  <c r="W250" i="68" s="1"/>
  <c r="V251" i="68"/>
  <c r="IB25" i="68" l="1"/>
  <c r="HM21" i="69"/>
  <c r="P307" i="69"/>
  <c r="R314" i="68"/>
  <c r="R281" i="68"/>
  <c r="R282" i="68" s="1"/>
  <c r="R302" i="68"/>
  <c r="P253" i="68"/>
  <c r="P255" i="68" s="1"/>
  <c r="P300" i="68" s="1"/>
  <c r="P308" i="68" s="1"/>
  <c r="R278" i="68"/>
  <c r="HO22" i="68"/>
  <c r="HP22" i="68"/>
  <c r="HN23" i="68"/>
  <c r="R252" i="68" s="1"/>
  <c r="P261" i="69"/>
  <c r="HW25" i="68"/>
  <c r="HX25" i="68"/>
  <c r="HV26" i="68"/>
  <c r="Q253" i="68"/>
  <c r="Q257" i="68" s="1"/>
  <c r="Q258" i="68" s="1"/>
  <c r="HM22" i="69"/>
  <c r="P265" i="68"/>
  <c r="P313" i="68" s="1"/>
  <c r="R285" i="69"/>
  <c r="HY23" i="69"/>
  <c r="S273" i="69"/>
  <c r="HU24" i="69"/>
  <c r="HT22" i="68"/>
  <c r="HS22" i="68"/>
  <c r="Q264" i="68"/>
  <c r="HQ22" i="69" s="1"/>
  <c r="HR23" i="68"/>
  <c r="IB26" i="68"/>
  <c r="IA26" i="68"/>
  <c r="IE22" i="68"/>
  <c r="Q278" i="68"/>
  <c r="P302" i="68"/>
  <c r="P310" i="68" s="1"/>
  <c r="Q279" i="68"/>
  <c r="IG22" i="68"/>
  <c r="R310" i="68"/>
  <c r="IF22" i="68"/>
  <c r="Q315" i="68"/>
  <c r="IH22" i="68"/>
  <c r="Q314" i="68"/>
  <c r="M304" i="69"/>
  <c r="M300" i="68"/>
  <c r="M308" i="68" s="1"/>
  <c r="BL1" i="72"/>
  <c r="BL1" i="73" s="1"/>
  <c r="N255" i="68"/>
  <c r="N257" i="68"/>
  <c r="N258" i="68" s="1"/>
  <c r="N312" i="68"/>
  <c r="N254" i="68"/>
  <c r="O253" i="68"/>
  <c r="IE20" i="68" s="1"/>
  <c r="O249" i="69"/>
  <c r="Q249" i="69"/>
  <c r="IG25" i="68"/>
  <c r="T276" i="68"/>
  <c r="S277" i="68"/>
  <c r="Q290" i="68"/>
  <c r="Q291" i="68"/>
  <c r="Q307" i="69" s="1"/>
  <c r="Q293" i="68"/>
  <c r="Q294" i="68" s="1"/>
  <c r="R289" i="68"/>
  <c r="S288" i="68"/>
  <c r="F20" i="57"/>
  <c r="G14" i="77" s="1"/>
  <c r="F21" i="57"/>
  <c r="G15" i="77" s="1"/>
  <c r="W286" i="68" a="1"/>
  <c r="W286" i="68" s="1"/>
  <c r="V287" i="68"/>
  <c r="HZ27" i="68" s="1"/>
  <c r="X250" i="68" a="1"/>
  <c r="X250" i="68" s="1"/>
  <c r="W251" i="68"/>
  <c r="Y262" i="68" a="1"/>
  <c r="Y262" i="68" s="1"/>
  <c r="X263" i="68"/>
  <c r="Y274" i="68" a="1"/>
  <c r="Y274" i="68" s="1"/>
  <c r="X275" i="68"/>
  <c r="Q312" i="68" l="1"/>
  <c r="Q254" i="68"/>
  <c r="P312" i="68"/>
  <c r="P254" i="68"/>
  <c r="P257" i="68"/>
  <c r="P258" i="68" s="1"/>
  <c r="Q255" i="68"/>
  <c r="Q304" i="69" s="1"/>
  <c r="P304" i="69"/>
  <c r="P269" i="68"/>
  <c r="P270" i="68" s="1"/>
  <c r="HP23" i="68"/>
  <c r="HO23" i="68"/>
  <c r="HN24" i="68"/>
  <c r="HX26" i="68"/>
  <c r="HW26" i="68"/>
  <c r="HV27" i="68"/>
  <c r="HV28" i="68" s="1"/>
  <c r="P267" i="68"/>
  <c r="P305" i="69" s="1"/>
  <c r="P266" i="68"/>
  <c r="R249" i="69"/>
  <c r="HM23" i="69"/>
  <c r="S285" i="69"/>
  <c r="HY24" i="69"/>
  <c r="T277" i="68"/>
  <c r="T281" i="68" s="1"/>
  <c r="T282" i="68" s="1"/>
  <c r="HU25" i="69"/>
  <c r="HR24" i="68"/>
  <c r="R264" i="68"/>
  <c r="HQ23" i="69" s="1"/>
  <c r="HS23" i="68"/>
  <c r="HT23" i="68"/>
  <c r="IF23" i="68"/>
  <c r="Q261" i="69"/>
  <c r="Q265" i="68"/>
  <c r="IB27" i="68"/>
  <c r="IA27" i="68"/>
  <c r="S279" i="68"/>
  <c r="S302" i="68" s="1"/>
  <c r="IG24" i="68"/>
  <c r="R290" i="68"/>
  <c r="IH23" i="68"/>
  <c r="Q306" i="69"/>
  <c r="Q302" i="68"/>
  <c r="Q310" i="68" s="1"/>
  <c r="O257" i="68"/>
  <c r="O258" i="68" s="1"/>
  <c r="O255" i="68"/>
  <c r="O254" i="68"/>
  <c r="O312" i="68"/>
  <c r="N300" i="68"/>
  <c r="N308" i="68" s="1"/>
  <c r="N304" i="69"/>
  <c r="U276" i="68"/>
  <c r="R253" i="68"/>
  <c r="S278" i="68"/>
  <c r="S281" i="68"/>
  <c r="S282" i="68" s="1"/>
  <c r="T279" i="68"/>
  <c r="T306" i="69" s="1"/>
  <c r="T273" i="69"/>
  <c r="S314" i="68"/>
  <c r="Q303" i="68"/>
  <c r="Q311" i="68" s="1"/>
  <c r="R291" i="68"/>
  <c r="R307" i="69" s="1"/>
  <c r="R315" i="68"/>
  <c r="R293" i="68"/>
  <c r="R294" i="68" s="1"/>
  <c r="T288" i="68"/>
  <c r="S289" i="68"/>
  <c r="O23" i="57"/>
  <c r="L22" i="57"/>
  <c r="O22" i="57"/>
  <c r="I25" i="57"/>
  <c r="L23" i="57"/>
  <c r="I22" i="57"/>
  <c r="DE10" i="79" s="1"/>
  <c r="I24" i="57"/>
  <c r="G10" i="77" s="1"/>
  <c r="CT10" i="79"/>
  <c r="I23" i="57"/>
  <c r="DF10" i="79" s="1"/>
  <c r="CS10" i="79"/>
  <c r="AC21" i="57"/>
  <c r="DX10" i="79"/>
  <c r="DW10" i="79"/>
  <c r="AC20" i="57"/>
  <c r="Y250" i="68" a="1"/>
  <c r="Y250" i="68" s="1"/>
  <c r="X251" i="68"/>
  <c r="Z262" i="68" a="1"/>
  <c r="Z262" i="68" s="1"/>
  <c r="Y263" i="68"/>
  <c r="X286" i="68" a="1"/>
  <c r="X286" i="68" s="1"/>
  <c r="W287" i="68"/>
  <c r="HZ28" i="68" s="1"/>
  <c r="Z274" i="68" a="1"/>
  <c r="Z274" i="68" s="1"/>
  <c r="Y275" i="68"/>
  <c r="T278" i="68" l="1"/>
  <c r="Q300" i="68"/>
  <c r="Q308" i="68" s="1"/>
  <c r="T314" i="68"/>
  <c r="S252" i="68"/>
  <c r="S253" i="68" s="1"/>
  <c r="S254" i="68" s="1"/>
  <c r="HP24" i="68"/>
  <c r="HO24" i="68"/>
  <c r="HN25" i="68"/>
  <c r="HX28" i="68"/>
  <c r="HW28" i="68"/>
  <c r="HX27" i="68"/>
  <c r="HW27" i="68"/>
  <c r="HV29" i="68"/>
  <c r="X276" i="68" s="1"/>
  <c r="P301" i="68"/>
  <c r="P309" i="68" s="1"/>
  <c r="U277" i="68"/>
  <c r="U278" i="68" s="1"/>
  <c r="HU26" i="69"/>
  <c r="T285" i="69"/>
  <c r="HY25" i="69"/>
  <c r="Q267" i="68"/>
  <c r="Q266" i="68"/>
  <c r="Q313" i="68"/>
  <c r="Q269" i="68"/>
  <c r="Q270" i="68" s="1"/>
  <c r="S306" i="69"/>
  <c r="R265" i="68"/>
  <c r="R261" i="69"/>
  <c r="S264" i="68"/>
  <c r="HQ24" i="69" s="1"/>
  <c r="HT24" i="68"/>
  <c r="HS24" i="68"/>
  <c r="IF24" i="68"/>
  <c r="HR25" i="68"/>
  <c r="IB28" i="68"/>
  <c r="IA28" i="68"/>
  <c r="U273" i="69"/>
  <c r="R312" i="68"/>
  <c r="IE23" i="68"/>
  <c r="R257" i="68"/>
  <c r="R258" i="68" s="1"/>
  <c r="IG26" i="68"/>
  <c r="S315" i="68"/>
  <c r="IH24" i="68"/>
  <c r="IE24" i="68"/>
  <c r="S310" i="68"/>
  <c r="O304" i="69"/>
  <c r="O300" i="68"/>
  <c r="O308" i="68" s="1"/>
  <c r="W276" i="68"/>
  <c r="V276" i="68"/>
  <c r="R254" i="68"/>
  <c r="R255" i="68"/>
  <c r="R304" i="69" s="1"/>
  <c r="T302" i="68"/>
  <c r="T310" i="68" s="1"/>
  <c r="S290" i="68"/>
  <c r="U288" i="68"/>
  <c r="R303" i="68"/>
  <c r="R311" i="68" s="1"/>
  <c r="S291" i="68"/>
  <c r="S303" i="68" s="1"/>
  <c r="S311" i="68" s="1"/>
  <c r="T289" i="68"/>
  <c r="S293" i="68"/>
  <c r="S294" i="68" s="1"/>
  <c r="DP10" i="79"/>
  <c r="G11" i="77"/>
  <c r="DO10" i="79"/>
  <c r="Y286" i="68" a="1"/>
  <c r="Y286" i="68" s="1"/>
  <c r="X287" i="68"/>
  <c r="HZ29" i="68" s="1"/>
  <c r="AA274" i="68" a="1"/>
  <c r="AA274" i="68" s="1"/>
  <c r="Z275" i="68"/>
  <c r="AA262" i="68" a="1"/>
  <c r="AA262" i="68" s="1"/>
  <c r="Z263" i="68"/>
  <c r="Z250" i="68" a="1"/>
  <c r="Z250" i="68" s="1"/>
  <c r="Y251" i="68"/>
  <c r="S249" i="69" l="1"/>
  <c r="HM24" i="69"/>
  <c r="U279" i="68"/>
  <c r="U302" i="68" s="1"/>
  <c r="U310" i="68" s="1"/>
  <c r="U314" i="68"/>
  <c r="T252" i="68"/>
  <c r="T249" i="69" s="1"/>
  <c r="HO25" i="68"/>
  <c r="HP25" i="68"/>
  <c r="HN26" i="68"/>
  <c r="U281" i="68"/>
  <c r="U282" i="68" s="1"/>
  <c r="HX29" i="68"/>
  <c r="HW29" i="68"/>
  <c r="HV30" i="68"/>
  <c r="S255" i="68"/>
  <c r="S300" i="68" s="1"/>
  <c r="S308" i="68" s="1"/>
  <c r="S312" i="68"/>
  <c r="S257" i="68"/>
  <c r="S258" i="68" s="1"/>
  <c r="HM25" i="69"/>
  <c r="X273" i="69"/>
  <c r="HU29" i="69"/>
  <c r="U285" i="69"/>
  <c r="HY26" i="69"/>
  <c r="V273" i="69"/>
  <c r="HU27" i="69"/>
  <c r="W273" i="69"/>
  <c r="HU28" i="69"/>
  <c r="S265" i="68"/>
  <c r="S261" i="69"/>
  <c r="R269" i="68"/>
  <c r="R270" i="68" s="1"/>
  <c r="R313" i="68"/>
  <c r="R266" i="68"/>
  <c r="R267" i="68"/>
  <c r="HR26" i="68"/>
  <c r="HR27" i="68" s="1"/>
  <c r="T264" i="68"/>
  <c r="HQ25" i="69" s="1"/>
  <c r="HT25" i="68"/>
  <c r="HS25" i="68"/>
  <c r="IF25" i="68"/>
  <c r="Q301" i="68"/>
  <c r="Q309" i="68" s="1"/>
  <c r="Q305" i="69"/>
  <c r="IB29" i="68"/>
  <c r="IA29" i="68"/>
  <c r="T315" i="68"/>
  <c r="IH25" i="68"/>
  <c r="V277" i="68"/>
  <c r="V281" i="68" s="1"/>
  <c r="V282" i="68" s="1"/>
  <c r="W277" i="68"/>
  <c r="W281" i="68" s="1"/>
  <c r="W282" i="68" s="1"/>
  <c r="R300" i="68"/>
  <c r="R308" i="68" s="1"/>
  <c r="T253" i="68"/>
  <c r="T312" i="68" s="1"/>
  <c r="U289" i="68"/>
  <c r="W288" i="68"/>
  <c r="V288" i="68"/>
  <c r="S307" i="69"/>
  <c r="T291" i="68"/>
  <c r="T303" i="68" s="1"/>
  <c r="T311" i="68" s="1"/>
  <c r="T290" i="68"/>
  <c r="T293" i="68"/>
  <c r="T294" i="68" s="1"/>
  <c r="X277" i="68"/>
  <c r="X278" i="68" s="1"/>
  <c r="AB274" i="68" a="1"/>
  <c r="AB274" i="68" s="1"/>
  <c r="AA275" i="68"/>
  <c r="AB262" i="68" a="1"/>
  <c r="AB262" i="68" s="1"/>
  <c r="AA263" i="68"/>
  <c r="AA250" i="68" a="1"/>
  <c r="AA250" i="68" s="1"/>
  <c r="Z251" i="68"/>
  <c r="Z286" i="68" a="1"/>
  <c r="Z286" i="68" s="1"/>
  <c r="Y287" i="68"/>
  <c r="HZ30" i="68" s="1"/>
  <c r="U306" i="69" l="1"/>
  <c r="U252" i="68"/>
  <c r="U253" i="68" s="1"/>
  <c r="U254" i="68" s="1"/>
  <c r="S304" i="69"/>
  <c r="HP26" i="68"/>
  <c r="HN27" i="68"/>
  <c r="HO26" i="68"/>
  <c r="V279" i="68"/>
  <c r="V306" i="69" s="1"/>
  <c r="HX30" i="68"/>
  <c r="HW30" i="68"/>
  <c r="HV31" i="68"/>
  <c r="Z276" i="68" s="1"/>
  <c r="V289" i="68"/>
  <c r="V315" i="68" s="1"/>
  <c r="HY27" i="69"/>
  <c r="W285" i="69"/>
  <c r="HY28" i="69"/>
  <c r="W314" i="68"/>
  <c r="T261" i="69"/>
  <c r="T265" i="68"/>
  <c r="HT26" i="68"/>
  <c r="HS26" i="68"/>
  <c r="U264" i="68"/>
  <c r="HQ26" i="69" s="1"/>
  <c r="IF26" i="68"/>
  <c r="R305" i="69"/>
  <c r="R301" i="68"/>
  <c r="R309" i="68" s="1"/>
  <c r="HR28" i="68"/>
  <c r="HR29" i="68" s="1"/>
  <c r="V264" i="68"/>
  <c r="HQ27" i="69" s="1"/>
  <c r="HT27" i="68"/>
  <c r="HS27" i="68"/>
  <c r="IF27" i="68"/>
  <c r="S269" i="68"/>
  <c r="S270" i="68" s="1"/>
  <c r="S267" i="68"/>
  <c r="S313" i="68"/>
  <c r="S266" i="68"/>
  <c r="IB30" i="68"/>
  <c r="IA30" i="68"/>
  <c r="T257" i="68"/>
  <c r="T258" i="68" s="1"/>
  <c r="W278" i="68"/>
  <c r="V278" i="68"/>
  <c r="IE26" i="68"/>
  <c r="IG29" i="68"/>
  <c r="T255" i="68"/>
  <c r="T300" i="68" s="1"/>
  <c r="T308" i="68" s="1"/>
  <c r="IE25" i="68"/>
  <c r="U291" i="68"/>
  <c r="U303" i="68" s="1"/>
  <c r="IH26" i="68"/>
  <c r="IH27" i="68"/>
  <c r="W279" i="68"/>
  <c r="IG28" i="68"/>
  <c r="V314" i="68"/>
  <c r="IG27" i="68"/>
  <c r="T254" i="68"/>
  <c r="U249" i="69"/>
  <c r="U315" i="68"/>
  <c r="X281" i="68"/>
  <c r="X282" i="68" s="1"/>
  <c r="U290" i="68"/>
  <c r="X314" i="68"/>
  <c r="U293" i="68"/>
  <c r="U294" i="68" s="1"/>
  <c r="W289" i="68"/>
  <c r="W291" i="68" s="1"/>
  <c r="V285" i="69"/>
  <c r="Y276" i="68"/>
  <c r="T307" i="69"/>
  <c r="X279" i="68"/>
  <c r="X302" i="68" s="1"/>
  <c r="X310" i="68" s="1"/>
  <c r="AC274" i="68" a="1"/>
  <c r="AC274" i="68" s="1"/>
  <c r="AB275" i="68"/>
  <c r="AB250" i="68" a="1"/>
  <c r="AB250" i="68" s="1"/>
  <c r="AA251" i="68"/>
  <c r="AA286" i="68" a="1"/>
  <c r="AA286" i="68" s="1"/>
  <c r="Z287" i="68"/>
  <c r="HZ31" i="68" s="1"/>
  <c r="AC262" i="68" a="1"/>
  <c r="AC262" i="68" s="1"/>
  <c r="AB263" i="68"/>
  <c r="V291" i="68" l="1"/>
  <c r="V303" i="68" s="1"/>
  <c r="V311" i="68" s="1"/>
  <c r="V290" i="68"/>
  <c r="V293" i="68"/>
  <c r="V294" i="68" s="1"/>
  <c r="V302" i="68"/>
  <c r="V310" i="68" s="1"/>
  <c r="HM26" i="69"/>
  <c r="U257" i="68"/>
  <c r="U258" i="68" s="1"/>
  <c r="U255" i="68"/>
  <c r="U300" i="68" s="1"/>
  <c r="U308" i="68" s="1"/>
  <c r="U312" i="68"/>
  <c r="HO27" i="68"/>
  <c r="HP27" i="68"/>
  <c r="V252" i="68"/>
  <c r="HN28" i="68"/>
  <c r="HX31" i="68"/>
  <c r="HW31" i="68"/>
  <c r="HV32" i="68"/>
  <c r="Y277" i="68"/>
  <c r="Y281" i="68" s="1"/>
  <c r="Y282" i="68" s="1"/>
  <c r="HU30" i="69"/>
  <c r="Z273" i="69"/>
  <c r="HU31" i="69"/>
  <c r="HS29" i="68"/>
  <c r="HT29" i="68"/>
  <c r="X264" i="68"/>
  <c r="HQ29" i="69" s="1"/>
  <c r="IF29" i="68"/>
  <c r="S301" i="68"/>
  <c r="S309" i="68" s="1"/>
  <c r="S305" i="69"/>
  <c r="U261" i="69"/>
  <c r="U265" i="68"/>
  <c r="T269" i="68"/>
  <c r="T270" i="68" s="1"/>
  <c r="T313" i="68"/>
  <c r="T267" i="68"/>
  <c r="T266" i="68"/>
  <c r="V265" i="68"/>
  <c r="V261" i="69"/>
  <c r="W264" i="68"/>
  <c r="HQ28" i="69" s="1"/>
  <c r="HT28" i="68"/>
  <c r="HS28" i="68"/>
  <c r="IF28" i="68"/>
  <c r="HR30" i="68"/>
  <c r="U307" i="69"/>
  <c r="IB31" i="68"/>
  <c r="IA31" i="68"/>
  <c r="T304" i="69"/>
  <c r="IG30" i="68"/>
  <c r="IH28" i="68"/>
  <c r="W306" i="69"/>
  <c r="W302" i="68"/>
  <c r="W310" i="68" s="1"/>
  <c r="IE27" i="68"/>
  <c r="U311" i="68"/>
  <c r="W290" i="68"/>
  <c r="Z277" i="68"/>
  <c r="Z281" i="68" s="1"/>
  <c r="W293" i="68"/>
  <c r="W294" i="68" s="1"/>
  <c r="W315" i="68"/>
  <c r="Y273" i="69"/>
  <c r="X288" i="68"/>
  <c r="X306" i="69"/>
  <c r="W307" i="69"/>
  <c r="W303" i="68"/>
  <c r="AC250" i="68" a="1"/>
  <c r="AC250" i="68" s="1"/>
  <c r="AB251" i="68"/>
  <c r="AD262" i="68" a="1"/>
  <c r="AD262" i="68" s="1"/>
  <c r="AC263" i="68"/>
  <c r="AA287" i="68"/>
  <c r="HZ32" i="68" s="1"/>
  <c r="AB286" i="68" a="1"/>
  <c r="AB286" i="68" s="1"/>
  <c r="AD274" i="68" a="1"/>
  <c r="AD274" i="68" s="1"/>
  <c r="AC275" i="68"/>
  <c r="V307" i="69" l="1"/>
  <c r="U304" i="69"/>
  <c r="Y278" i="68"/>
  <c r="Y279" i="68"/>
  <c r="Y306" i="69" s="1"/>
  <c r="Y314" i="68"/>
  <c r="HP28" i="68"/>
  <c r="HO28" i="68"/>
  <c r="HN29" i="68"/>
  <c r="V249" i="69"/>
  <c r="HM27" i="69"/>
  <c r="V253" i="68"/>
  <c r="W252" i="68"/>
  <c r="HM28" i="69" s="1"/>
  <c r="HW32" i="68"/>
  <c r="HX32" i="68"/>
  <c r="HV33" i="68"/>
  <c r="HV34" i="68" s="1"/>
  <c r="X285" i="69"/>
  <c r="HY29" i="69"/>
  <c r="U313" i="68"/>
  <c r="U266" i="68"/>
  <c r="U267" i="68"/>
  <c r="U269" i="68"/>
  <c r="U270" i="68" s="1"/>
  <c r="HS30" i="68"/>
  <c r="HT30" i="68"/>
  <c r="Y264" i="68"/>
  <c r="HQ30" i="69" s="1"/>
  <c r="W265" i="68"/>
  <c r="W261" i="69"/>
  <c r="V313" i="68"/>
  <c r="V269" i="68"/>
  <c r="V270" i="68" s="1"/>
  <c r="V267" i="68"/>
  <c r="V266" i="68"/>
  <c r="HR31" i="68"/>
  <c r="IF31" i="68" s="1"/>
  <c r="X265" i="68"/>
  <c r="X261" i="69"/>
  <c r="T301" i="68"/>
  <c r="T309" i="68" s="1"/>
  <c r="T305" i="69"/>
  <c r="IB32" i="68"/>
  <c r="IA32" i="68"/>
  <c r="IG31" i="68"/>
  <c r="IF30" i="68"/>
  <c r="W311" i="68"/>
  <c r="Z278" i="68"/>
  <c r="Z279" i="68"/>
  <c r="Z302" i="68" s="1"/>
  <c r="Z314" i="68"/>
  <c r="Z288" i="68"/>
  <c r="X289" i="68"/>
  <c r="Y288" i="68"/>
  <c r="AA276" i="68"/>
  <c r="Z282" i="68"/>
  <c r="AD250" i="68" a="1"/>
  <c r="AD250" i="68" s="1"/>
  <c r="AC251" i="68"/>
  <c r="AE262" i="68" a="1"/>
  <c r="AE262" i="68" s="1"/>
  <c r="AD263" i="68"/>
  <c r="AE274" i="68" a="1"/>
  <c r="AE274" i="68" s="1"/>
  <c r="AD275" i="68"/>
  <c r="AC286" i="68" a="1"/>
  <c r="AC286" i="68" s="1"/>
  <c r="AB287" i="68"/>
  <c r="HZ33" i="68" s="1"/>
  <c r="Y302" i="68" l="1"/>
  <c r="Y310" i="68" s="1"/>
  <c r="W253" i="68"/>
  <c r="W257" i="68" s="1"/>
  <c r="W258" i="68" s="1"/>
  <c r="W249" i="69"/>
  <c r="HW34" i="68"/>
  <c r="HX34" i="68"/>
  <c r="V257" i="68"/>
  <c r="V258" i="68" s="1"/>
  <c r="V255" i="68"/>
  <c r="V254" i="68"/>
  <c r="V312" i="68"/>
  <c r="HV35" i="68"/>
  <c r="HW35" i="68" s="1"/>
  <c r="X252" i="68"/>
  <c r="HP29" i="68"/>
  <c r="HO29" i="68"/>
  <c r="HN30" i="68"/>
  <c r="HX33" i="68"/>
  <c r="HW33" i="68"/>
  <c r="Z289" i="68"/>
  <c r="Z291" i="68" s="1"/>
  <c r="HY31" i="69"/>
  <c r="AA273" i="69"/>
  <c r="HU32" i="69"/>
  <c r="Y285" i="69"/>
  <c r="HY30" i="69"/>
  <c r="HR32" i="68"/>
  <c r="W269" i="68"/>
  <c r="W270" i="68" s="1"/>
  <c r="W267" i="68"/>
  <c r="W266" i="68"/>
  <c r="W313" i="68"/>
  <c r="Y261" i="69"/>
  <c r="Y265" i="68"/>
  <c r="X269" i="68"/>
  <c r="X270" i="68" s="1"/>
  <c r="X266" i="68"/>
  <c r="X313" i="68"/>
  <c r="X267" i="68"/>
  <c r="HT31" i="68"/>
  <c r="HS31" i="68"/>
  <c r="Z264" i="68"/>
  <c r="HQ31" i="69" s="1"/>
  <c r="U301" i="68"/>
  <c r="U309" i="68" s="1"/>
  <c r="U305" i="69"/>
  <c r="V301" i="68"/>
  <c r="V309" i="68" s="1"/>
  <c r="V305" i="69"/>
  <c r="IB33" i="68"/>
  <c r="IA33" i="68"/>
  <c r="Z306" i="69"/>
  <c r="IE28" i="68"/>
  <c r="X291" i="68"/>
  <c r="X303" i="68" s="1"/>
  <c r="IH29" i="68"/>
  <c r="IE29" i="68"/>
  <c r="Z310" i="68"/>
  <c r="Z285" i="69"/>
  <c r="IH31" i="68"/>
  <c r="X315" i="68"/>
  <c r="Y289" i="68"/>
  <c r="X293" i="68"/>
  <c r="X294" i="68" s="1"/>
  <c r="X290" i="68"/>
  <c r="AA277" i="68"/>
  <c r="AB276" i="68"/>
  <c r="AF274" i="68" a="1"/>
  <c r="AF274" i="68" s="1"/>
  <c r="AE275" i="68"/>
  <c r="AF262" i="68" a="1"/>
  <c r="AF262" i="68" s="1"/>
  <c r="AE263" i="68"/>
  <c r="AD286" i="68" a="1"/>
  <c r="AD286" i="68" s="1"/>
  <c r="AC287" i="68"/>
  <c r="HZ34" i="68" s="1"/>
  <c r="Z315" i="68"/>
  <c r="AE250" i="68" a="1"/>
  <c r="AE250" i="68" s="1"/>
  <c r="AD251" i="68"/>
  <c r="Z290" i="68" l="1"/>
  <c r="Z293" i="68"/>
  <c r="W254" i="68"/>
  <c r="W255" i="68"/>
  <c r="W304" i="69" s="1"/>
  <c r="W312" i="68"/>
  <c r="HX35" i="68"/>
  <c r="HV36" i="68"/>
  <c r="HX36" i="68" s="1"/>
  <c r="X253" i="68"/>
  <c r="X249" i="69"/>
  <c r="HM29" i="69"/>
  <c r="V304" i="69"/>
  <c r="V300" i="68"/>
  <c r="V308" i="68" s="1"/>
  <c r="HO30" i="68"/>
  <c r="HP30" i="68"/>
  <c r="Y252" i="68"/>
  <c r="HN31" i="68"/>
  <c r="AB277" i="68"/>
  <c r="AB279" i="68" s="1"/>
  <c r="AB302" i="68" s="1"/>
  <c r="HU33" i="69"/>
  <c r="X305" i="69"/>
  <c r="X301" i="68"/>
  <c r="X309" i="68" s="1"/>
  <c r="Y266" i="68"/>
  <c r="Y267" i="68"/>
  <c r="Y313" i="68"/>
  <c r="Y269" i="68"/>
  <c r="Y270" i="68" s="1"/>
  <c r="Z265" i="68"/>
  <c r="Z261" i="69"/>
  <c r="W301" i="68"/>
  <c r="W309" i="68" s="1"/>
  <c r="W305" i="69"/>
  <c r="HS32" i="68"/>
  <c r="HT32" i="68"/>
  <c r="HR33" i="68"/>
  <c r="AA264" i="68"/>
  <c r="HQ32" i="69" s="1"/>
  <c r="IB34" i="68"/>
  <c r="IA34" i="68"/>
  <c r="X307" i="69"/>
  <c r="Y290" i="68"/>
  <c r="IH30" i="68"/>
  <c r="IF32" i="68"/>
  <c r="IG33" i="68"/>
  <c r="X311" i="68"/>
  <c r="AA279" i="68"/>
  <c r="AA306" i="69" s="1"/>
  <c r="IG32" i="68"/>
  <c r="Y293" i="68"/>
  <c r="Y294" i="68" s="1"/>
  <c r="AA288" i="68"/>
  <c r="AB273" i="69"/>
  <c r="Y291" i="68"/>
  <c r="Y303" i="68" s="1"/>
  <c r="Y311" i="68" s="1"/>
  <c r="Y315" i="68"/>
  <c r="AA314" i="68"/>
  <c r="AA281" i="68"/>
  <c r="AA282" i="68" s="1"/>
  <c r="AA278" i="68"/>
  <c r="AC276" i="68"/>
  <c r="AE286" i="68" a="1"/>
  <c r="AE286" i="68" s="1"/>
  <c r="AD287" i="68"/>
  <c r="HZ35" i="68" s="1"/>
  <c r="AG274" i="68" a="1"/>
  <c r="AG274" i="68" s="1"/>
  <c r="AF275" i="68"/>
  <c r="Z294" i="68"/>
  <c r="AG262" i="68" a="1"/>
  <c r="AG262" i="68" s="1"/>
  <c r="AF263" i="68"/>
  <c r="Z303" i="68"/>
  <c r="Z311" i="68" s="1"/>
  <c r="Z307" i="69"/>
  <c r="AF250" i="68" a="1"/>
  <c r="AF250" i="68" s="1"/>
  <c r="AE251" i="68"/>
  <c r="W300" i="68" l="1"/>
  <c r="W308" i="68" s="1"/>
  <c r="HW36" i="68"/>
  <c r="HV37" i="68"/>
  <c r="HX37" i="68" s="1"/>
  <c r="AB278" i="68"/>
  <c r="AB306" i="69"/>
  <c r="AB281" i="68"/>
  <c r="AB282" i="68" s="1"/>
  <c r="Z252" i="68"/>
  <c r="HP31" i="68"/>
  <c r="HO31" i="68"/>
  <c r="HN32" i="68"/>
  <c r="Y253" i="68"/>
  <c r="Y249" i="69"/>
  <c r="HM30" i="69"/>
  <c r="X254" i="68"/>
  <c r="X257" i="68"/>
  <c r="X258" i="68" s="1"/>
  <c r="X255" i="68"/>
  <c r="X312" i="68"/>
  <c r="AB314" i="68"/>
  <c r="AA289" i="68"/>
  <c r="AA315" i="68" s="1"/>
  <c r="HY32" i="69"/>
  <c r="AC277" i="68"/>
  <c r="AC281" i="68" s="1"/>
  <c r="AC282" i="68" s="1"/>
  <c r="HU34" i="69"/>
  <c r="Z313" i="68"/>
  <c r="Z267" i="68"/>
  <c r="Z266" i="68"/>
  <c r="Z269" i="68"/>
  <c r="Z270" i="68" s="1"/>
  <c r="Y305" i="69"/>
  <c r="Y301" i="68"/>
  <c r="Y309" i="68" s="1"/>
  <c r="AA261" i="69"/>
  <c r="AA265" i="68"/>
  <c r="HS33" i="68"/>
  <c r="HT33" i="68"/>
  <c r="AB264" i="68"/>
  <c r="HQ33" i="69" s="1"/>
  <c r="IF33" i="68"/>
  <c r="HR34" i="68"/>
  <c r="IB35" i="68"/>
  <c r="IA35" i="68"/>
  <c r="AA302" i="68"/>
  <c r="AA310" i="68" s="1"/>
  <c r="IH32" i="68"/>
  <c r="IG34" i="68"/>
  <c r="AB310" i="68"/>
  <c r="Y307" i="69"/>
  <c r="AA285" i="69"/>
  <c r="AB288" i="68"/>
  <c r="AC279" i="68"/>
  <c r="AC302" i="68" s="1"/>
  <c r="AC273" i="69"/>
  <c r="AD276" i="68"/>
  <c r="AH274" i="68" a="1"/>
  <c r="AH274" i="68" s="1"/>
  <c r="AG275" i="68"/>
  <c r="HV38" i="68" s="1"/>
  <c r="AH262" i="68" a="1"/>
  <c r="AH262" i="68" s="1"/>
  <c r="AG263" i="68"/>
  <c r="AG250" i="68" a="1"/>
  <c r="AG250" i="68" s="1"/>
  <c r="AF251" i="68"/>
  <c r="AF286" i="68" a="1"/>
  <c r="AF286" i="68" s="1"/>
  <c r="AE287" i="68"/>
  <c r="HZ36" i="68" s="1"/>
  <c r="HW37" i="68" l="1"/>
  <c r="IE32" i="68"/>
  <c r="AA291" i="68"/>
  <c r="AA307" i="69" s="1"/>
  <c r="AA293" i="68"/>
  <c r="AA294" i="68" s="1"/>
  <c r="AA290" i="68"/>
  <c r="HN33" i="68"/>
  <c r="IE30" i="68"/>
  <c r="Y254" i="68"/>
  <c r="Y255" i="68"/>
  <c r="Y257" i="68"/>
  <c r="Y258" i="68" s="1"/>
  <c r="Y312" i="68"/>
  <c r="AA252" i="68"/>
  <c r="HO32" i="68"/>
  <c r="HP32" i="68"/>
  <c r="X300" i="68"/>
  <c r="X308" i="68" s="1"/>
  <c r="X304" i="69"/>
  <c r="HM31" i="69"/>
  <c r="Z249" i="69"/>
  <c r="Z253" i="68"/>
  <c r="AC278" i="68"/>
  <c r="AB289" i="68"/>
  <c r="AB315" i="68" s="1"/>
  <c r="HY33" i="69"/>
  <c r="AD273" i="69"/>
  <c r="HU35" i="69"/>
  <c r="AC314" i="68"/>
  <c r="AB265" i="68"/>
  <c r="AB261" i="69"/>
  <c r="AA269" i="68"/>
  <c r="AA270" i="68" s="1"/>
  <c r="AA313" i="68"/>
  <c r="AA267" i="68"/>
  <c r="AA266" i="68"/>
  <c r="HT34" i="68"/>
  <c r="HS34" i="68"/>
  <c r="AC264" i="68"/>
  <c r="HQ34" i="69" s="1"/>
  <c r="Z305" i="69"/>
  <c r="Z301" i="68"/>
  <c r="Z309" i="68" s="1"/>
  <c r="HR35" i="68"/>
  <c r="HR36" i="68" s="1"/>
  <c r="AE264" i="68" s="1"/>
  <c r="HX38" i="68"/>
  <c r="HW38" i="68"/>
  <c r="IB36" i="68"/>
  <c r="IA36" i="68"/>
  <c r="IH33" i="68"/>
  <c r="AC310" i="68"/>
  <c r="IF34" i="68"/>
  <c r="AB285" i="69"/>
  <c r="AC306" i="69"/>
  <c r="AC288" i="68"/>
  <c r="AE276" i="68"/>
  <c r="AD277" i="68"/>
  <c r="CY10" i="79"/>
  <c r="AG251" i="68"/>
  <c r="AH250" i="68" a="1"/>
  <c r="AH250" i="68" s="1"/>
  <c r="AI262" i="68" a="1"/>
  <c r="AI262" i="68" s="1"/>
  <c r="AH263" i="68"/>
  <c r="AG286" i="68" a="1"/>
  <c r="AG286" i="68" s="1"/>
  <c r="AF287" i="68"/>
  <c r="HZ37" i="68" s="1"/>
  <c r="AI274" i="68" a="1"/>
  <c r="AI274" i="68" s="1"/>
  <c r="AH275" i="68"/>
  <c r="HV39" i="68" s="1"/>
  <c r="AA303" i="68" l="1"/>
  <c r="AA311" i="68" s="1"/>
  <c r="AB293" i="68"/>
  <c r="AB294" i="68" s="1"/>
  <c r="AB291" i="68"/>
  <c r="AB307" i="69" s="1"/>
  <c r="AB290" i="68"/>
  <c r="AA249" i="69"/>
  <c r="HM32" i="69"/>
  <c r="AA253" i="68"/>
  <c r="IE31" i="68"/>
  <c r="Z255" i="68"/>
  <c r="Z312" i="68"/>
  <c r="Z254" i="68"/>
  <c r="Z257" i="68"/>
  <c r="Z258" i="68" s="1"/>
  <c r="Y300" i="68"/>
  <c r="Y308" i="68" s="1"/>
  <c r="Y304" i="69"/>
  <c r="AB252" i="68"/>
  <c r="IE33" i="68"/>
  <c r="HP33" i="68"/>
  <c r="HO33" i="68"/>
  <c r="HN34" i="68"/>
  <c r="AC289" i="68"/>
  <c r="AC290" i="68" s="1"/>
  <c r="HY34" i="69"/>
  <c r="AE261" i="69"/>
  <c r="HQ36" i="69"/>
  <c r="AE277" i="68"/>
  <c r="AE281" i="68" s="1"/>
  <c r="AE282" i="68" s="1"/>
  <c r="HU36" i="69"/>
  <c r="AC261" i="69"/>
  <c r="AC265" i="68"/>
  <c r="AA305" i="69"/>
  <c r="AA301" i="68"/>
  <c r="AA309" i="68" s="1"/>
  <c r="HT36" i="68"/>
  <c r="HS36" i="68"/>
  <c r="HT35" i="68"/>
  <c r="HS35" i="68"/>
  <c r="AD264" i="68"/>
  <c r="HQ35" i="69" s="1"/>
  <c r="AB269" i="68"/>
  <c r="AB270" i="68" s="1"/>
  <c r="AB267" i="68"/>
  <c r="AB313" i="68"/>
  <c r="AB266" i="68"/>
  <c r="HR37" i="68"/>
  <c r="IB37" i="68"/>
  <c r="IA37" i="68"/>
  <c r="HX39" i="68"/>
  <c r="HW39" i="68"/>
  <c r="IH34" i="68"/>
  <c r="AD281" i="68"/>
  <c r="AD282" i="68" s="1"/>
  <c r="IG35" i="68"/>
  <c r="IF35" i="68"/>
  <c r="IG36" i="68"/>
  <c r="AE273" i="69"/>
  <c r="AD288" i="68"/>
  <c r="AC285" i="69"/>
  <c r="AF276" i="68"/>
  <c r="AD279" i="68"/>
  <c r="AD302" i="68" s="1"/>
  <c r="AD310" i="68" s="1"/>
  <c r="AD314" i="68"/>
  <c r="AD278" i="68"/>
  <c r="AE265" i="68"/>
  <c r="O26" i="57"/>
  <c r="EC10" i="79" s="1"/>
  <c r="CZ10" i="79"/>
  <c r="AE20" i="57"/>
  <c r="AH286" i="68" a="1"/>
  <c r="AH286" i="68" s="1"/>
  <c r="AG287" i="68"/>
  <c r="HZ38" i="68" s="1"/>
  <c r="AJ262" i="68" a="1"/>
  <c r="AJ262" i="68" s="1"/>
  <c r="AI263" i="68"/>
  <c r="AJ274" i="68" a="1"/>
  <c r="AJ274" i="68" s="1"/>
  <c r="AI275" i="68"/>
  <c r="HV40" i="68" s="1"/>
  <c r="AI250" i="68" a="1"/>
  <c r="AI250" i="68" s="1"/>
  <c r="AH251" i="68"/>
  <c r="AB303" i="68" l="1"/>
  <c r="AB311" i="68" s="1"/>
  <c r="AE278" i="68"/>
  <c r="AE314" i="68"/>
  <c r="AC291" i="68"/>
  <c r="AC303" i="68" s="1"/>
  <c r="AC311" i="68" s="1"/>
  <c r="AC315" i="68"/>
  <c r="AC293" i="68"/>
  <c r="AC294" i="68" s="1"/>
  <c r="AC252" i="68"/>
  <c r="HP34" i="68"/>
  <c r="HO34" i="68"/>
  <c r="HN35" i="68"/>
  <c r="Z304" i="69"/>
  <c r="Z300" i="68"/>
  <c r="Z308" i="68" s="1"/>
  <c r="AA254" i="68"/>
  <c r="AA255" i="68"/>
  <c r="AA257" i="68"/>
  <c r="AA258" i="68" s="1"/>
  <c r="AA312" i="68"/>
  <c r="AB253" i="68"/>
  <c r="AB249" i="69"/>
  <c r="HM33" i="69"/>
  <c r="AE279" i="68"/>
  <c r="AE306" i="69" s="1"/>
  <c r="AF273" i="69"/>
  <c r="HU37" i="69"/>
  <c r="AD289" i="68"/>
  <c r="AD293" i="68" s="1"/>
  <c r="AD294" i="68" s="1"/>
  <c r="HY35" i="69"/>
  <c r="AD261" i="69"/>
  <c r="AD265" i="68"/>
  <c r="HT37" i="68"/>
  <c r="HS37" i="68"/>
  <c r="AF264" i="68"/>
  <c r="HQ37" i="69" s="1"/>
  <c r="AC313" i="68"/>
  <c r="AC266" i="68"/>
  <c r="AC269" i="68"/>
  <c r="AC270" i="68" s="1"/>
  <c r="AC267" i="68"/>
  <c r="AB305" i="69"/>
  <c r="AB301" i="68"/>
  <c r="AB309" i="68" s="1"/>
  <c r="HR38" i="68"/>
  <c r="AG264" i="68" s="1"/>
  <c r="IB38" i="68"/>
  <c r="IA38" i="68"/>
  <c r="HX40" i="68"/>
  <c r="HW40" i="68"/>
  <c r="AE267" i="68"/>
  <c r="AE305" i="69" s="1"/>
  <c r="IF36" i="68"/>
  <c r="IF37" i="68"/>
  <c r="IH35" i="68"/>
  <c r="AE288" i="68"/>
  <c r="AD285" i="69"/>
  <c r="AF277" i="68"/>
  <c r="AG276" i="68"/>
  <c r="AE269" i="68"/>
  <c r="AE270" i="68" s="1"/>
  <c r="AE266" i="68"/>
  <c r="AE313" i="68"/>
  <c r="AD306" i="69"/>
  <c r="AE21" i="57"/>
  <c r="O27" i="57"/>
  <c r="ED10" i="79" s="1"/>
  <c r="AI286" i="68" a="1"/>
  <c r="AI286" i="68" s="1"/>
  <c r="AH287" i="68"/>
  <c r="HZ39" i="68" s="1"/>
  <c r="AK274" i="68" a="1"/>
  <c r="AK274" i="68" s="1"/>
  <c r="AJ275" i="68"/>
  <c r="HV41" i="68" s="1"/>
  <c r="AJ250" i="68" a="1"/>
  <c r="AJ250" i="68" s="1"/>
  <c r="AI251" i="68"/>
  <c r="AK262" i="68" a="1"/>
  <c r="AK262" i="68" s="1"/>
  <c r="AJ263" i="68"/>
  <c r="AC307" i="69" l="1"/>
  <c r="AD315" i="68"/>
  <c r="AD290" i="68"/>
  <c r="AD291" i="68"/>
  <c r="AD303" i="68" s="1"/>
  <c r="AD311" i="68" s="1"/>
  <c r="HP35" i="68"/>
  <c r="HO35" i="68"/>
  <c r="AD252" i="68"/>
  <c r="AE302" i="68"/>
  <c r="AE310" i="68" s="1"/>
  <c r="AB255" i="68"/>
  <c r="AB257" i="68"/>
  <c r="AB258" i="68" s="1"/>
  <c r="AB254" i="68"/>
  <c r="AB312" i="68"/>
  <c r="AC249" i="69"/>
  <c r="AC253" i="68"/>
  <c r="HM34" i="69"/>
  <c r="AA304" i="69"/>
  <c r="AA300" i="68"/>
  <c r="AA308" i="68" s="1"/>
  <c r="HN36" i="68"/>
  <c r="AE289" i="68"/>
  <c r="AE291" i="68" s="1"/>
  <c r="AE307" i="69" s="1"/>
  <c r="HY36" i="69"/>
  <c r="AG277" i="68"/>
  <c r="AG278" i="68" s="1"/>
  <c r="HU38" i="69"/>
  <c r="AG265" i="68"/>
  <c r="AG267" i="68" s="1"/>
  <c r="AG305" i="69" s="1"/>
  <c r="HQ38" i="69"/>
  <c r="HR39" i="68"/>
  <c r="AE301" i="68"/>
  <c r="AE309" i="68" s="1"/>
  <c r="AC305" i="69"/>
  <c r="AC301" i="68"/>
  <c r="AC309" i="68" s="1"/>
  <c r="AF261" i="69"/>
  <c r="AF265" i="68"/>
  <c r="HT38" i="68"/>
  <c r="HS38" i="68"/>
  <c r="AD266" i="68"/>
  <c r="AD267" i="68"/>
  <c r="AD269" i="68"/>
  <c r="AD270" i="68" s="1"/>
  <c r="AD313" i="68"/>
  <c r="HW41" i="68"/>
  <c r="HX41" i="68"/>
  <c r="IB39" i="68"/>
  <c r="IA39" i="68"/>
  <c r="IH36" i="68"/>
  <c r="IG38" i="68"/>
  <c r="IF38" i="68"/>
  <c r="AF278" i="68"/>
  <c r="IG37" i="68"/>
  <c r="AF279" i="68"/>
  <c r="AF306" i="69" s="1"/>
  <c r="AF288" i="68"/>
  <c r="AE285" i="69"/>
  <c r="AG273" i="69"/>
  <c r="AF314" i="68"/>
  <c r="AG261" i="69"/>
  <c r="AF281" i="68"/>
  <c r="AF282" i="68" s="1"/>
  <c r="AH276" i="68"/>
  <c r="AJ286" i="68" a="1"/>
  <c r="AJ286" i="68" s="1"/>
  <c r="AI287" i="68"/>
  <c r="HZ40" i="68" s="1"/>
  <c r="AL274" i="68" a="1"/>
  <c r="AL274" i="68" s="1"/>
  <c r="AK275" i="68"/>
  <c r="HV42" i="68" s="1"/>
  <c r="AL262" i="68" a="1"/>
  <c r="AL262" i="68" s="1"/>
  <c r="AK263" i="68"/>
  <c r="AK250" i="68" a="1"/>
  <c r="AK250" i="68" s="1"/>
  <c r="AJ251" i="68"/>
  <c r="AD307" i="69" l="1"/>
  <c r="AG266" i="68"/>
  <c r="AE315" i="68"/>
  <c r="AG314" i="68"/>
  <c r="AG313" i="68"/>
  <c r="AG281" i="68"/>
  <c r="AG282" i="68" s="1"/>
  <c r="AG279" i="68"/>
  <c r="AG306" i="69" s="1"/>
  <c r="AE293" i="68"/>
  <c r="AE294" i="68" s="1"/>
  <c r="AB304" i="69"/>
  <c r="AB300" i="68"/>
  <c r="AB308" i="68" s="1"/>
  <c r="HP36" i="68"/>
  <c r="HO36" i="68"/>
  <c r="AE252" i="68"/>
  <c r="HN37" i="68"/>
  <c r="IE36" i="68"/>
  <c r="AD253" i="68"/>
  <c r="HM35" i="69"/>
  <c r="AD249" i="69"/>
  <c r="AE303" i="68"/>
  <c r="AE311" i="68" s="1"/>
  <c r="IE34" i="68"/>
  <c r="AC255" i="68"/>
  <c r="AC312" i="68"/>
  <c r="AC254" i="68"/>
  <c r="AC257" i="68"/>
  <c r="AC258" i="68" s="1"/>
  <c r="AE290" i="68"/>
  <c r="AG269" i="68"/>
  <c r="AG270" i="68" s="1"/>
  <c r="AH277" i="68"/>
  <c r="AH278" i="68" s="1"/>
  <c r="HU39" i="69"/>
  <c r="AF285" i="69"/>
  <c r="HY37" i="69"/>
  <c r="AD301" i="68"/>
  <c r="AD309" i="68" s="1"/>
  <c r="AD305" i="69"/>
  <c r="AF267" i="68"/>
  <c r="AF313" i="68"/>
  <c r="AF269" i="68"/>
  <c r="AF270" i="68" s="1"/>
  <c r="AF266" i="68"/>
  <c r="HT39" i="68"/>
  <c r="HS39" i="68"/>
  <c r="AH264" i="68"/>
  <c r="HQ39" i="69" s="1"/>
  <c r="HR40" i="68"/>
  <c r="IB40" i="68"/>
  <c r="IA40" i="68"/>
  <c r="HX42" i="68"/>
  <c r="HW42" i="68"/>
  <c r="IF39" i="68"/>
  <c r="IG39" i="68"/>
  <c r="AF289" i="68"/>
  <c r="AF293" i="68" s="1"/>
  <c r="AF294" i="68" s="1"/>
  <c r="AI276" i="68"/>
  <c r="AF302" i="68"/>
  <c r="AF310" i="68" s="1"/>
  <c r="AH273" i="69"/>
  <c r="AG288" i="68"/>
  <c r="AG301" i="68"/>
  <c r="AG309" i="68" s="1"/>
  <c r="AM274" i="68" a="1"/>
  <c r="AM274" i="68" s="1"/>
  <c r="AL275" i="68"/>
  <c r="HV43" i="68" s="1"/>
  <c r="AK286" i="68" a="1"/>
  <c r="AK286" i="68" s="1"/>
  <c r="AJ287" i="68"/>
  <c r="HZ41" i="68" s="1"/>
  <c r="AL250" i="68" a="1"/>
  <c r="AL250" i="68" s="1"/>
  <c r="AK251" i="68"/>
  <c r="AM262" i="68" a="1"/>
  <c r="AM262" i="68" s="1"/>
  <c r="AL263" i="68"/>
  <c r="AH314" i="68" l="1"/>
  <c r="HN38" i="68"/>
  <c r="HO38" i="68" s="1"/>
  <c r="AH279" i="68"/>
  <c r="AH302" i="68" s="1"/>
  <c r="AH310" i="68" s="1"/>
  <c r="AG302" i="68"/>
  <c r="AG310" i="68" s="1"/>
  <c r="IE35" i="68"/>
  <c r="AD254" i="68"/>
  <c r="AD312" i="68"/>
  <c r="AD255" i="68"/>
  <c r="AD257" i="68"/>
  <c r="AD258" i="68" s="1"/>
  <c r="HO37" i="68"/>
  <c r="HP37" i="68"/>
  <c r="AF252" i="68"/>
  <c r="AE249" i="69"/>
  <c r="HM36" i="69"/>
  <c r="AE253" i="68"/>
  <c r="AC300" i="68"/>
  <c r="AC308" i="68" s="1"/>
  <c r="AC304" i="69"/>
  <c r="AH281" i="68"/>
  <c r="AH282" i="68" s="1"/>
  <c r="AG285" i="69"/>
  <c r="HY38" i="69"/>
  <c r="AI273" i="69"/>
  <c r="HU40" i="69"/>
  <c r="AF291" i="68"/>
  <c r="AF303" i="68" s="1"/>
  <c r="HT40" i="68"/>
  <c r="HS40" i="68"/>
  <c r="AI264" i="68"/>
  <c r="HQ40" i="69" s="1"/>
  <c r="HR41" i="68"/>
  <c r="HR42" i="68" s="1"/>
  <c r="HR43" i="68" s="1"/>
  <c r="AH261" i="69"/>
  <c r="AH265" i="68"/>
  <c r="AF301" i="68"/>
  <c r="AF309" i="68" s="1"/>
  <c r="AF305" i="69"/>
  <c r="IB41" i="68"/>
  <c r="IA41" i="68"/>
  <c r="HX43" i="68"/>
  <c r="HW43" i="68"/>
  <c r="AF315" i="68"/>
  <c r="IH37" i="68"/>
  <c r="IF40" i="68"/>
  <c r="AF290" i="68"/>
  <c r="AJ276" i="68"/>
  <c r="AI277" i="68"/>
  <c r="AG289" i="68"/>
  <c r="AI288" i="68"/>
  <c r="AH288" i="68"/>
  <c r="AN274" i="68" a="1"/>
  <c r="AN274" i="68" s="1"/>
  <c r="AM275" i="68"/>
  <c r="HV44" i="68" s="1"/>
  <c r="AM250" i="68" a="1"/>
  <c r="AM250" i="68" s="1"/>
  <c r="AL251" i="68"/>
  <c r="AL286" i="68" a="1"/>
  <c r="AL286" i="68" s="1"/>
  <c r="AK287" i="68"/>
  <c r="HZ42" i="68" s="1"/>
  <c r="AN262" i="68" a="1"/>
  <c r="AN262" i="68" s="1"/>
  <c r="AM263" i="68"/>
  <c r="HN39" i="68" l="1"/>
  <c r="HP39" i="68" s="1"/>
  <c r="AH306" i="69"/>
  <c r="IE38" i="68"/>
  <c r="AG252" i="68"/>
  <c r="AG253" i="68" s="1"/>
  <c r="HP38" i="68"/>
  <c r="AD300" i="68"/>
  <c r="AD308" i="68" s="1"/>
  <c r="AD304" i="69"/>
  <c r="AE312" i="68"/>
  <c r="AE255" i="68"/>
  <c r="AE254" i="68"/>
  <c r="AE257" i="68"/>
  <c r="AE258" i="68" s="1"/>
  <c r="AF253" i="68"/>
  <c r="HM37" i="69"/>
  <c r="AF249" i="69"/>
  <c r="HN40" i="68"/>
  <c r="AH285" i="69"/>
  <c r="HY39" i="69"/>
  <c r="AI289" i="68"/>
  <c r="AI315" i="68" s="1"/>
  <c r="HY40" i="69"/>
  <c r="AJ273" i="69"/>
  <c r="HU41" i="69"/>
  <c r="AF307" i="69"/>
  <c r="AF311" i="68"/>
  <c r="HS43" i="68"/>
  <c r="HT43" i="68"/>
  <c r="HT42" i="68"/>
  <c r="HS42" i="68"/>
  <c r="AK264" i="68"/>
  <c r="HQ42" i="69" s="1"/>
  <c r="AH269" i="68"/>
  <c r="AH270" i="68" s="1"/>
  <c r="AH266" i="68"/>
  <c r="AH313" i="68"/>
  <c r="AH267" i="68"/>
  <c r="HT41" i="68"/>
  <c r="HS41" i="68"/>
  <c r="AJ264" i="68"/>
  <c r="HQ41" i="69" s="1"/>
  <c r="AI261" i="69"/>
  <c r="AI265" i="68"/>
  <c r="HR44" i="68"/>
  <c r="HT44" i="68" s="1"/>
  <c r="HX44" i="68"/>
  <c r="HW44" i="68"/>
  <c r="IB42" i="68"/>
  <c r="IA42" i="68"/>
  <c r="AG291" i="68"/>
  <c r="AG307" i="69" s="1"/>
  <c r="IH38" i="68"/>
  <c r="AI314" i="68"/>
  <c r="IG40" i="68"/>
  <c r="AI281" i="68"/>
  <c r="AI282" i="68" s="1"/>
  <c r="AG293" i="68"/>
  <c r="AG294" i="68" s="1"/>
  <c r="AG290" i="68"/>
  <c r="AK276" i="68"/>
  <c r="AI279" i="68"/>
  <c r="AI302" i="68" s="1"/>
  <c r="AI310" i="68" s="1"/>
  <c r="AI278" i="68"/>
  <c r="AJ277" i="68"/>
  <c r="AG315" i="68"/>
  <c r="AI285" i="69"/>
  <c r="IH40" i="68"/>
  <c r="AH289" i="68"/>
  <c r="AL264" i="68"/>
  <c r="AN250" i="68" a="1"/>
  <c r="AN250" i="68" s="1"/>
  <c r="AM251" i="68"/>
  <c r="AO262" i="68" a="1"/>
  <c r="AO262" i="68" s="1"/>
  <c r="AN263" i="68"/>
  <c r="HR45" i="68" s="1"/>
  <c r="AM286" i="68" a="1"/>
  <c r="AM286" i="68" s="1"/>
  <c r="AL287" i="68"/>
  <c r="HZ43" i="68" s="1"/>
  <c r="AO274" i="68" a="1"/>
  <c r="AO274" i="68" s="1"/>
  <c r="AN275" i="68"/>
  <c r="HV45" i="68" s="1"/>
  <c r="HM38" i="69" l="1"/>
  <c r="AH252" i="68"/>
  <c r="AH253" i="68" s="1"/>
  <c r="HO39" i="68"/>
  <c r="AG249" i="69"/>
  <c r="AI291" i="68"/>
  <c r="AI290" i="68"/>
  <c r="AI293" i="68"/>
  <c r="AI294" i="68" s="1"/>
  <c r="AM264" i="68"/>
  <c r="HQ44" i="69" s="1"/>
  <c r="AE300" i="68"/>
  <c r="AE308" i="68" s="1"/>
  <c r="AE304" i="69"/>
  <c r="HP40" i="68"/>
  <c r="HO40" i="68"/>
  <c r="AI252" i="68"/>
  <c r="AG255" i="68"/>
  <c r="AG257" i="68"/>
  <c r="AG258" i="68" s="1"/>
  <c r="AG254" i="68"/>
  <c r="AG312" i="68"/>
  <c r="HN41" i="68"/>
  <c r="IE37" i="68"/>
  <c r="AF257" i="68"/>
  <c r="AF258" i="68" s="1"/>
  <c r="AF312" i="68"/>
  <c r="AF255" i="68"/>
  <c r="AF254" i="68"/>
  <c r="AL265" i="68"/>
  <c r="IF43" i="68" s="1"/>
  <c r="HQ43" i="69"/>
  <c r="AK277" i="68"/>
  <c r="AK314" i="68" s="1"/>
  <c r="HU42" i="69"/>
  <c r="AJ265" i="68"/>
  <c r="AJ261" i="69"/>
  <c r="AH301" i="68"/>
  <c r="AH309" i="68" s="1"/>
  <c r="AH305" i="69"/>
  <c r="HS44" i="68"/>
  <c r="AK265" i="68"/>
  <c r="AK261" i="69"/>
  <c r="AI266" i="68"/>
  <c r="AI313" i="68"/>
  <c r="AI269" i="68"/>
  <c r="AI270" i="68" s="1"/>
  <c r="AI267" i="68"/>
  <c r="HW45" i="68"/>
  <c r="HX45" i="68"/>
  <c r="HT45" i="68"/>
  <c r="HS45" i="68"/>
  <c r="IB43" i="68"/>
  <c r="IA43" i="68"/>
  <c r="AG303" i="68"/>
  <c r="AG311" i="68" s="1"/>
  <c r="AJ279" i="68"/>
  <c r="AJ302" i="68" s="1"/>
  <c r="IG41" i="68"/>
  <c r="IG42" i="68"/>
  <c r="AH291" i="68"/>
  <c r="AH307" i="69" s="1"/>
  <c r="IH39" i="68"/>
  <c r="AL276" i="68"/>
  <c r="AI306" i="69"/>
  <c r="AJ288" i="68"/>
  <c r="AK273" i="69"/>
  <c r="AJ314" i="68"/>
  <c r="AH315" i="68"/>
  <c r="AJ278" i="68"/>
  <c r="AJ281" i="68"/>
  <c r="AJ282" i="68" s="1"/>
  <c r="AK288" i="68"/>
  <c r="AH293" i="68"/>
  <c r="AH294" i="68" s="1"/>
  <c r="AH290" i="68"/>
  <c r="AL261" i="69"/>
  <c r="AM261" i="69"/>
  <c r="AP274" i="68" a="1"/>
  <c r="AP274" i="68" s="1"/>
  <c r="AO275" i="68"/>
  <c r="HV46" i="68" s="1"/>
  <c r="AO250" i="68" a="1"/>
  <c r="AO250" i="68" s="1"/>
  <c r="AN251" i="68"/>
  <c r="AP262" i="68" a="1"/>
  <c r="AP262" i="68" s="1"/>
  <c r="AO263" i="68"/>
  <c r="HR46" i="68" s="1"/>
  <c r="AN286" i="68" a="1"/>
  <c r="AN286" i="68" s="1"/>
  <c r="AM287" i="68"/>
  <c r="HZ44" i="68" s="1"/>
  <c r="AI307" i="69"/>
  <c r="AI303" i="68"/>
  <c r="AI311" i="68" s="1"/>
  <c r="AH249" i="69" l="1"/>
  <c r="HM39" i="69"/>
  <c r="AM265" i="68"/>
  <c r="IF44" i="68" s="1"/>
  <c r="AK279" i="68"/>
  <c r="AK302" i="68" s="1"/>
  <c r="AK310" i="68" s="1"/>
  <c r="HN42" i="68"/>
  <c r="HP42" i="68" s="1"/>
  <c r="AL266" i="68"/>
  <c r="AL269" i="68"/>
  <c r="AL267" i="68"/>
  <c r="AL313" i="68"/>
  <c r="AK281" i="68"/>
  <c r="AK282" i="68" s="1"/>
  <c r="AK278" i="68"/>
  <c r="AG300" i="68"/>
  <c r="AG308" i="68" s="1"/>
  <c r="AG304" i="69"/>
  <c r="AF304" i="69"/>
  <c r="AF300" i="68"/>
  <c r="AF308" i="68" s="1"/>
  <c r="AI249" i="69"/>
  <c r="AI253" i="68"/>
  <c r="HM40" i="69"/>
  <c r="IE39" i="68"/>
  <c r="AH312" i="68"/>
  <c r="AH254" i="68"/>
  <c r="AH257" i="68"/>
  <c r="AH258" i="68" s="1"/>
  <c r="AH255" i="68"/>
  <c r="HO41" i="68"/>
  <c r="HP41" i="68"/>
  <c r="AJ252" i="68"/>
  <c r="AL277" i="68"/>
  <c r="AL278" i="68" s="1"/>
  <c r="HU43" i="69"/>
  <c r="AK285" i="69"/>
  <c r="HY42" i="69"/>
  <c r="AJ285" i="69"/>
  <c r="HY41" i="69"/>
  <c r="AI301" i="68"/>
  <c r="AI309" i="68" s="1"/>
  <c r="AI305" i="69"/>
  <c r="IF42" i="68"/>
  <c r="AK269" i="68"/>
  <c r="AK270" i="68" s="1"/>
  <c r="AK313" i="68"/>
  <c r="AK266" i="68"/>
  <c r="AK267" i="68"/>
  <c r="IF41" i="68"/>
  <c r="AJ313" i="68"/>
  <c r="AJ269" i="68"/>
  <c r="AJ270" i="68" s="1"/>
  <c r="AJ267" i="68"/>
  <c r="AJ266" i="68"/>
  <c r="IB44" i="68"/>
  <c r="IA44" i="68"/>
  <c r="HT46" i="68"/>
  <c r="HS46" i="68"/>
  <c r="HX46" i="68"/>
  <c r="HW46" i="68"/>
  <c r="AL279" i="68"/>
  <c r="AL306" i="69" s="1"/>
  <c r="AH303" i="68"/>
  <c r="AH311" i="68" s="1"/>
  <c r="AJ306" i="69"/>
  <c r="IG43" i="68"/>
  <c r="AJ310" i="68"/>
  <c r="AJ289" i="68"/>
  <c r="AJ315" i="68" s="1"/>
  <c r="AL273" i="69"/>
  <c r="AM276" i="68"/>
  <c r="AM273" i="69" s="1"/>
  <c r="AL288" i="68"/>
  <c r="AK289" i="68"/>
  <c r="AK290" i="68" s="1"/>
  <c r="AN264" i="68"/>
  <c r="AO286" i="68" a="1"/>
  <c r="AO286" i="68" s="1"/>
  <c r="AN287" i="68"/>
  <c r="HZ45" i="68" s="1"/>
  <c r="AM267" i="68"/>
  <c r="AM266" i="68"/>
  <c r="AM313" i="68"/>
  <c r="AM269" i="68"/>
  <c r="AL305" i="69"/>
  <c r="AL301" i="68"/>
  <c r="AL309" i="68" s="1"/>
  <c r="AQ262" i="68" a="1"/>
  <c r="AQ262" i="68" s="1"/>
  <c r="AP263" i="68"/>
  <c r="HR47" i="68" s="1"/>
  <c r="AQ274" i="68" a="1"/>
  <c r="AQ274" i="68" s="1"/>
  <c r="AP275" i="68"/>
  <c r="HV47" i="68" s="1"/>
  <c r="AP250" i="68" a="1"/>
  <c r="AP250" i="68" s="1"/>
  <c r="AO251" i="68"/>
  <c r="AL270" i="68"/>
  <c r="AK306" i="69" l="1"/>
  <c r="AK252" i="68"/>
  <c r="AK253" i="68" s="1"/>
  <c r="HN43" i="68"/>
  <c r="HP43" i="68" s="1"/>
  <c r="HO42" i="68"/>
  <c r="AH300" i="68"/>
  <c r="AH308" i="68" s="1"/>
  <c r="AH304" i="69"/>
  <c r="IE40" i="68"/>
  <c r="AI254" i="68"/>
  <c r="AI312" i="68"/>
  <c r="AI255" i="68"/>
  <c r="AI257" i="68"/>
  <c r="AI258" i="68" s="1"/>
  <c r="AJ253" i="68"/>
  <c r="HM41" i="69"/>
  <c r="AJ249" i="69"/>
  <c r="AL289" i="68"/>
  <c r="AL290" i="68" s="1"/>
  <c r="HY43" i="69"/>
  <c r="AM277" i="68"/>
  <c r="AM278" i="68" s="1"/>
  <c r="HU44" i="69"/>
  <c r="AN261" i="69"/>
  <c r="HQ45" i="69"/>
  <c r="AL314" i="68"/>
  <c r="AL281" i="68"/>
  <c r="AL282" i="68" s="1"/>
  <c r="AJ301" i="68"/>
  <c r="AJ309" i="68" s="1"/>
  <c r="AJ305" i="69"/>
  <c r="AL302" i="68"/>
  <c r="AL310" i="68" s="1"/>
  <c r="AK301" i="68"/>
  <c r="AK309" i="68" s="1"/>
  <c r="AK305" i="69"/>
  <c r="HT47" i="68"/>
  <c r="HS47" i="68"/>
  <c r="IB45" i="68"/>
  <c r="IA45" i="68"/>
  <c r="HW47" i="68"/>
  <c r="HX47" i="68"/>
  <c r="AJ293" i="68"/>
  <c r="AJ294" i="68" s="1"/>
  <c r="AJ291" i="68"/>
  <c r="AJ303" i="68" s="1"/>
  <c r="AJ311" i="68" s="1"/>
  <c r="IH42" i="68"/>
  <c r="IG44" i="68"/>
  <c r="AJ290" i="68"/>
  <c r="IH41" i="68"/>
  <c r="AN276" i="68"/>
  <c r="AL285" i="69"/>
  <c r="IH43" i="68"/>
  <c r="AK315" i="68"/>
  <c r="AK293" i="68"/>
  <c r="AK294" i="68" s="1"/>
  <c r="AK291" i="68"/>
  <c r="AK303" i="68" s="1"/>
  <c r="AK311" i="68" s="1"/>
  <c r="AO276" i="68"/>
  <c r="AN265" i="68"/>
  <c r="AO264" i="68"/>
  <c r="AM270" i="68"/>
  <c r="AQ250" i="68" a="1"/>
  <c r="AQ250" i="68" s="1"/>
  <c r="AP251" i="68"/>
  <c r="AM305" i="69"/>
  <c r="AM301" i="68"/>
  <c r="AM309" i="68" s="1"/>
  <c r="AR274" i="68" a="1"/>
  <c r="AR274" i="68" s="1"/>
  <c r="AQ275" i="68"/>
  <c r="HV48" i="68" s="1"/>
  <c r="AR262" i="68" a="1"/>
  <c r="AR262" i="68" s="1"/>
  <c r="AQ263" i="68"/>
  <c r="HR48" i="68" s="1"/>
  <c r="AP286" i="68" a="1"/>
  <c r="AP286" i="68" s="1"/>
  <c r="AO287" i="68"/>
  <c r="HZ46" i="68" s="1"/>
  <c r="AK249" i="69" l="1"/>
  <c r="HM42" i="69"/>
  <c r="HN44" i="68"/>
  <c r="HO44" i="68" s="1"/>
  <c r="AL252" i="68"/>
  <c r="AL249" i="69" s="1"/>
  <c r="HO43" i="68"/>
  <c r="AM314" i="68"/>
  <c r="AL293" i="68"/>
  <c r="AL294" i="68" s="1"/>
  <c r="AM281" i="68"/>
  <c r="AM282" i="68" s="1"/>
  <c r="AL315" i="68"/>
  <c r="AM279" i="68"/>
  <c r="AM306" i="69" s="1"/>
  <c r="AL291" i="68"/>
  <c r="AL307" i="69" s="1"/>
  <c r="IE42" i="68"/>
  <c r="AK254" i="68"/>
  <c r="AK255" i="68"/>
  <c r="AK257" i="68"/>
  <c r="AK258" i="68" s="1"/>
  <c r="AK312" i="68"/>
  <c r="HN45" i="68"/>
  <c r="IE41" i="68"/>
  <c r="AJ255" i="68"/>
  <c r="AJ254" i="68"/>
  <c r="AJ312" i="68"/>
  <c r="AJ257" i="68"/>
  <c r="AJ258" i="68" s="1"/>
  <c r="AI304" i="69"/>
  <c r="AI300" i="68"/>
  <c r="AI308" i="68" s="1"/>
  <c r="HM43" i="69"/>
  <c r="AO261" i="69"/>
  <c r="HQ46" i="69"/>
  <c r="AN277" i="68"/>
  <c r="AN314" i="68" s="1"/>
  <c r="HU45" i="69"/>
  <c r="AO277" i="68"/>
  <c r="IG46" i="68" s="1"/>
  <c r="HU46" i="69"/>
  <c r="AJ307" i="69"/>
  <c r="HT48" i="68"/>
  <c r="HS48" i="68"/>
  <c r="HX48" i="68"/>
  <c r="HW48" i="68"/>
  <c r="IB46" i="68"/>
  <c r="IA46" i="68"/>
  <c r="AN269" i="68"/>
  <c r="AN270" i="68" s="1"/>
  <c r="IF45" i="68"/>
  <c r="AK307" i="69"/>
  <c r="AN273" i="69"/>
  <c r="AM288" i="68"/>
  <c r="AM289" i="68" s="1"/>
  <c r="AM290" i="68" s="1"/>
  <c r="AO273" i="69"/>
  <c r="AP276" i="68"/>
  <c r="AQ276" i="68"/>
  <c r="HU48" i="69" s="1"/>
  <c r="AP264" i="68"/>
  <c r="AN267" i="68"/>
  <c r="AN301" i="68" s="1"/>
  <c r="AN309" i="68" s="1"/>
  <c r="AN266" i="68"/>
  <c r="AN313" i="68"/>
  <c r="AO265" i="68"/>
  <c r="AS262" i="68" a="1"/>
  <c r="AS262" i="68" s="1"/>
  <c r="AR263" i="68"/>
  <c r="HR49" i="68" s="1"/>
  <c r="AL303" i="68"/>
  <c r="AL311" i="68" s="1"/>
  <c r="AR250" i="68" a="1"/>
  <c r="AR250" i="68" s="1"/>
  <c r="AQ251" i="68"/>
  <c r="AS274" i="68" a="1"/>
  <c r="AS274" i="68" s="1"/>
  <c r="AR275" i="68"/>
  <c r="HV49" i="68" s="1"/>
  <c r="AQ286" i="68" a="1"/>
  <c r="AQ286" i="68" s="1"/>
  <c r="AP287" i="68"/>
  <c r="HZ47" i="68" s="1"/>
  <c r="AM252" i="68" l="1"/>
  <c r="HP44" i="68"/>
  <c r="AL253" i="68"/>
  <c r="AL312" i="68" s="1"/>
  <c r="AO279" i="68"/>
  <c r="AO302" i="68" s="1"/>
  <c r="AO310" i="68" s="1"/>
  <c r="AM302" i="68"/>
  <c r="AM310" i="68" s="1"/>
  <c r="HN46" i="68"/>
  <c r="HN47" i="68" s="1"/>
  <c r="AO278" i="68"/>
  <c r="AO281" i="68"/>
  <c r="AN278" i="68"/>
  <c r="HO45" i="68"/>
  <c r="HP45" i="68"/>
  <c r="AN252" i="68"/>
  <c r="AM249" i="69"/>
  <c r="AM253" i="68"/>
  <c r="HM44" i="69"/>
  <c r="IE43" i="68"/>
  <c r="AO314" i="68"/>
  <c r="AK304" i="69"/>
  <c r="AK300" i="68"/>
  <c r="AK308" i="68" s="1"/>
  <c r="AJ304" i="69"/>
  <c r="AJ300" i="68"/>
  <c r="AJ308" i="68" s="1"/>
  <c r="AP265" i="68"/>
  <c r="IF47" i="68" s="1"/>
  <c r="HQ47" i="69"/>
  <c r="AP277" i="68"/>
  <c r="IG47" i="68" s="1"/>
  <c r="HU47" i="69"/>
  <c r="IG45" i="68"/>
  <c r="AN279" i="68"/>
  <c r="AN281" i="68"/>
  <c r="AN282" i="68" s="1"/>
  <c r="AM285" i="69"/>
  <c r="HY44" i="69"/>
  <c r="IB47" i="68"/>
  <c r="IA47" i="68"/>
  <c r="HT49" i="68"/>
  <c r="HS49" i="68"/>
  <c r="HX49" i="68"/>
  <c r="HW49" i="68"/>
  <c r="IE45" i="68"/>
  <c r="AO267" i="68"/>
  <c r="AO305" i="69" s="1"/>
  <c r="IF46" i="68"/>
  <c r="IH44" i="68"/>
  <c r="AN288" i="68"/>
  <c r="AO288" i="68"/>
  <c r="AM293" i="68"/>
  <c r="AM294" i="68" s="1"/>
  <c r="AP273" i="69"/>
  <c r="AM315" i="68"/>
  <c r="AM291" i="68"/>
  <c r="AM307" i="69" s="1"/>
  <c r="AN305" i="69"/>
  <c r="AO269" i="68"/>
  <c r="AO270" i="68" s="1"/>
  <c r="AQ264" i="68"/>
  <c r="AP261" i="69"/>
  <c r="AO313" i="68"/>
  <c r="AO266" i="68"/>
  <c r="AO282" i="68"/>
  <c r="AS250" i="68" a="1"/>
  <c r="AS250" i="68" s="1"/>
  <c r="AR251" i="68"/>
  <c r="AR286" i="68" a="1"/>
  <c r="AR286" i="68" s="1"/>
  <c r="AQ287" i="68"/>
  <c r="HZ48" i="68" s="1"/>
  <c r="AT274" i="68" a="1"/>
  <c r="AT274" i="68" s="1"/>
  <c r="AS275" i="68"/>
  <c r="HV50" i="68" s="1"/>
  <c r="AQ273" i="69"/>
  <c r="AQ277" i="68"/>
  <c r="IG48" i="68" s="1"/>
  <c r="AT262" i="68" a="1"/>
  <c r="AT262" i="68" s="1"/>
  <c r="AS263" i="68"/>
  <c r="HR50" i="68" s="1"/>
  <c r="AO306" i="69" l="1"/>
  <c r="AL257" i="68"/>
  <c r="AL258" i="68" s="1"/>
  <c r="AL254" i="68"/>
  <c r="AL255" i="68"/>
  <c r="AL300" i="68" s="1"/>
  <c r="AL308" i="68" s="1"/>
  <c r="AP267" i="68"/>
  <c r="AP301" i="68" s="1"/>
  <c r="AP309" i="68" s="1"/>
  <c r="AP266" i="68"/>
  <c r="AP269" i="68"/>
  <c r="AP270" i="68" s="1"/>
  <c r="AP313" i="68"/>
  <c r="HP46" i="68"/>
  <c r="HO46" i="68"/>
  <c r="AO252" i="68"/>
  <c r="HM46" i="69" s="1"/>
  <c r="AP252" i="68"/>
  <c r="AP253" i="68" s="1"/>
  <c r="IE47" i="68" s="1"/>
  <c r="AP314" i="68"/>
  <c r="AP281" i="68"/>
  <c r="AP282" i="68" s="1"/>
  <c r="AP279" i="68"/>
  <c r="AP302" i="68" s="1"/>
  <c r="AP310" i="68" s="1"/>
  <c r="IE44" i="68"/>
  <c r="AM255" i="68"/>
  <c r="AM312" i="68"/>
  <c r="AM254" i="68"/>
  <c r="AM257" i="68"/>
  <c r="AM258" i="68" s="1"/>
  <c r="HO47" i="68"/>
  <c r="HP47" i="68"/>
  <c r="HN48" i="68"/>
  <c r="AQ252" i="68" s="1"/>
  <c r="AN253" i="68"/>
  <c r="AN249" i="69"/>
  <c r="HM45" i="69"/>
  <c r="AP278" i="68"/>
  <c r="AN285" i="69"/>
  <c r="HY45" i="69"/>
  <c r="AO285" i="69"/>
  <c r="HY46" i="69"/>
  <c r="AN302" i="68"/>
  <c r="AN310" i="68" s="1"/>
  <c r="AN306" i="69"/>
  <c r="AO301" i="68"/>
  <c r="AO309" i="68" s="1"/>
  <c r="AQ261" i="69"/>
  <c r="HQ48" i="69"/>
  <c r="HX50" i="68"/>
  <c r="HW50" i="68"/>
  <c r="HT50" i="68"/>
  <c r="HS50" i="68"/>
  <c r="IB48" i="68"/>
  <c r="IA48" i="68"/>
  <c r="AN289" i="68"/>
  <c r="AN290" i="68" s="1"/>
  <c r="AP288" i="68"/>
  <c r="AO289" i="68"/>
  <c r="AO293" i="68" s="1"/>
  <c r="AR276" i="68"/>
  <c r="AM303" i="68"/>
  <c r="AM311" i="68" s="1"/>
  <c r="AQ265" i="68"/>
  <c r="AR264" i="68"/>
  <c r="AS264" i="68"/>
  <c r="HQ50" i="69" s="1"/>
  <c r="AU274" i="68" a="1"/>
  <c r="AU274" i="68" s="1"/>
  <c r="AT275" i="68"/>
  <c r="HV51" i="68" s="1"/>
  <c r="AQ314" i="68"/>
  <c r="AQ278" i="68"/>
  <c r="AQ281" i="68"/>
  <c r="AQ279" i="68"/>
  <c r="AS286" i="68" a="1"/>
  <c r="AS286" i="68" s="1"/>
  <c r="AR287" i="68"/>
  <c r="HZ49" i="68" s="1"/>
  <c r="AU262" i="68" a="1"/>
  <c r="AU262" i="68" s="1"/>
  <c r="AT263" i="68"/>
  <c r="HR51" i="68" s="1"/>
  <c r="AT250" i="68" a="1"/>
  <c r="AT250" i="68" s="1"/>
  <c r="AS251" i="68"/>
  <c r="AP305" i="69" l="1"/>
  <c r="AL304" i="69"/>
  <c r="AP249" i="69"/>
  <c r="AP306" i="69"/>
  <c r="AO253" i="68"/>
  <c r="AO255" i="68" s="1"/>
  <c r="AO249" i="69"/>
  <c r="HM47" i="69"/>
  <c r="HN49" i="68"/>
  <c r="AR252" i="68" s="1"/>
  <c r="AP312" i="68"/>
  <c r="AP257" i="68"/>
  <c r="AP258" i="68" s="1"/>
  <c r="AP255" i="68"/>
  <c r="AP300" i="68" s="1"/>
  <c r="AP308" i="68" s="1"/>
  <c r="IE46" i="68"/>
  <c r="AN254" i="68"/>
  <c r="AN255" i="68"/>
  <c r="AN257" i="68"/>
  <c r="AN258" i="68" s="1"/>
  <c r="AN312" i="68"/>
  <c r="AM304" i="69"/>
  <c r="AM300" i="68"/>
  <c r="AM308" i="68" s="1"/>
  <c r="AP254" i="68"/>
  <c r="HP48" i="68"/>
  <c r="HO48" i="68"/>
  <c r="AQ249" i="69"/>
  <c r="HM48" i="69"/>
  <c r="AP289" i="68"/>
  <c r="AP293" i="68" s="1"/>
  <c r="HY47" i="69"/>
  <c r="AR265" i="68"/>
  <c r="IF49" i="68" s="1"/>
  <c r="HQ49" i="69"/>
  <c r="AR277" i="68"/>
  <c r="IG49" i="68" s="1"/>
  <c r="HU49" i="69"/>
  <c r="HT51" i="68"/>
  <c r="HS51" i="68"/>
  <c r="IB49" i="68"/>
  <c r="IA49" i="68"/>
  <c r="HX51" i="68"/>
  <c r="HW51" i="68"/>
  <c r="AN291" i="68"/>
  <c r="AN303" i="68" s="1"/>
  <c r="AQ267" i="68"/>
  <c r="AQ301" i="68" s="1"/>
  <c r="AQ309" i="68" s="1"/>
  <c r="IF48" i="68"/>
  <c r="AP285" i="69"/>
  <c r="AN293" i="68"/>
  <c r="AN294" i="68" s="1"/>
  <c r="IH46" i="68"/>
  <c r="AN315" i="68"/>
  <c r="IH45" i="68"/>
  <c r="IH47" i="68"/>
  <c r="AQ253" i="68"/>
  <c r="AR273" i="69"/>
  <c r="AS276" i="68"/>
  <c r="AO290" i="68"/>
  <c r="AO291" i="68"/>
  <c r="AO307" i="69" s="1"/>
  <c r="AO315" i="68"/>
  <c r="AQ288" i="68"/>
  <c r="AR288" i="68"/>
  <c r="HY49" i="69" s="1"/>
  <c r="AQ313" i="68"/>
  <c r="AR261" i="69"/>
  <c r="AQ269" i="68"/>
  <c r="AQ270" i="68" s="1"/>
  <c r="AQ266" i="68"/>
  <c r="AT286" i="68" a="1"/>
  <c r="AT286" i="68" s="1"/>
  <c r="AS287" i="68"/>
  <c r="HZ50" i="68" s="1"/>
  <c r="AQ302" i="68"/>
  <c r="AQ310" i="68" s="1"/>
  <c r="AQ306" i="69"/>
  <c r="AQ282" i="68"/>
  <c r="AS261" i="69"/>
  <c r="AS265" i="68"/>
  <c r="IF50" i="68" s="1"/>
  <c r="AU250" i="68" a="1"/>
  <c r="AU250" i="68" s="1"/>
  <c r="AT251" i="68"/>
  <c r="AO294" i="68"/>
  <c r="AV262" i="68" a="1"/>
  <c r="AV262" i="68" s="1"/>
  <c r="AU263" i="68"/>
  <c r="HR52" i="68" s="1"/>
  <c r="AV274" i="68" a="1"/>
  <c r="AV274" i="68" s="1"/>
  <c r="AU275" i="68"/>
  <c r="HV52" i="68" s="1"/>
  <c r="AO254" i="68" l="1"/>
  <c r="AO257" i="68"/>
  <c r="AO258" i="68" s="1"/>
  <c r="AP304" i="69"/>
  <c r="AO312" i="68"/>
  <c r="AR281" i="68"/>
  <c r="AR314" i="68"/>
  <c r="HP49" i="68"/>
  <c r="AR278" i="68"/>
  <c r="AR269" i="68"/>
  <c r="AR313" i="68"/>
  <c r="HN50" i="68"/>
  <c r="HN51" i="68" s="1"/>
  <c r="AP291" i="68"/>
  <c r="AP307" i="69" s="1"/>
  <c r="HM49" i="69"/>
  <c r="AR253" i="68"/>
  <c r="IE49" i="68" s="1"/>
  <c r="AR249" i="69"/>
  <c r="AR266" i="68"/>
  <c r="AR267" i="68"/>
  <c r="AR305" i="69" s="1"/>
  <c r="HO49" i="68"/>
  <c r="AP315" i="68"/>
  <c r="AP290" i="68"/>
  <c r="AQ305" i="69"/>
  <c r="AN300" i="68"/>
  <c r="AN308" i="68" s="1"/>
  <c r="AN304" i="69"/>
  <c r="AO300" i="68"/>
  <c r="AO308" i="68" s="1"/>
  <c r="AO304" i="69"/>
  <c r="AQ289" i="68"/>
  <c r="IH48" i="68" s="1"/>
  <c r="HY48" i="69"/>
  <c r="AS277" i="68"/>
  <c r="IG50" i="68" s="1"/>
  <c r="HU50" i="69"/>
  <c r="AR279" i="68"/>
  <c r="AR302" i="68" s="1"/>
  <c r="AR310" i="68" s="1"/>
  <c r="IB50" i="68"/>
  <c r="IA50" i="68"/>
  <c r="HT52" i="68"/>
  <c r="HS52" i="68"/>
  <c r="HX52" i="68"/>
  <c r="HW52" i="68"/>
  <c r="AN307" i="69"/>
  <c r="AQ255" i="68"/>
  <c r="AQ300" i="68" s="1"/>
  <c r="AQ308" i="68" s="1"/>
  <c r="IE48" i="68"/>
  <c r="AN311" i="68"/>
  <c r="AQ257" i="68"/>
  <c r="AQ258" i="68" s="1"/>
  <c r="AQ254" i="68"/>
  <c r="AQ312" i="68"/>
  <c r="AO303" i="68"/>
  <c r="AO311" i="68" s="1"/>
  <c r="AS273" i="69"/>
  <c r="AT276" i="68"/>
  <c r="AQ285" i="69"/>
  <c r="AT264" i="68"/>
  <c r="AP294" i="68"/>
  <c r="AQ291" i="68"/>
  <c r="AV250" i="68" a="1"/>
  <c r="AV250" i="68" s="1"/>
  <c r="AU251" i="68"/>
  <c r="AR270" i="68"/>
  <c r="AR282" i="68"/>
  <c r="AW262" i="68" a="1"/>
  <c r="AW262" i="68" s="1"/>
  <c r="AV263" i="68"/>
  <c r="HR53" i="68" s="1"/>
  <c r="AW274" i="68" a="1"/>
  <c r="AW274" i="68" s="1"/>
  <c r="AV275" i="68"/>
  <c r="HV53" i="68" s="1"/>
  <c r="AS269" i="68"/>
  <c r="AS267" i="68"/>
  <c r="AS266" i="68"/>
  <c r="AS313" i="68"/>
  <c r="AR301" i="68"/>
  <c r="AR309" i="68" s="1"/>
  <c r="AR285" i="69"/>
  <c r="AR289" i="68"/>
  <c r="IH49" i="68" s="1"/>
  <c r="AU286" i="68" a="1"/>
  <c r="AU286" i="68" s="1"/>
  <c r="AT287" i="68"/>
  <c r="HZ51" i="68" s="1"/>
  <c r="AS252" i="68" l="1"/>
  <c r="AR312" i="68"/>
  <c r="AR257" i="68"/>
  <c r="AQ315" i="68"/>
  <c r="AR254" i="68"/>
  <c r="AR255" i="68"/>
  <c r="AR300" i="68" s="1"/>
  <c r="AR308" i="68" s="1"/>
  <c r="AS281" i="68"/>
  <c r="AS282" i="68" s="1"/>
  <c r="AS278" i="68"/>
  <c r="AS279" i="68"/>
  <c r="AS306" i="69" s="1"/>
  <c r="AP303" i="68"/>
  <c r="AP311" i="68" s="1"/>
  <c r="AQ293" i="68"/>
  <c r="AQ294" i="68" s="1"/>
  <c r="AS314" i="68"/>
  <c r="HP51" i="68"/>
  <c r="HO51" i="68"/>
  <c r="HN52" i="68"/>
  <c r="HP52" i="68" s="1"/>
  <c r="HO50" i="68"/>
  <c r="HP50" i="68"/>
  <c r="AR306" i="69"/>
  <c r="AQ290" i="68"/>
  <c r="AS253" i="68"/>
  <c r="IE50" i="68" s="1"/>
  <c r="HM50" i="69"/>
  <c r="AT261" i="69"/>
  <c r="HQ51" i="69"/>
  <c r="AQ304" i="69"/>
  <c r="AT273" i="69"/>
  <c r="HU51" i="69"/>
  <c r="IB51" i="68"/>
  <c r="IA51" i="68"/>
  <c r="HW53" i="68"/>
  <c r="HX53" i="68"/>
  <c r="HS53" i="68"/>
  <c r="HT53" i="68"/>
  <c r="AT252" i="68"/>
  <c r="AS249" i="69"/>
  <c r="AV276" i="68"/>
  <c r="HU53" i="69" s="1"/>
  <c r="AU276" i="68"/>
  <c r="AS288" i="68"/>
  <c r="AT277" i="68"/>
  <c r="AU264" i="68"/>
  <c r="AT265" i="68"/>
  <c r="AR258" i="68"/>
  <c r="AS270" i="68"/>
  <c r="AS305" i="69"/>
  <c r="AS301" i="68"/>
  <c r="AS309" i="68" s="1"/>
  <c r="AX262" i="68" a="1"/>
  <c r="AX262" i="68" s="1"/>
  <c r="AW263" i="68"/>
  <c r="HR54" i="68" s="1"/>
  <c r="AR293" i="68"/>
  <c r="AR291" i="68"/>
  <c r="AR315" i="68"/>
  <c r="AR290" i="68"/>
  <c r="AV286" i="68" a="1"/>
  <c r="AV286" i="68" s="1"/>
  <c r="AU287" i="68"/>
  <c r="HZ52" i="68" s="1"/>
  <c r="AX274" i="68" a="1"/>
  <c r="AX274" i="68" s="1"/>
  <c r="AW275" i="68"/>
  <c r="HV54" i="68" s="1"/>
  <c r="AQ303" i="68"/>
  <c r="AQ311" i="68" s="1"/>
  <c r="AQ307" i="69"/>
  <c r="AW250" i="68" a="1"/>
  <c r="AW250" i="68" s="1"/>
  <c r="AV251" i="68"/>
  <c r="HN53" i="68" l="1"/>
  <c r="HP53" i="68" s="1"/>
  <c r="AR304" i="69"/>
  <c r="AS255" i="68"/>
  <c r="AS302" i="68"/>
  <c r="AS310" i="68" s="1"/>
  <c r="AU252" i="68"/>
  <c r="HM52" i="69" s="1"/>
  <c r="HO52" i="68"/>
  <c r="AS257" i="68"/>
  <c r="AS258" i="68" s="1"/>
  <c r="AS312" i="68"/>
  <c r="AS254" i="68"/>
  <c r="AS289" i="68"/>
  <c r="IH50" i="68" s="1"/>
  <c r="HY50" i="69"/>
  <c r="AU273" i="69"/>
  <c r="HU52" i="69"/>
  <c r="AT249" i="69"/>
  <c r="HM51" i="69"/>
  <c r="AU265" i="68"/>
  <c r="IF52" i="68" s="1"/>
  <c r="HQ52" i="69"/>
  <c r="HO53" i="68"/>
  <c r="HS54" i="68"/>
  <c r="HT54" i="68"/>
  <c r="HX54" i="68"/>
  <c r="HW54" i="68"/>
  <c r="IB52" i="68"/>
  <c r="IA52" i="68"/>
  <c r="AT314" i="68"/>
  <c r="IG51" i="68"/>
  <c r="AT269" i="68"/>
  <c r="AT270" i="68" s="1"/>
  <c r="IF51" i="68"/>
  <c r="AT253" i="68"/>
  <c r="AW276" i="68"/>
  <c r="HU54" i="69" s="1"/>
  <c r="AU277" i="68"/>
  <c r="AS285" i="69"/>
  <c r="AU261" i="69"/>
  <c r="AT281" i="68"/>
  <c r="AT282" i="68" s="1"/>
  <c r="AT288" i="68"/>
  <c r="AU288" i="68"/>
  <c r="HY52" i="69" s="1"/>
  <c r="AT278" i="68"/>
  <c r="AT279" i="68"/>
  <c r="AT302" i="68" s="1"/>
  <c r="AT310" i="68" s="1"/>
  <c r="AT313" i="68"/>
  <c r="AT267" i="68"/>
  <c r="AT305" i="69" s="1"/>
  <c r="AT266" i="68"/>
  <c r="AV264" i="68"/>
  <c r="AR294" i="68"/>
  <c r="AY262" i="68" a="1"/>
  <c r="AY262" i="68" s="1"/>
  <c r="AX263" i="68"/>
  <c r="HR55" i="68" s="1"/>
  <c r="AY274" i="68" a="1"/>
  <c r="AY274" i="68" s="1"/>
  <c r="AX275" i="68"/>
  <c r="HV55" i="68" s="1"/>
  <c r="AV277" i="68"/>
  <c r="IG53" i="68" s="1"/>
  <c r="AV273" i="69"/>
  <c r="AS304" i="69"/>
  <c r="AS300" i="68"/>
  <c r="AS308" i="68" s="1"/>
  <c r="AU249" i="69"/>
  <c r="AU253" i="68"/>
  <c r="IE52" i="68" s="1"/>
  <c r="AX250" i="68" a="1"/>
  <c r="AX250" i="68" s="1"/>
  <c r="AW251" i="68"/>
  <c r="HN54" i="68" s="1"/>
  <c r="AW286" i="68" a="1"/>
  <c r="AW286" i="68" s="1"/>
  <c r="AV287" i="68"/>
  <c r="HZ53" i="68" s="1"/>
  <c r="AR307" i="69"/>
  <c r="AR303" i="68"/>
  <c r="AR311" i="68" s="1"/>
  <c r="AS315" i="68" l="1"/>
  <c r="AS293" i="68"/>
  <c r="AS294" i="68" s="1"/>
  <c r="AS290" i="68"/>
  <c r="AS291" i="68"/>
  <c r="AS307" i="69" s="1"/>
  <c r="AU267" i="68"/>
  <c r="AU266" i="68"/>
  <c r="AU269" i="68"/>
  <c r="AU270" i="68" s="1"/>
  <c r="AU313" i="68"/>
  <c r="AV261" i="69"/>
  <c r="HQ53" i="69"/>
  <c r="AT285" i="69"/>
  <c r="HY51" i="69"/>
  <c r="IB53" i="68"/>
  <c r="IA53" i="68"/>
  <c r="HP54" i="68"/>
  <c r="HO54" i="68"/>
  <c r="HX55" i="68"/>
  <c r="HW55" i="68"/>
  <c r="HT55" i="68"/>
  <c r="HS55" i="68"/>
  <c r="AU314" i="68"/>
  <c r="IG52" i="68"/>
  <c r="AT312" i="68"/>
  <c r="IE51" i="68"/>
  <c r="AV252" i="68"/>
  <c r="AT255" i="68"/>
  <c r="AT300" i="68" s="1"/>
  <c r="AT308" i="68" s="1"/>
  <c r="AT257" i="68"/>
  <c r="AT258" i="68" s="1"/>
  <c r="AT254" i="68"/>
  <c r="AU279" i="68"/>
  <c r="AU306" i="69" s="1"/>
  <c r="AX276" i="68"/>
  <c r="HU55" i="69" s="1"/>
  <c r="AU278" i="68"/>
  <c r="AU281" i="68"/>
  <c r="AU282" i="68" s="1"/>
  <c r="AT306" i="69"/>
  <c r="AT289" i="68"/>
  <c r="AV265" i="68"/>
  <c r="AW264" i="68"/>
  <c r="AT301" i="68"/>
  <c r="AT309" i="68" s="1"/>
  <c r="AZ274" i="68" a="1"/>
  <c r="AZ274" i="68" s="1"/>
  <c r="AY275" i="68"/>
  <c r="HV56" i="68" s="1"/>
  <c r="AW273" i="69"/>
  <c r="AW277" i="68"/>
  <c r="IG54" i="68" s="1"/>
  <c r="AY250" i="68" a="1"/>
  <c r="AY250" i="68" s="1"/>
  <c r="AX251" i="68"/>
  <c r="HN55" i="68" s="1"/>
  <c r="AZ262" i="68" a="1"/>
  <c r="AZ262" i="68" s="1"/>
  <c r="AY263" i="68"/>
  <c r="HR56" i="68" s="1"/>
  <c r="AX286" i="68" a="1"/>
  <c r="AX286" i="68" s="1"/>
  <c r="AW287" i="68"/>
  <c r="HZ54" i="68" s="1"/>
  <c r="AU312" i="68"/>
  <c r="AU254" i="68"/>
  <c r="AU257" i="68"/>
  <c r="AU255" i="68"/>
  <c r="AU305" i="69"/>
  <c r="AU301" i="68"/>
  <c r="AU309" i="68" s="1"/>
  <c r="AU289" i="68"/>
  <c r="IH52" i="68" s="1"/>
  <c r="AU285" i="69"/>
  <c r="AV314" i="68"/>
  <c r="AV281" i="68"/>
  <c r="AV278" i="68"/>
  <c r="AV279" i="68"/>
  <c r="AS303" i="68" l="1"/>
  <c r="AS311" i="68" s="1"/>
  <c r="AW265" i="68"/>
  <c r="IF54" i="68" s="1"/>
  <c r="HQ54" i="69"/>
  <c r="AV253" i="68"/>
  <c r="IE53" i="68" s="1"/>
  <c r="HM53" i="69"/>
  <c r="HW56" i="68"/>
  <c r="HX56" i="68"/>
  <c r="IB54" i="68"/>
  <c r="IA54" i="68"/>
  <c r="HS56" i="68"/>
  <c r="HT56" i="68"/>
  <c r="HO55" i="68"/>
  <c r="HP55" i="68"/>
  <c r="AV266" i="68"/>
  <c r="IF53" i="68"/>
  <c r="AT315" i="68"/>
  <c r="IH51" i="68"/>
  <c r="AW252" i="68"/>
  <c r="AV249" i="69"/>
  <c r="AT304" i="69"/>
  <c r="AU302" i="68"/>
  <c r="AU310" i="68" s="1"/>
  <c r="AT291" i="68"/>
  <c r="AT307" i="69" s="1"/>
  <c r="AT293" i="68"/>
  <c r="AT294" i="68" s="1"/>
  <c r="AT290" i="68"/>
  <c r="AV288" i="68"/>
  <c r="AV269" i="68"/>
  <c r="AV270" i="68" s="1"/>
  <c r="AW261" i="69"/>
  <c r="AX264" i="68"/>
  <c r="AV313" i="68"/>
  <c r="AV267" i="68"/>
  <c r="AV301" i="68" s="1"/>
  <c r="AV282" i="68"/>
  <c r="AU258" i="68"/>
  <c r="BA274" i="68" a="1"/>
  <c r="BA274" i="68" s="1"/>
  <c r="AZ275" i="68"/>
  <c r="HV57" i="68" s="1"/>
  <c r="AY286" i="68" a="1"/>
  <c r="AY286" i="68" s="1"/>
  <c r="AX287" i="68"/>
  <c r="HZ55" i="68" s="1"/>
  <c r="AU304" i="69"/>
  <c r="AU300" i="68"/>
  <c r="AU308" i="68" s="1"/>
  <c r="AV257" i="68"/>
  <c r="AV254" i="68"/>
  <c r="AV255" i="68"/>
  <c r="AV312" i="68"/>
  <c r="AW313" i="68"/>
  <c r="AW266" i="68"/>
  <c r="AW269" i="68"/>
  <c r="AW267" i="68"/>
  <c r="AV306" i="69"/>
  <c r="AV302" i="68"/>
  <c r="AV310" i="68" s="1"/>
  <c r="AZ250" i="68" a="1"/>
  <c r="AZ250" i="68" s="1"/>
  <c r="AY251" i="68"/>
  <c r="HN56" i="68" s="1"/>
  <c r="AX277" i="68"/>
  <c r="IG55" i="68" s="1"/>
  <c r="AX273" i="69"/>
  <c r="AU291" i="68"/>
  <c r="AU293" i="68"/>
  <c r="AU290" i="68"/>
  <c r="AU315" i="68"/>
  <c r="AW314" i="68"/>
  <c r="AW278" i="68"/>
  <c r="AW281" i="68"/>
  <c r="AW279" i="68"/>
  <c r="BA262" i="68" a="1"/>
  <c r="BA262" i="68" s="1"/>
  <c r="AZ263" i="68"/>
  <c r="HR57" i="68" s="1"/>
  <c r="AX265" i="68" l="1"/>
  <c r="IF55" i="68" s="1"/>
  <c r="HQ55" i="69"/>
  <c r="AW253" i="68"/>
  <c r="IE54" i="68" s="1"/>
  <c r="HM54" i="69"/>
  <c r="AV285" i="69"/>
  <c r="HY53" i="69"/>
  <c r="IB55" i="68"/>
  <c r="IA55" i="68"/>
  <c r="HW57" i="68"/>
  <c r="HX57" i="68"/>
  <c r="HT57" i="68"/>
  <c r="HS57" i="68"/>
  <c r="HP56" i="68"/>
  <c r="HO56" i="68"/>
  <c r="AV309" i="68"/>
  <c r="AW249" i="69"/>
  <c r="AX252" i="68"/>
  <c r="AY276" i="68"/>
  <c r="AZ276" i="68"/>
  <c r="HU57" i="69" s="1"/>
  <c r="AT303" i="68"/>
  <c r="AT311" i="68" s="1"/>
  <c r="AV289" i="68"/>
  <c r="AW288" i="68"/>
  <c r="AX261" i="69"/>
  <c r="AV305" i="69"/>
  <c r="AY264" i="68"/>
  <c r="AW282" i="68"/>
  <c r="BA250" i="68" a="1"/>
  <c r="BA250" i="68" s="1"/>
  <c r="AZ251" i="68"/>
  <c r="HN57" i="68" s="1"/>
  <c r="AW255" i="68"/>
  <c r="AW312" i="68"/>
  <c r="AW254" i="68"/>
  <c r="AW257" i="68"/>
  <c r="AW270" i="68"/>
  <c r="AU294" i="68"/>
  <c r="AV258" i="68"/>
  <c r="BB262" i="68" a="1"/>
  <c r="BB262" i="68" s="1"/>
  <c r="BB263" i="68" s="1"/>
  <c r="HR59" i="68" s="1"/>
  <c r="BA263" i="68"/>
  <c r="HR58" i="68" s="1"/>
  <c r="AU307" i="69"/>
  <c r="AU303" i="68"/>
  <c r="AU311" i="68" s="1"/>
  <c r="AV304" i="69"/>
  <c r="AV300" i="68"/>
  <c r="AV308" i="68" s="1"/>
  <c r="AZ286" i="68" a="1"/>
  <c r="AZ286" i="68" s="1"/>
  <c r="AY287" i="68"/>
  <c r="HZ56" i="68" s="1"/>
  <c r="AW306" i="69"/>
  <c r="AW302" i="68"/>
  <c r="AW310" i="68" s="1"/>
  <c r="AW305" i="69"/>
  <c r="AW301" i="68"/>
  <c r="AW309" i="68" s="1"/>
  <c r="AX278" i="68"/>
  <c r="AX314" i="68"/>
  <c r="AX279" i="68"/>
  <c r="AX281" i="68"/>
  <c r="BB274" i="68" a="1"/>
  <c r="BB274" i="68" s="1"/>
  <c r="BB275" i="68" s="1"/>
  <c r="HV59" i="68" s="1"/>
  <c r="BA275" i="68"/>
  <c r="HV58" i="68" s="1"/>
  <c r="AX266" i="68" l="1"/>
  <c r="AX269" i="68"/>
  <c r="AX313" i="68"/>
  <c r="AX267" i="68"/>
  <c r="AW289" i="68"/>
  <c r="IH54" i="68" s="1"/>
  <c r="HY54" i="69"/>
  <c r="AY277" i="68"/>
  <c r="IG56" i="68" s="1"/>
  <c r="HU56" i="69"/>
  <c r="AX249" i="69"/>
  <c r="HM55" i="69"/>
  <c r="AY261" i="69"/>
  <c r="HQ56" i="69"/>
  <c r="HP57" i="68"/>
  <c r="HO57" i="68"/>
  <c r="HT58" i="68"/>
  <c r="HS58" i="68"/>
  <c r="HS59" i="68"/>
  <c r="HT59" i="68"/>
  <c r="IB56" i="68"/>
  <c r="IA56" i="68"/>
  <c r="HX58" i="68"/>
  <c r="HW58" i="68"/>
  <c r="HX59" i="68"/>
  <c r="HW59" i="68"/>
  <c r="AV315" i="68"/>
  <c r="IH53" i="68"/>
  <c r="AX253" i="68"/>
  <c r="AW285" i="69"/>
  <c r="AY252" i="68"/>
  <c r="BB276" i="68"/>
  <c r="AY273" i="69"/>
  <c r="AV293" i="68"/>
  <c r="AV294" i="68" s="1"/>
  <c r="AX288" i="68"/>
  <c r="AV291" i="68"/>
  <c r="AV303" i="68" s="1"/>
  <c r="AV311" i="68" s="1"/>
  <c r="AV290" i="68"/>
  <c r="AY265" i="68"/>
  <c r="AZ264" i="68"/>
  <c r="AX282" i="68"/>
  <c r="AW291" i="68"/>
  <c r="AW293" i="68"/>
  <c r="AW315" i="68"/>
  <c r="AW290" i="68"/>
  <c r="AX306" i="69"/>
  <c r="AX302" i="68"/>
  <c r="AX310" i="68" s="1"/>
  <c r="AW300" i="68"/>
  <c r="AW308" i="68" s="1"/>
  <c r="AW304" i="69"/>
  <c r="AX270" i="68"/>
  <c r="BA286" i="68" a="1"/>
  <c r="BA286" i="68" s="1"/>
  <c r="AZ287" i="68"/>
  <c r="HZ57" i="68" s="1"/>
  <c r="AW258" i="68"/>
  <c r="AZ277" i="68"/>
  <c r="IG57" i="68" s="1"/>
  <c r="AZ273" i="69"/>
  <c r="AX305" i="69"/>
  <c r="AX301" i="68"/>
  <c r="AX309" i="68" s="1"/>
  <c r="BB250" i="68" a="1"/>
  <c r="BB250" i="68" s="1"/>
  <c r="BB251" i="68" s="1"/>
  <c r="HN59" i="68" s="1"/>
  <c r="BA251" i="68"/>
  <c r="HN58" i="68" s="1"/>
  <c r="AY279" i="68" l="1"/>
  <c r="AY314" i="68"/>
  <c r="AY281" i="68"/>
  <c r="AY278" i="68"/>
  <c r="AZ265" i="68"/>
  <c r="IF57" i="68" s="1"/>
  <c r="HQ57" i="69"/>
  <c r="AX289" i="68"/>
  <c r="IH55" i="68" s="1"/>
  <c r="HY55" i="69"/>
  <c r="BB273" i="69"/>
  <c r="HU59" i="69"/>
  <c r="AY249" i="69"/>
  <c r="HM56" i="69"/>
  <c r="IB57" i="68"/>
  <c r="IA57" i="68"/>
  <c r="HP58" i="68"/>
  <c r="HO58" i="68"/>
  <c r="HP59" i="68"/>
  <c r="HO59" i="68"/>
  <c r="AY313" i="68"/>
  <c r="IF56" i="68"/>
  <c r="AX312" i="68"/>
  <c r="IE55" i="68"/>
  <c r="AX255" i="68"/>
  <c r="AX300" i="68" s="1"/>
  <c r="AX308" i="68" s="1"/>
  <c r="AX257" i="68"/>
  <c r="AX258" i="68" s="1"/>
  <c r="AX254" i="68"/>
  <c r="AY253" i="68"/>
  <c r="AZ252" i="68"/>
  <c r="BA276" i="68"/>
  <c r="AV307" i="69"/>
  <c r="AX285" i="69"/>
  <c r="AY288" i="68"/>
  <c r="AY266" i="68"/>
  <c r="AY267" i="68"/>
  <c r="AY305" i="69" s="1"/>
  <c r="AY269" i="68"/>
  <c r="AY270" i="68" s="1"/>
  <c r="BA264" i="68"/>
  <c r="BB264" i="68"/>
  <c r="AZ261" i="69"/>
  <c r="BB277" i="68"/>
  <c r="BB278" i="68" s="1"/>
  <c r="AY282" i="68"/>
  <c r="AW294" i="68"/>
  <c r="AZ314" i="68"/>
  <c r="AZ279" i="68"/>
  <c r="AZ278" i="68"/>
  <c r="AZ281" i="68"/>
  <c r="AW307" i="69"/>
  <c r="AW303" i="68"/>
  <c r="AW311" i="68" s="1"/>
  <c r="BB286" i="68" a="1"/>
  <c r="BB286" i="68" s="1"/>
  <c r="BB287" i="68" s="1"/>
  <c r="HZ59" i="68" s="1"/>
  <c r="BA287" i="68"/>
  <c r="HZ58" i="68" s="1"/>
  <c r="AY302" i="68"/>
  <c r="AY310" i="68" s="1"/>
  <c r="AY306" i="69"/>
  <c r="AX293" i="68" l="1"/>
  <c r="AX294" i="68" s="1"/>
  <c r="AX291" i="68"/>
  <c r="AX303" i="68" s="1"/>
  <c r="AX311" i="68" s="1"/>
  <c r="AX315" i="68"/>
  <c r="AZ269" i="68"/>
  <c r="AZ270" i="68" s="1"/>
  <c r="AZ313" i="68"/>
  <c r="AZ266" i="68"/>
  <c r="AZ267" i="68"/>
  <c r="AZ301" i="68" s="1"/>
  <c r="AZ309" i="68" s="1"/>
  <c r="AX290" i="68"/>
  <c r="AZ249" i="69"/>
  <c r="HM57" i="69"/>
  <c r="BB261" i="69"/>
  <c r="HQ59" i="69"/>
  <c r="BA261" i="69"/>
  <c r="HQ58" i="69"/>
  <c r="AY285" i="69"/>
  <c r="HY56" i="69"/>
  <c r="BA273" i="69"/>
  <c r="E274" i="69" s="1" a="1"/>
  <c r="E274" i="69" s="1"/>
  <c r="E275" i="69" s="1"/>
  <c r="HV10" i="69" s="1"/>
  <c r="HU58" i="69"/>
  <c r="IB58" i="68"/>
  <c r="IA58" i="68"/>
  <c r="IB59" i="68"/>
  <c r="IA59" i="68"/>
  <c r="AY254" i="68"/>
  <c r="IE56" i="68"/>
  <c r="IG59" i="68"/>
  <c r="AX304" i="69"/>
  <c r="AY312" i="68"/>
  <c r="AY257" i="68"/>
  <c r="AY258" i="68" s="1"/>
  <c r="AY255" i="68"/>
  <c r="AY300" i="68" s="1"/>
  <c r="BB252" i="68"/>
  <c r="BA252" i="68"/>
  <c r="AZ253" i="68"/>
  <c r="AY289" i="68"/>
  <c r="BA277" i="68"/>
  <c r="AZ288" i="68"/>
  <c r="AY301" i="68"/>
  <c r="AY309" i="68" s="1"/>
  <c r="BA265" i="68"/>
  <c r="BB265" i="68"/>
  <c r="BB279" i="68"/>
  <c r="BB306" i="69" s="1"/>
  <c r="BB281" i="68"/>
  <c r="BB314" i="68"/>
  <c r="AZ282" i="68"/>
  <c r="AZ306" i="69"/>
  <c r="AZ302" i="68"/>
  <c r="AZ310" i="68" s="1"/>
  <c r="AX307" i="69"/>
  <c r="AZ305" i="69" l="1"/>
  <c r="E262" i="69" a="1"/>
  <c r="E262" i="69" s="1"/>
  <c r="E263" i="69" s="1"/>
  <c r="HR10" i="69" s="1"/>
  <c r="HX10" i="69"/>
  <c r="HW10" i="69"/>
  <c r="AZ289" i="68"/>
  <c r="IH57" i="68" s="1"/>
  <c r="HY57" i="69"/>
  <c r="BA249" i="69"/>
  <c r="HM58" i="69"/>
  <c r="BB253" i="68"/>
  <c r="IE59" i="68" s="1"/>
  <c r="HM59" i="69"/>
  <c r="AY308" i="68"/>
  <c r="BA279" i="68"/>
  <c r="BA306" i="69" s="1"/>
  <c r="IG58" i="68"/>
  <c r="AY291" i="68"/>
  <c r="AY307" i="69" s="1"/>
  <c r="IH56" i="68"/>
  <c r="AZ255" i="68"/>
  <c r="AZ304" i="69" s="1"/>
  <c r="IE57" i="68"/>
  <c r="BB267" i="68"/>
  <c r="BB301" i="68" s="1"/>
  <c r="IF59" i="68"/>
  <c r="BA267" i="68"/>
  <c r="BA305" i="69" s="1"/>
  <c r="IF58" i="68"/>
  <c r="E276" i="69"/>
  <c r="HU10" i="70" s="1"/>
  <c r="F274" i="69" a="1"/>
  <c r="F274" i="69" s="1"/>
  <c r="F275" i="69" s="1"/>
  <c r="AY304" i="69"/>
  <c r="AZ254" i="68"/>
  <c r="AZ257" i="68"/>
  <c r="AZ258" i="68" s="1"/>
  <c r="BB249" i="69"/>
  <c r="BA253" i="68"/>
  <c r="AZ312" i="68"/>
  <c r="AY315" i="68"/>
  <c r="AY293" i="68"/>
  <c r="AY294" i="68" s="1"/>
  <c r="BA314" i="68"/>
  <c r="AY290" i="68"/>
  <c r="BA281" i="68"/>
  <c r="BA282" i="68" s="1"/>
  <c r="BA278" i="68"/>
  <c r="BA313" i="68"/>
  <c r="BA288" i="68"/>
  <c r="AZ285" i="69"/>
  <c r="BA266" i="68"/>
  <c r="BB288" i="68"/>
  <c r="BA269" i="68"/>
  <c r="BA270" i="68" s="1"/>
  <c r="BB269" i="68"/>
  <c r="BB270" i="68" s="1"/>
  <c r="BB313" i="68"/>
  <c r="BB266" i="68"/>
  <c r="BB302" i="68"/>
  <c r="BB310" i="68" s="1"/>
  <c r="BB282" i="68"/>
  <c r="BB255" i="68"/>
  <c r="BB305" i="69" l="1"/>
  <c r="AZ300" i="68"/>
  <c r="AZ308" i="68" s="1"/>
  <c r="AZ293" i="68"/>
  <c r="AZ294" i="68" s="1"/>
  <c r="AZ315" i="68"/>
  <c r="F262" i="69" a="1"/>
  <c r="F262" i="69" s="1"/>
  <c r="G262" i="69" s="1" a="1"/>
  <c r="G262" i="69" s="1"/>
  <c r="G263" i="69" s="1"/>
  <c r="E250" i="69" a="1"/>
  <c r="E250" i="69" s="1"/>
  <c r="F250" i="69" s="1" a="1"/>
  <c r="F250" i="69" s="1"/>
  <c r="F251" i="69" s="1"/>
  <c r="BA302" i="68"/>
  <c r="BA310" i="68" s="1"/>
  <c r="AZ291" i="68"/>
  <c r="AZ303" i="68" s="1"/>
  <c r="AZ311" i="68" s="1"/>
  <c r="AZ290" i="68"/>
  <c r="AY303" i="68"/>
  <c r="BA301" i="68"/>
  <c r="G297" i="68" s="1"/>
  <c r="X102" i="72" s="1"/>
  <c r="BB257" i="68"/>
  <c r="BB258" i="68" s="1"/>
  <c r="BB312" i="68"/>
  <c r="BB254" i="68"/>
  <c r="HV11" i="69"/>
  <c r="IG11" i="69" s="1"/>
  <c r="HS10" i="69"/>
  <c r="HT10" i="69"/>
  <c r="BB285" i="69"/>
  <c r="HY59" i="69"/>
  <c r="BA285" i="69"/>
  <c r="HY58" i="69"/>
  <c r="AY311" i="68"/>
  <c r="BA255" i="68"/>
  <c r="BA304" i="69" s="1"/>
  <c r="IE58" i="68"/>
  <c r="BB309" i="68"/>
  <c r="E264" i="69"/>
  <c r="HQ10" i="70" s="1"/>
  <c r="E273" i="70"/>
  <c r="E277" i="69"/>
  <c r="G274" i="69" a="1"/>
  <c r="G274" i="69" s="1"/>
  <c r="G275" i="69" s="1"/>
  <c r="BA312" i="68"/>
  <c r="BA257" i="68"/>
  <c r="BA258" i="68" s="1"/>
  <c r="BA254" i="68"/>
  <c r="BA289" i="68"/>
  <c r="BB289" i="68"/>
  <c r="BB300" i="68"/>
  <c r="BB308" i="68" s="1"/>
  <c r="BB304" i="69"/>
  <c r="AZ307" i="69" l="1"/>
  <c r="BA309" i="68"/>
  <c r="H262" i="69" a="1"/>
  <c r="H262" i="69" s="1"/>
  <c r="H263" i="69" s="1"/>
  <c r="F263" i="69"/>
  <c r="HR11" i="69" s="1"/>
  <c r="BA300" i="68"/>
  <c r="BA308" i="68" s="1"/>
  <c r="E251" i="69"/>
  <c r="HN10" i="69" s="1"/>
  <c r="HN11" i="69" s="1"/>
  <c r="E286" i="69" a="1"/>
  <c r="E286" i="69" s="1"/>
  <c r="F286" i="69" s="1" a="1"/>
  <c r="F286" i="69" s="1"/>
  <c r="F287" i="69" s="1"/>
  <c r="HV12" i="69"/>
  <c r="IG12" i="69" s="1"/>
  <c r="HW11" i="69"/>
  <c r="HX11" i="69"/>
  <c r="F276" i="69"/>
  <c r="HU11" i="70" s="1"/>
  <c r="BB315" i="68"/>
  <c r="IH59" i="68"/>
  <c r="BA315" i="68"/>
  <c r="IH58" i="68"/>
  <c r="E265" i="69"/>
  <c r="E261" i="70"/>
  <c r="E278" i="69"/>
  <c r="E281" i="69"/>
  <c r="E282" i="69" s="1"/>
  <c r="E283" i="69" s="1"/>
  <c r="E279" i="69"/>
  <c r="E314" i="69"/>
  <c r="IG10" i="69"/>
  <c r="H274" i="69" a="1"/>
  <c r="H274" i="69" s="1"/>
  <c r="H275" i="69" s="1"/>
  <c r="BA290" i="68"/>
  <c r="BA291" i="68"/>
  <c r="BA303" i="68" s="1"/>
  <c r="BA293" i="68"/>
  <c r="BA294" i="68" s="1"/>
  <c r="BB293" i="68"/>
  <c r="BB294" i="68" s="1"/>
  <c r="BB290" i="68"/>
  <c r="BB291" i="68"/>
  <c r="BB307" i="69" s="1"/>
  <c r="G250" i="69" a="1"/>
  <c r="G250" i="69" s="1"/>
  <c r="G251" i="69" s="1"/>
  <c r="K297" i="68"/>
  <c r="X104" i="72" s="1"/>
  <c r="X105" i="72" s="1"/>
  <c r="I297" i="68"/>
  <c r="X103" i="72" s="1"/>
  <c r="I262" i="69" l="1" a="1"/>
  <c r="I262" i="69" s="1"/>
  <c r="J262" i="69" s="1" a="1"/>
  <c r="J262" i="69" s="1"/>
  <c r="J263" i="69" s="1"/>
  <c r="E252" i="69"/>
  <c r="HM10" i="70" s="1"/>
  <c r="HO10" i="69"/>
  <c r="HP11" i="69"/>
  <c r="HO11" i="69"/>
  <c r="F252" i="69"/>
  <c r="F249" i="70" s="1"/>
  <c r="HP10" i="69"/>
  <c r="E287" i="69"/>
  <c r="HZ10" i="69" s="1"/>
  <c r="HZ11" i="69" s="1"/>
  <c r="F277" i="69"/>
  <c r="F273" i="70"/>
  <c r="HT11" i="69"/>
  <c r="HS11" i="69"/>
  <c r="HV13" i="69"/>
  <c r="F264" i="69"/>
  <c r="HQ11" i="70" s="1"/>
  <c r="HR12" i="69"/>
  <c r="HW12" i="69"/>
  <c r="HX12" i="69"/>
  <c r="HN12" i="69"/>
  <c r="IE12" i="69" s="1"/>
  <c r="G276" i="69"/>
  <c r="HU12" i="70" s="1"/>
  <c r="E249" i="70"/>
  <c r="E253" i="69"/>
  <c r="IE10" i="69" s="1"/>
  <c r="G286" i="69" a="1"/>
  <c r="G286" i="69" s="1"/>
  <c r="G287" i="69" s="1"/>
  <c r="E267" i="69"/>
  <c r="E313" i="69"/>
  <c r="E266" i="69"/>
  <c r="E269" i="69"/>
  <c r="E270" i="69" s="1"/>
  <c r="E271" i="69" s="1"/>
  <c r="IF10" i="69"/>
  <c r="IF11" i="69"/>
  <c r="E306" i="70"/>
  <c r="E302" i="69"/>
  <c r="E310" i="69" s="1"/>
  <c r="I274" i="69" a="1"/>
  <c r="I274" i="69" s="1"/>
  <c r="BA307" i="69"/>
  <c r="BB303" i="68"/>
  <c r="BB311" i="68" s="1"/>
  <c r="H250" i="69" a="1"/>
  <c r="H250" i="69" s="1"/>
  <c r="IE11" i="69"/>
  <c r="BA311" i="68"/>
  <c r="F253" i="69" l="1"/>
  <c r="F312" i="69" s="1"/>
  <c r="I263" i="69"/>
  <c r="K262" i="69" a="1"/>
  <c r="K262" i="69" s="1"/>
  <c r="L262" i="69" s="1" a="1"/>
  <c r="L262" i="69" s="1"/>
  <c r="L263" i="69" s="1"/>
  <c r="HM11" i="70"/>
  <c r="E288" i="69"/>
  <c r="HY10" i="70" s="1"/>
  <c r="IB11" i="69"/>
  <c r="IA11" i="69"/>
  <c r="F288" i="69"/>
  <c r="HZ12" i="69"/>
  <c r="IB12" i="69" s="1"/>
  <c r="IB10" i="69"/>
  <c r="IA10" i="69"/>
  <c r="HS12" i="69"/>
  <c r="HT12" i="69"/>
  <c r="G264" i="69"/>
  <c r="HQ12" i="70" s="1"/>
  <c r="F265" i="69"/>
  <c r="F261" i="70"/>
  <c r="HX13" i="69"/>
  <c r="HW13" i="69"/>
  <c r="H276" i="69"/>
  <c r="HU13" i="70" s="1"/>
  <c r="G277" i="69"/>
  <c r="G273" i="70"/>
  <c r="HR13" i="69"/>
  <c r="HR14" i="69" s="1"/>
  <c r="HP12" i="69"/>
  <c r="HO12" i="69"/>
  <c r="F281" i="69"/>
  <c r="F282" i="69" s="1"/>
  <c r="F283" i="69" s="1"/>
  <c r="F279" i="69"/>
  <c r="F278" i="69"/>
  <c r="F314" i="69"/>
  <c r="G252" i="69"/>
  <c r="HM12" i="70" s="1"/>
  <c r="AG1" i="72"/>
  <c r="AG1" i="73" s="1"/>
  <c r="F255" i="69"/>
  <c r="F304" i="70" s="1"/>
  <c r="F257" i="69"/>
  <c r="F258" i="69" s="1"/>
  <c r="F259" i="69" s="1"/>
  <c r="F254" i="69"/>
  <c r="F299" i="69"/>
  <c r="IH11" i="69"/>
  <c r="E255" i="69"/>
  <c r="E254" i="69"/>
  <c r="E299" i="69"/>
  <c r="E257" i="69"/>
  <c r="E258" i="69" s="1"/>
  <c r="E259" i="69" s="1"/>
  <c r="E312" i="69"/>
  <c r="AC1" i="72"/>
  <c r="H286" i="69" a="1"/>
  <c r="H286" i="69" s="1"/>
  <c r="H287" i="69" s="1"/>
  <c r="HZ13" i="69" s="1"/>
  <c r="I250" i="69" a="1"/>
  <c r="I250" i="69" s="1"/>
  <c r="H251" i="69"/>
  <c r="J274" i="69" a="1"/>
  <c r="J274" i="69" s="1"/>
  <c r="J275" i="69" s="1"/>
  <c r="I275" i="69"/>
  <c r="E301" i="69"/>
  <c r="E309" i="69" s="1"/>
  <c r="E305" i="70"/>
  <c r="E285" i="70"/>
  <c r="E289" i="69"/>
  <c r="IF12" i="69"/>
  <c r="IG13" i="69"/>
  <c r="G296" i="68"/>
  <c r="P102" i="72" s="1"/>
  <c r="K263" i="69" l="1"/>
  <c r="G288" i="69"/>
  <c r="G289" i="69" s="1"/>
  <c r="F289" i="69"/>
  <c r="HY11" i="70"/>
  <c r="IA12" i="69"/>
  <c r="F285" i="70"/>
  <c r="HS13" i="69"/>
  <c r="HT13" i="69"/>
  <c r="H264" i="69"/>
  <c r="HQ13" i="70" s="1"/>
  <c r="HV14" i="69"/>
  <c r="HV15" i="69" s="1"/>
  <c r="G279" i="69"/>
  <c r="G281" i="69"/>
  <c r="G282" i="69" s="1"/>
  <c r="G283" i="69" s="1"/>
  <c r="G314" i="69"/>
  <c r="G278" i="69"/>
  <c r="HN13" i="69"/>
  <c r="H252" i="69" s="1"/>
  <c r="HM13" i="70" s="1"/>
  <c r="H277" i="69"/>
  <c r="H273" i="70"/>
  <c r="G253" i="69"/>
  <c r="G249" i="70"/>
  <c r="HT14" i="69"/>
  <c r="HS14" i="69"/>
  <c r="F266" i="69"/>
  <c r="F269" i="69"/>
  <c r="F270" i="69" s="1"/>
  <c r="F271" i="69" s="1"/>
  <c r="F313" i="69"/>
  <c r="F267" i="69"/>
  <c r="IB13" i="69"/>
  <c r="IA13" i="69"/>
  <c r="F306" i="70"/>
  <c r="F302" i="69"/>
  <c r="F310" i="69" s="1"/>
  <c r="HR15" i="69"/>
  <c r="G265" i="69"/>
  <c r="G261" i="70"/>
  <c r="F300" i="69"/>
  <c r="F308" i="69" s="1"/>
  <c r="AC1" i="73"/>
  <c r="G285" i="70"/>
  <c r="IH12" i="69"/>
  <c r="I264" i="69"/>
  <c r="I286" i="69" a="1"/>
  <c r="I286" i="69" s="1"/>
  <c r="I287" i="69" s="1"/>
  <c r="HZ14" i="69" s="1"/>
  <c r="K274" i="69" a="1"/>
  <c r="K274" i="69" s="1"/>
  <c r="E315" i="69"/>
  <c r="E293" i="69"/>
  <c r="E294" i="69" s="1"/>
  <c r="E295" i="69" s="1"/>
  <c r="E291" i="69"/>
  <c r="E290" i="69"/>
  <c r="IH10" i="69"/>
  <c r="J250" i="69" a="1"/>
  <c r="J250" i="69" s="1"/>
  <c r="I251" i="69"/>
  <c r="E304" i="70"/>
  <c r="E300" i="69"/>
  <c r="E308" i="69" s="1"/>
  <c r="M262" i="69" a="1"/>
  <c r="M262" i="69" s="1"/>
  <c r="I296" i="68"/>
  <c r="P103" i="72" s="1"/>
  <c r="K296" i="68"/>
  <c r="P104" i="72" s="1"/>
  <c r="P105" i="72" s="1"/>
  <c r="HY12" i="70" l="1"/>
  <c r="IG14" i="69"/>
  <c r="G293" i="69"/>
  <c r="G294" i="69" s="1"/>
  <c r="G295" i="69" s="1"/>
  <c r="G290" i="69"/>
  <c r="G291" i="69"/>
  <c r="G307" i="70" s="1"/>
  <c r="G315" i="69"/>
  <c r="HN14" i="69"/>
  <c r="HO14" i="69" s="1"/>
  <c r="I265" i="69"/>
  <c r="I313" i="69" s="1"/>
  <c r="HQ14" i="70"/>
  <c r="F315" i="69"/>
  <c r="F290" i="69"/>
  <c r="F291" i="69"/>
  <c r="F293" i="69"/>
  <c r="F294" i="69" s="1"/>
  <c r="F295" i="69" s="1"/>
  <c r="H253" i="69"/>
  <c r="H257" i="69" s="1"/>
  <c r="H258" i="69" s="1"/>
  <c r="H259" i="69" s="1"/>
  <c r="H249" i="70"/>
  <c r="HW15" i="69"/>
  <c r="HX15" i="69"/>
  <c r="J276" i="69"/>
  <c r="J273" i="70" s="1"/>
  <c r="F301" i="69"/>
  <c r="F309" i="69" s="1"/>
  <c r="F305" i="70"/>
  <c r="G302" i="69"/>
  <c r="G310" i="69" s="1"/>
  <c r="G306" i="70"/>
  <c r="IB14" i="69"/>
  <c r="IA14" i="69"/>
  <c r="HW14" i="69"/>
  <c r="HX14" i="69"/>
  <c r="G313" i="69"/>
  <c r="G269" i="69"/>
  <c r="G270" i="69" s="1"/>
  <c r="G271" i="69" s="1"/>
  <c r="G267" i="69"/>
  <c r="G266" i="69"/>
  <c r="I276" i="69"/>
  <c r="HU14" i="70" s="1"/>
  <c r="HS15" i="69"/>
  <c r="HT15" i="69"/>
  <c r="J264" i="69"/>
  <c r="HQ15" i="70" s="1"/>
  <c r="G254" i="69"/>
  <c r="G312" i="69"/>
  <c r="AK1" i="72"/>
  <c r="AK1" i="73" s="1"/>
  <c r="G257" i="69"/>
  <c r="G258" i="69" s="1"/>
  <c r="G259" i="69" s="1"/>
  <c r="G255" i="69"/>
  <c r="G299" i="69"/>
  <c r="H261" i="70"/>
  <c r="H265" i="69"/>
  <c r="HP14" i="69"/>
  <c r="H281" i="69"/>
  <c r="H282" i="69" s="1"/>
  <c r="H283" i="69" s="1"/>
  <c r="H279" i="69"/>
  <c r="H314" i="69"/>
  <c r="H278" i="69"/>
  <c r="HP13" i="69"/>
  <c r="HO13" i="69"/>
  <c r="HR16" i="69"/>
  <c r="H288" i="69"/>
  <c r="IG15" i="69"/>
  <c r="I261" i="70"/>
  <c r="G303" i="69"/>
  <c r="G311" i="69" s="1"/>
  <c r="N262" i="69" a="1"/>
  <c r="N262" i="69" s="1"/>
  <c r="O262" i="69" s="1" a="1"/>
  <c r="O262" i="69" s="1"/>
  <c r="M263" i="69"/>
  <c r="L274" i="69" a="1"/>
  <c r="L274" i="69" s="1"/>
  <c r="L275" i="69" s="1"/>
  <c r="HV17" i="69" s="1"/>
  <c r="K275" i="69"/>
  <c r="HV16" i="69" s="1"/>
  <c r="K250" i="69" a="1"/>
  <c r="K250" i="69" s="1"/>
  <c r="J251" i="69"/>
  <c r="HN15" i="69" s="1"/>
  <c r="J286" i="69" a="1"/>
  <c r="J286" i="69" s="1"/>
  <c r="J287" i="69" s="1"/>
  <c r="HZ15" i="69" s="1"/>
  <c r="I288" i="69"/>
  <c r="E303" i="69"/>
  <c r="E311" i="69" s="1"/>
  <c r="E307" i="70"/>
  <c r="IF15" i="69"/>
  <c r="IF14" i="69"/>
  <c r="IE13" i="69"/>
  <c r="I266" i="69" l="1"/>
  <c r="I267" i="69"/>
  <c r="I269" i="69"/>
  <c r="I270" i="69" s="1"/>
  <c r="I271" i="69" s="1"/>
  <c r="H255" i="69"/>
  <c r="H254" i="69"/>
  <c r="H312" i="69"/>
  <c r="H299" i="69"/>
  <c r="AO1" i="72"/>
  <c r="I252" i="69"/>
  <c r="HM14" i="70" s="1"/>
  <c r="J277" i="69"/>
  <c r="HU15" i="70"/>
  <c r="H289" i="69"/>
  <c r="H290" i="69" s="1"/>
  <c r="HY13" i="70"/>
  <c r="F307" i="70"/>
  <c r="F303" i="69"/>
  <c r="F311" i="69" s="1"/>
  <c r="I285" i="70"/>
  <c r="HY14" i="70"/>
  <c r="HP15" i="69"/>
  <c r="HO15" i="69"/>
  <c r="HS16" i="69"/>
  <c r="HT16" i="69"/>
  <c r="HR17" i="69"/>
  <c r="K264" i="69"/>
  <c r="HQ16" i="70" s="1"/>
  <c r="G300" i="69"/>
  <c r="G308" i="69" s="1"/>
  <c r="G304" i="70"/>
  <c r="HX16" i="69"/>
  <c r="HW16" i="69"/>
  <c r="HX17" i="69"/>
  <c r="HW17" i="69"/>
  <c r="H306" i="70"/>
  <c r="H302" i="69"/>
  <c r="H310" i="69" s="1"/>
  <c r="J261" i="70"/>
  <c r="J265" i="69"/>
  <c r="I273" i="70"/>
  <c r="I277" i="69"/>
  <c r="IF13" i="69"/>
  <c r="H266" i="69"/>
  <c r="H269" i="69"/>
  <c r="H270" i="69" s="1"/>
  <c r="H271" i="69" s="1"/>
  <c r="H313" i="69"/>
  <c r="H267" i="69"/>
  <c r="G301" i="69"/>
  <c r="G309" i="69" s="1"/>
  <c r="G305" i="70"/>
  <c r="IB15" i="69"/>
  <c r="IA15" i="69"/>
  <c r="IH13" i="69"/>
  <c r="H291" i="69"/>
  <c r="H307" i="70" s="1"/>
  <c r="H315" i="69"/>
  <c r="H285" i="70"/>
  <c r="I289" i="69"/>
  <c r="P262" i="69" a="1"/>
  <c r="P262" i="69" s="1"/>
  <c r="O263" i="69"/>
  <c r="J288" i="69"/>
  <c r="K276" i="69"/>
  <c r="HU16" i="70" s="1"/>
  <c r="N263" i="69"/>
  <c r="K286" i="69" a="1"/>
  <c r="K286" i="69" s="1"/>
  <c r="I253" i="69"/>
  <c r="IE14" i="69" s="1"/>
  <c r="I249" i="70"/>
  <c r="J252" i="69"/>
  <c r="HM15" i="70" s="1"/>
  <c r="M274" i="69" a="1"/>
  <c r="M274" i="69" s="1"/>
  <c r="M275" i="69" s="1"/>
  <c r="HV18" i="69" s="1"/>
  <c r="L250" i="69" a="1"/>
  <c r="L250" i="69" s="1"/>
  <c r="K251" i="69"/>
  <c r="HN16" i="69" s="1"/>
  <c r="L264" i="69"/>
  <c r="HQ17" i="70" s="1"/>
  <c r="I305" i="70"/>
  <c r="I301" i="69"/>
  <c r="I309" i="69" s="1"/>
  <c r="AO1" i="73"/>
  <c r="H304" i="70"/>
  <c r="H300" i="69"/>
  <c r="H308" i="69" s="1"/>
  <c r="H293" i="69" l="1"/>
  <c r="H294" i="69" s="1"/>
  <c r="H295" i="69" s="1"/>
  <c r="J285" i="70"/>
  <c r="HY15" i="70"/>
  <c r="J279" i="69"/>
  <c r="J281" i="69"/>
  <c r="J282" i="69" s="1"/>
  <c r="J283" i="69" s="1"/>
  <c r="J314" i="69"/>
  <c r="J278" i="69"/>
  <c r="HO16" i="69"/>
  <c r="HP16" i="69"/>
  <c r="H301" i="69"/>
  <c r="H309" i="69" s="1"/>
  <c r="H305" i="70"/>
  <c r="HX18" i="69"/>
  <c r="HW18" i="69"/>
  <c r="I279" i="69"/>
  <c r="I278" i="69"/>
  <c r="I314" i="69"/>
  <c r="I281" i="69"/>
  <c r="I282" i="69" s="1"/>
  <c r="I283" i="69" s="1"/>
  <c r="K265" i="69"/>
  <c r="K261" i="70"/>
  <c r="J313" i="69"/>
  <c r="J266" i="69"/>
  <c r="J269" i="69"/>
  <c r="J270" i="69" s="1"/>
  <c r="J271" i="69" s="1"/>
  <c r="J267" i="69"/>
  <c r="HT17" i="69"/>
  <c r="HS17" i="69"/>
  <c r="H303" i="69"/>
  <c r="H311" i="69" s="1"/>
  <c r="HR18" i="69"/>
  <c r="M264" i="69" s="1"/>
  <c r="HQ18" i="70" s="1"/>
  <c r="I293" i="69"/>
  <c r="I294" i="69" s="1"/>
  <c r="I295" i="69" s="1"/>
  <c r="IH14" i="69"/>
  <c r="L276" i="69"/>
  <c r="I290" i="69"/>
  <c r="I315" i="69"/>
  <c r="I291" i="69"/>
  <c r="I307" i="70" s="1"/>
  <c r="J289" i="69"/>
  <c r="K277" i="69"/>
  <c r="IG16" i="69" s="1"/>
  <c r="K273" i="70"/>
  <c r="I254" i="69"/>
  <c r="I312" i="69"/>
  <c r="AS1" i="72"/>
  <c r="I299" i="69"/>
  <c r="I257" i="69"/>
  <c r="I258" i="69" s="1"/>
  <c r="I259" i="69" s="1"/>
  <c r="I255" i="69"/>
  <c r="K252" i="69"/>
  <c r="HM16" i="70" s="1"/>
  <c r="L251" i="69"/>
  <c r="HN17" i="69" s="1"/>
  <c r="Q262" i="69" a="1"/>
  <c r="Q262" i="69" s="1"/>
  <c r="Q263" i="69" s="1"/>
  <c r="N274" i="69" a="1"/>
  <c r="N274" i="69" s="1"/>
  <c r="M276" i="69"/>
  <c r="HU18" i="70" s="1"/>
  <c r="M250" i="69" a="1"/>
  <c r="M250" i="69" s="1"/>
  <c r="L286" i="69" a="1"/>
  <c r="L286" i="69" s="1"/>
  <c r="L287" i="69" s="1"/>
  <c r="HZ17" i="69" s="1"/>
  <c r="K287" i="69"/>
  <c r="HZ16" i="69" s="1"/>
  <c r="P263" i="69"/>
  <c r="J249" i="70"/>
  <c r="J253" i="69"/>
  <c r="IE15" i="69" s="1"/>
  <c r="L265" i="69"/>
  <c r="IF17" i="69" s="1"/>
  <c r="L261" i="70"/>
  <c r="L273" i="70" l="1"/>
  <c r="HU17" i="70"/>
  <c r="J306" i="70"/>
  <c r="J302" i="69"/>
  <c r="J310" i="69" s="1"/>
  <c r="IB16" i="69"/>
  <c r="IA16" i="69"/>
  <c r="IF16" i="69"/>
  <c r="K266" i="69"/>
  <c r="K313" i="69"/>
  <c r="K267" i="69"/>
  <c r="K269" i="69"/>
  <c r="K270" i="69" s="1"/>
  <c r="K271" i="69" s="1"/>
  <c r="HS18" i="69"/>
  <c r="HT18" i="69"/>
  <c r="HR19" i="69"/>
  <c r="N264" i="69" s="1"/>
  <c r="I306" i="70"/>
  <c r="I302" i="69"/>
  <c r="I310" i="69" s="1"/>
  <c r="IB17" i="69"/>
  <c r="IA17" i="69"/>
  <c r="J301" i="69"/>
  <c r="J309" i="69" s="1"/>
  <c r="J305" i="70"/>
  <c r="HP17" i="69"/>
  <c r="HO17" i="69"/>
  <c r="J293" i="69"/>
  <c r="J294" i="69" s="1"/>
  <c r="J295" i="69" s="1"/>
  <c r="IH15" i="69"/>
  <c r="AS1" i="73"/>
  <c r="L277" i="69"/>
  <c r="I303" i="69"/>
  <c r="I311" i="69" s="1"/>
  <c r="J315" i="69"/>
  <c r="J290" i="69"/>
  <c r="J291" i="69"/>
  <c r="J303" i="69" s="1"/>
  <c r="J311" i="69" s="1"/>
  <c r="R262" i="69" a="1"/>
  <c r="R262" i="69" s="1"/>
  <c r="R263" i="69" s="1"/>
  <c r="N250" i="69" a="1"/>
  <c r="N250" i="69" s="1"/>
  <c r="O250" i="69" s="1" a="1"/>
  <c r="O250" i="69" s="1"/>
  <c r="M251" i="69"/>
  <c r="HN18" i="69" s="1"/>
  <c r="L252" i="69"/>
  <c r="HM17" i="70" s="1"/>
  <c r="K288" i="69"/>
  <c r="HY16" i="70" s="1"/>
  <c r="K253" i="69"/>
  <c r="IE16" i="69" s="1"/>
  <c r="K249" i="70"/>
  <c r="J257" i="69"/>
  <c r="J258" i="69" s="1"/>
  <c r="J259" i="69" s="1"/>
  <c r="AW1" i="72"/>
  <c r="J254" i="69"/>
  <c r="J312" i="69"/>
  <c r="J299" i="69"/>
  <c r="J255" i="69"/>
  <c r="I304" i="70"/>
  <c r="I300" i="69"/>
  <c r="I308" i="69" s="1"/>
  <c r="K281" i="69"/>
  <c r="K282" i="69" s="1"/>
  <c r="K283" i="69" s="1"/>
  <c r="K314" i="69"/>
  <c r="K278" i="69"/>
  <c r="K279" i="69"/>
  <c r="M277" i="69"/>
  <c r="IG18" i="69" s="1"/>
  <c r="M273" i="70"/>
  <c r="M286" i="69" a="1"/>
  <c r="M286" i="69" s="1"/>
  <c r="O274" i="69" a="1"/>
  <c r="O274" i="69" s="1"/>
  <c r="O275" i="69" s="1"/>
  <c r="HV20" i="69" s="1"/>
  <c r="N275" i="69"/>
  <c r="HV19" i="69" s="1"/>
  <c r="M265" i="69"/>
  <c r="IF18" i="69" s="1"/>
  <c r="M261" i="70"/>
  <c r="L269" i="69"/>
  <c r="L270" i="69" s="1"/>
  <c r="L271" i="69" s="1"/>
  <c r="L313" i="69"/>
  <c r="L266" i="69"/>
  <c r="L267" i="69"/>
  <c r="N265" i="69" l="1"/>
  <c r="IF19" i="69" s="1"/>
  <c r="HQ19" i="70"/>
  <c r="HS19" i="69"/>
  <c r="HT19" i="69"/>
  <c r="HR20" i="69"/>
  <c r="O264" i="69" s="1"/>
  <c r="HP18" i="69"/>
  <c r="HO18" i="69"/>
  <c r="K301" i="69"/>
  <c r="K309" i="69" s="1"/>
  <c r="K305" i="70"/>
  <c r="HX20" i="69"/>
  <c r="HW20" i="69"/>
  <c r="HX19" i="69"/>
  <c r="HW19" i="69"/>
  <c r="L281" i="69"/>
  <c r="L282" i="69" s="1"/>
  <c r="L283" i="69" s="1"/>
  <c r="IG17" i="69"/>
  <c r="AW1" i="73"/>
  <c r="L288" i="69"/>
  <c r="L314" i="69"/>
  <c r="L278" i="69"/>
  <c r="L279" i="69"/>
  <c r="L302" i="69" s="1"/>
  <c r="L310" i="69" s="1"/>
  <c r="J307" i="70"/>
  <c r="N261" i="70"/>
  <c r="P250" i="69" a="1"/>
  <c r="P250" i="69" s="1"/>
  <c r="P251" i="69" s="1"/>
  <c r="O251" i="69"/>
  <c r="K302" i="69"/>
  <c r="K310" i="69" s="1"/>
  <c r="K306" i="70"/>
  <c r="N276" i="69"/>
  <c r="HU19" i="70" s="1"/>
  <c r="S262" i="69" a="1"/>
  <c r="S262" i="69" s="1"/>
  <c r="K257" i="69"/>
  <c r="K258" i="69" s="1"/>
  <c r="K259" i="69" s="1"/>
  <c r="BA1" i="72"/>
  <c r="K254" i="69"/>
  <c r="K255" i="69"/>
  <c r="K312" i="69"/>
  <c r="K299" i="69"/>
  <c r="L249" i="70"/>
  <c r="L253" i="69"/>
  <c r="IE17" i="69" s="1"/>
  <c r="M252" i="69"/>
  <c r="HM18" i="70" s="1"/>
  <c r="N286" i="69" a="1"/>
  <c r="N286" i="69" s="1"/>
  <c r="N287" i="69" s="1"/>
  <c r="HZ19" i="69" s="1"/>
  <c r="M287" i="69"/>
  <c r="HZ18" i="69" s="1"/>
  <c r="N251" i="69"/>
  <c r="HN19" i="69" s="1"/>
  <c r="J300" i="69"/>
  <c r="J308" i="69" s="1"/>
  <c r="J304" i="70"/>
  <c r="K289" i="69"/>
  <c r="IH16" i="69" s="1"/>
  <c r="K285" i="70"/>
  <c r="M314" i="69"/>
  <c r="M281" i="69"/>
  <c r="M282" i="69" s="1"/>
  <c r="M283" i="69" s="1"/>
  <c r="M278" i="69"/>
  <c r="M279" i="69"/>
  <c r="P274" i="69" a="1"/>
  <c r="P274" i="69" s="1"/>
  <c r="N313" i="69"/>
  <c r="N269" i="69"/>
  <c r="N270" i="69" s="1"/>
  <c r="N271" i="69" s="1"/>
  <c r="N266" i="69"/>
  <c r="N267" i="69"/>
  <c r="L305" i="70"/>
  <c r="L301" i="69"/>
  <c r="L309" i="69" s="1"/>
  <c r="M266" i="69"/>
  <c r="M267" i="69"/>
  <c r="M313" i="69"/>
  <c r="M269" i="69"/>
  <c r="M270" i="69" s="1"/>
  <c r="M271" i="69" s="1"/>
  <c r="O265" i="69" l="1"/>
  <c r="IF20" i="69" s="1"/>
  <c r="HQ20" i="70"/>
  <c r="L289" i="69"/>
  <c r="IH17" i="69" s="1"/>
  <c r="HY17" i="70"/>
  <c r="HN20" i="69"/>
  <c r="HN21" i="69" s="1"/>
  <c r="HT20" i="69"/>
  <c r="HS20" i="69"/>
  <c r="HR21" i="69"/>
  <c r="P264" i="69" s="1"/>
  <c r="HO19" i="69"/>
  <c r="HP19" i="69"/>
  <c r="IB18" i="69"/>
  <c r="IA18" i="69"/>
  <c r="IA19" i="69"/>
  <c r="IB19" i="69"/>
  <c r="O276" i="69"/>
  <c r="BA1" i="73"/>
  <c r="L285" i="70"/>
  <c r="L306" i="70"/>
  <c r="O261" i="70"/>
  <c r="T262" i="69" a="1"/>
  <c r="T262" i="69" s="1"/>
  <c r="T263" i="69" s="1"/>
  <c r="S263" i="69"/>
  <c r="Q274" i="69" a="1"/>
  <c r="Q274" i="69" s="1"/>
  <c r="P275" i="69"/>
  <c r="HV21" i="69" s="1"/>
  <c r="K315" i="69"/>
  <c r="K290" i="69"/>
  <c r="K293" i="69"/>
  <c r="K294" i="69" s="1"/>
  <c r="K295" i="69" s="1"/>
  <c r="K291" i="69"/>
  <c r="M253" i="69"/>
  <c r="IE18" i="69" s="1"/>
  <c r="M249" i="70"/>
  <c r="L315" i="69"/>
  <c r="L290" i="69"/>
  <c r="L291" i="69"/>
  <c r="L293" i="69"/>
  <c r="L294" i="69" s="1"/>
  <c r="L295" i="69" s="1"/>
  <c r="Q250" i="69" a="1"/>
  <c r="Q250" i="69" s="1"/>
  <c r="K304" i="70"/>
  <c r="K300" i="69"/>
  <c r="K308" i="69" s="1"/>
  <c r="M306" i="70"/>
  <c r="M302" i="69"/>
  <c r="M310" i="69" s="1"/>
  <c r="N277" i="69"/>
  <c r="IG19" i="69" s="1"/>
  <c r="N273" i="70"/>
  <c r="N252" i="69"/>
  <c r="HM19" i="70" s="1"/>
  <c r="M288" i="69"/>
  <c r="HY18" i="70" s="1"/>
  <c r="L254" i="69"/>
  <c r="L257" i="69"/>
  <c r="L258" i="69" s="1"/>
  <c r="L259" i="69" s="1"/>
  <c r="L299" i="69"/>
  <c r="L312" i="69"/>
  <c r="BE1" i="72"/>
  <c r="L255" i="69"/>
  <c r="O286" i="69" a="1"/>
  <c r="O286" i="69" s="1"/>
  <c r="O287" i="69" s="1"/>
  <c r="HZ20" i="69" s="1"/>
  <c r="M301" i="69"/>
  <c r="M309" i="69" s="1"/>
  <c r="M305" i="70"/>
  <c r="N301" i="69"/>
  <c r="N309" i="69" s="1"/>
  <c r="N305" i="70"/>
  <c r="O269" i="69"/>
  <c r="O270" i="69" s="1"/>
  <c r="O271" i="69" s="1"/>
  <c r="O313" i="69"/>
  <c r="O267" i="69"/>
  <c r="O266" i="69"/>
  <c r="P265" i="69" l="1"/>
  <c r="IF21" i="69" s="1"/>
  <c r="HQ21" i="70"/>
  <c r="O277" i="69"/>
  <c r="IG20" i="69" s="1"/>
  <c r="HU20" i="70"/>
  <c r="HT21" i="69"/>
  <c r="HS21" i="69"/>
  <c r="HR22" i="69"/>
  <c r="HR23" i="69" s="1"/>
  <c r="IB20" i="69"/>
  <c r="IA20" i="69"/>
  <c r="HP21" i="69"/>
  <c r="HO21" i="69"/>
  <c r="HW21" i="69"/>
  <c r="HX21" i="69"/>
  <c r="HP20" i="69"/>
  <c r="HO20" i="69"/>
  <c r="O273" i="70"/>
  <c r="BE1" i="73"/>
  <c r="N288" i="69"/>
  <c r="P261" i="70"/>
  <c r="U262" i="69" a="1"/>
  <c r="U262" i="69" s="1"/>
  <c r="V262" i="69" s="1" a="1"/>
  <c r="V262" i="69" s="1"/>
  <c r="P286" i="69" a="1"/>
  <c r="P286" i="69" s="1"/>
  <c r="Q286" i="69" s="1" a="1"/>
  <c r="Q286" i="69" s="1"/>
  <c r="K303" i="69"/>
  <c r="K311" i="69" s="1"/>
  <c r="K307" i="70"/>
  <c r="N253" i="69"/>
  <c r="IE19" i="69" s="1"/>
  <c r="N249" i="70"/>
  <c r="O252" i="69"/>
  <c r="HM20" i="70" s="1"/>
  <c r="L307" i="70"/>
  <c r="L303" i="69"/>
  <c r="L311" i="69" s="1"/>
  <c r="O279" i="69"/>
  <c r="O281" i="69"/>
  <c r="O282" i="69" s="1"/>
  <c r="O283" i="69" s="1"/>
  <c r="O314" i="69"/>
  <c r="O288" i="69"/>
  <c r="HY20" i="70" s="1"/>
  <c r="M289" i="69"/>
  <c r="IH18" i="69" s="1"/>
  <c r="M285" i="70"/>
  <c r="N281" i="69"/>
  <c r="N282" i="69" s="1"/>
  <c r="N283" i="69" s="1"/>
  <c r="N314" i="69"/>
  <c r="N279" i="69"/>
  <c r="N278" i="69"/>
  <c r="P276" i="69"/>
  <c r="HU21" i="70" s="1"/>
  <c r="L304" i="70"/>
  <c r="L300" i="69"/>
  <c r="L308" i="69" s="1"/>
  <c r="Q275" i="69"/>
  <c r="HV22" i="69" s="1"/>
  <c r="R274" i="69" a="1"/>
  <c r="R274" i="69" s="1"/>
  <c r="R275" i="69" s="1"/>
  <c r="HV23" i="69" s="1"/>
  <c r="R250" i="69" a="1"/>
  <c r="R250" i="69" s="1"/>
  <c r="Q251" i="69"/>
  <c r="HN22" i="69" s="1"/>
  <c r="M299" i="69"/>
  <c r="M312" i="69"/>
  <c r="BI1" i="72"/>
  <c r="M254" i="69"/>
  <c r="M257" i="69"/>
  <c r="M258" i="69" s="1"/>
  <c r="M259" i="69" s="1"/>
  <c r="M255" i="69"/>
  <c r="O301" i="69"/>
  <c r="O309" i="69" s="1"/>
  <c r="O305" i="70"/>
  <c r="P266" i="69"/>
  <c r="P267" i="69"/>
  <c r="P269" i="69"/>
  <c r="P270" i="69" s="1"/>
  <c r="P271" i="69" s="1"/>
  <c r="P313" i="69"/>
  <c r="O278" i="69" l="1"/>
  <c r="N285" i="70"/>
  <c r="HY19" i="70"/>
  <c r="HX23" i="69"/>
  <c r="HW23" i="69"/>
  <c r="HT23" i="69"/>
  <c r="HS23" i="69"/>
  <c r="HP22" i="69"/>
  <c r="HO22" i="69"/>
  <c r="HT22" i="69"/>
  <c r="HS22" i="69"/>
  <c r="Q264" i="69"/>
  <c r="HQ22" i="70" s="1"/>
  <c r="HX22" i="69"/>
  <c r="HW22" i="69"/>
  <c r="HR24" i="69"/>
  <c r="S264" i="69" s="1"/>
  <c r="BI1" i="73"/>
  <c r="N289" i="69"/>
  <c r="R264" i="69"/>
  <c r="V263" i="69"/>
  <c r="U263" i="69"/>
  <c r="W262" i="69" a="1"/>
  <c r="W262" i="69" s="1"/>
  <c r="W263" i="69" s="1"/>
  <c r="Q287" i="69"/>
  <c r="Q276" i="69"/>
  <c r="HU22" i="70" s="1"/>
  <c r="N302" i="69"/>
  <c r="N310" i="69" s="1"/>
  <c r="N306" i="70"/>
  <c r="O289" i="69"/>
  <c r="IH20" i="69" s="1"/>
  <c r="O285" i="70"/>
  <c r="O253" i="69"/>
  <c r="IE20" i="69" s="1"/>
  <c r="O249" i="70"/>
  <c r="N257" i="69"/>
  <c r="N258" i="69" s="1"/>
  <c r="N259" i="69" s="1"/>
  <c r="N255" i="69"/>
  <c r="N312" i="69"/>
  <c r="N299" i="69"/>
  <c r="BM1" i="72"/>
  <c r="N254" i="69"/>
  <c r="O306" i="70"/>
  <c r="O302" i="69"/>
  <c r="O310" i="69" s="1"/>
  <c r="M291" i="69"/>
  <c r="M293" i="69"/>
  <c r="M294" i="69" s="1"/>
  <c r="M295" i="69" s="1"/>
  <c r="M290" i="69"/>
  <c r="M315" i="69"/>
  <c r="M304" i="70"/>
  <c r="M300" i="69"/>
  <c r="M308" i="69" s="1"/>
  <c r="S250" i="69" a="1"/>
  <c r="S250" i="69" s="1"/>
  <c r="R251" i="69"/>
  <c r="HN23" i="69" s="1"/>
  <c r="P277" i="69"/>
  <c r="IG21" i="69" s="1"/>
  <c r="P273" i="70"/>
  <c r="P287" i="69"/>
  <c r="HZ21" i="69" s="1"/>
  <c r="R286" i="69" a="1"/>
  <c r="R286" i="69" s="1"/>
  <c r="R287" i="69" s="1"/>
  <c r="R276" i="69"/>
  <c r="HU23" i="70" s="1"/>
  <c r="P252" i="69"/>
  <c r="HM21" i="70" s="1"/>
  <c r="S274" i="69" a="1"/>
  <c r="S274" i="69" s="1"/>
  <c r="S275" i="69" s="1"/>
  <c r="HV24" i="69" s="1"/>
  <c r="P301" i="69"/>
  <c r="P309" i="69" s="1"/>
  <c r="P305" i="70"/>
  <c r="HR25" i="69" l="1"/>
  <c r="HR26" i="69" s="1"/>
  <c r="R265" i="69"/>
  <c r="IF23" i="69" s="1"/>
  <c r="HQ23" i="70"/>
  <c r="S261" i="70"/>
  <c r="HQ24" i="70"/>
  <c r="IB21" i="69"/>
  <c r="IA21" i="69"/>
  <c r="HP23" i="69"/>
  <c r="HO23" i="69"/>
  <c r="HZ22" i="69"/>
  <c r="HZ23" i="69" s="1"/>
  <c r="HS25" i="69"/>
  <c r="HT25" i="69"/>
  <c r="Q265" i="69"/>
  <c r="Q261" i="70"/>
  <c r="HX24" i="69"/>
  <c r="HW24" i="69"/>
  <c r="HT24" i="69"/>
  <c r="HS24" i="69"/>
  <c r="N315" i="69"/>
  <c r="IH19" i="69"/>
  <c r="BM1" i="73"/>
  <c r="N293" i="69"/>
  <c r="N294" i="69" s="1"/>
  <c r="N295" i="69" s="1"/>
  <c r="N290" i="69"/>
  <c r="N291" i="69"/>
  <c r="N307" i="70" s="1"/>
  <c r="R261" i="70"/>
  <c r="T264" i="69"/>
  <c r="S265" i="69"/>
  <c r="X262" i="69" a="1"/>
  <c r="X262" i="69" s="1"/>
  <c r="Y262" i="69" s="1" a="1"/>
  <c r="Y262" i="69" s="1"/>
  <c r="P288" i="69"/>
  <c r="HY21" i="70" s="1"/>
  <c r="P253" i="69"/>
  <c r="IE21" i="69" s="1"/>
  <c r="P249" i="70"/>
  <c r="P314" i="69"/>
  <c r="P281" i="69"/>
  <c r="P282" i="69" s="1"/>
  <c r="P283" i="69" s="1"/>
  <c r="P278" i="69"/>
  <c r="P279" i="69"/>
  <c r="M307" i="70"/>
  <c r="M303" i="69"/>
  <c r="M311" i="69" s="1"/>
  <c r="N300" i="69"/>
  <c r="N308" i="69" s="1"/>
  <c r="N304" i="70"/>
  <c r="S251" i="69"/>
  <c r="HN24" i="69" s="1"/>
  <c r="T250" i="69" a="1"/>
  <c r="T250" i="69" s="1"/>
  <c r="Q252" i="69"/>
  <c r="HM22" i="70" s="1"/>
  <c r="S276" i="69"/>
  <c r="HU24" i="70" s="1"/>
  <c r="R277" i="69"/>
  <c r="IG23" i="69" s="1"/>
  <c r="R273" i="70"/>
  <c r="T274" i="69" a="1"/>
  <c r="T274" i="69" s="1"/>
  <c r="T275" i="69" s="1"/>
  <c r="HV25" i="69" s="1"/>
  <c r="O312" i="69"/>
  <c r="O299" i="69"/>
  <c r="O255" i="69"/>
  <c r="O257" i="69"/>
  <c r="O258" i="69" s="1"/>
  <c r="O259" i="69" s="1"/>
  <c r="O254" i="69"/>
  <c r="Q277" i="69"/>
  <c r="IG22" i="69" s="1"/>
  <c r="Q273" i="70"/>
  <c r="S286" i="69" a="1"/>
  <c r="S286" i="69" s="1"/>
  <c r="S287" i="69" s="1"/>
  <c r="O291" i="69"/>
  <c r="O293" i="69"/>
  <c r="O294" i="69" s="1"/>
  <c r="O295" i="69" s="1"/>
  <c r="O315" i="69"/>
  <c r="O290" i="69"/>
  <c r="R269" i="69"/>
  <c r="R270" i="69" s="1"/>
  <c r="R271" i="69" s="1"/>
  <c r="R266" i="69"/>
  <c r="R267" i="69"/>
  <c r="R313" i="69"/>
  <c r="HT26" i="69" l="1"/>
  <c r="HR27" i="69"/>
  <c r="HR28" i="69" s="1"/>
  <c r="HT28" i="69" s="1"/>
  <c r="HS26" i="69"/>
  <c r="T261" i="70"/>
  <c r="HQ25" i="70"/>
  <c r="HZ24" i="69"/>
  <c r="IA24" i="69" s="1"/>
  <c r="HP24" i="69"/>
  <c r="HO24" i="69"/>
  <c r="HX25" i="69"/>
  <c r="HW25" i="69"/>
  <c r="IF22" i="69"/>
  <c r="Q313" i="69"/>
  <c r="Q269" i="69"/>
  <c r="Q270" i="69" s="1"/>
  <c r="Q271" i="69" s="1"/>
  <c r="Q267" i="69"/>
  <c r="Q266" i="69"/>
  <c r="IA22" i="69"/>
  <c r="IB22" i="69"/>
  <c r="IA23" i="69"/>
  <c r="IB23" i="69"/>
  <c r="HT27" i="69"/>
  <c r="HS27" i="69"/>
  <c r="S267" i="69"/>
  <c r="S305" i="70" s="1"/>
  <c r="IF24" i="69"/>
  <c r="N303" i="69"/>
  <c r="N311" i="69" s="1"/>
  <c r="U264" i="69"/>
  <c r="T265" i="69"/>
  <c r="S313" i="69"/>
  <c r="S269" i="69"/>
  <c r="S270" i="69" s="1"/>
  <c r="S271" i="69" s="1"/>
  <c r="S266" i="69"/>
  <c r="Y263" i="69"/>
  <c r="X263" i="69"/>
  <c r="HR29" i="69" s="1"/>
  <c r="Z262" i="69" a="1"/>
  <c r="Z262" i="69" s="1"/>
  <c r="Z263" i="69" s="1"/>
  <c r="S277" i="69"/>
  <c r="IG24" i="69" s="1"/>
  <c r="S273" i="70"/>
  <c r="R252" i="69"/>
  <c r="HM23" i="70" s="1"/>
  <c r="P312" i="69"/>
  <c r="P257" i="69"/>
  <c r="P258" i="69" s="1"/>
  <c r="P259" i="69" s="1"/>
  <c r="P299" i="69"/>
  <c r="P254" i="69"/>
  <c r="P255" i="69"/>
  <c r="T276" i="69"/>
  <c r="HU25" i="70" s="1"/>
  <c r="P306" i="70"/>
  <c r="P302" i="69"/>
  <c r="P310" i="69" s="1"/>
  <c r="U274" i="69" a="1"/>
  <c r="U274" i="69" s="1"/>
  <c r="U275" i="69" s="1"/>
  <c r="HV26" i="69" s="1"/>
  <c r="U250" i="69" a="1"/>
  <c r="U250" i="69" s="1"/>
  <c r="T251" i="69"/>
  <c r="HN25" i="69" s="1"/>
  <c r="Q288" i="69"/>
  <c r="HY22" i="70" s="1"/>
  <c r="Q279" i="69"/>
  <c r="Q314" i="69"/>
  <c r="Q278" i="69"/>
  <c r="Q281" i="69"/>
  <c r="Q282" i="69" s="1"/>
  <c r="Q283" i="69" s="1"/>
  <c r="P289" i="69"/>
  <c r="IH21" i="69" s="1"/>
  <c r="P285" i="70"/>
  <c r="R281" i="69"/>
  <c r="R282" i="69" s="1"/>
  <c r="R283" i="69" s="1"/>
  <c r="R314" i="69"/>
  <c r="R278" i="69"/>
  <c r="R279" i="69"/>
  <c r="Q249" i="70"/>
  <c r="Q253" i="69"/>
  <c r="IE22" i="69" s="1"/>
  <c r="O307" i="70"/>
  <c r="O303" i="69"/>
  <c r="O311" i="69" s="1"/>
  <c r="T286" i="69" a="1"/>
  <c r="T286" i="69" s="1"/>
  <c r="O300" i="69"/>
  <c r="O308" i="69" s="1"/>
  <c r="O304" i="70"/>
  <c r="R305" i="70"/>
  <c r="R301" i="69"/>
  <c r="R309" i="69" s="1"/>
  <c r="IB24" i="69" l="1"/>
  <c r="HS28" i="69"/>
  <c r="U261" i="70"/>
  <c r="HQ26" i="70"/>
  <c r="HR30" i="69"/>
  <c r="HR31" i="69" s="1"/>
  <c r="HP25" i="69"/>
  <c r="HO25" i="69"/>
  <c r="Q301" i="69"/>
  <c r="Q309" i="69" s="1"/>
  <c r="Q305" i="70"/>
  <c r="HX26" i="69"/>
  <c r="HW26" i="69"/>
  <c r="HT29" i="69"/>
  <c r="HS29" i="69"/>
  <c r="T269" i="69"/>
  <c r="T270" i="69" s="1"/>
  <c r="T271" i="69" s="1"/>
  <c r="IF25" i="69"/>
  <c r="S301" i="69"/>
  <c r="S309" i="69" s="1"/>
  <c r="W264" i="69"/>
  <c r="V264" i="69"/>
  <c r="HQ27" i="70" s="1"/>
  <c r="U265" i="69"/>
  <c r="IF26" i="69" s="1"/>
  <c r="T313" i="69"/>
  <c r="T266" i="69"/>
  <c r="T267" i="69"/>
  <c r="AA262" i="69" a="1"/>
  <c r="AA262" i="69" s="1"/>
  <c r="AA263" i="69" s="1"/>
  <c r="U276" i="69"/>
  <c r="HU26" i="70" s="1"/>
  <c r="V274" i="69" a="1"/>
  <c r="V274" i="69" s="1"/>
  <c r="V275" i="69" s="1"/>
  <c r="HV27" i="69" s="1"/>
  <c r="R253" i="69"/>
  <c r="IE23" i="69" s="1"/>
  <c r="R249" i="70"/>
  <c r="Q306" i="70"/>
  <c r="Q302" i="69"/>
  <c r="Q310" i="69" s="1"/>
  <c r="S252" i="69"/>
  <c r="HM24" i="70" s="1"/>
  <c r="P315" i="69"/>
  <c r="P291" i="69"/>
  <c r="P290" i="69"/>
  <c r="P293" i="69"/>
  <c r="P294" i="69" s="1"/>
  <c r="P295" i="69" s="1"/>
  <c r="R288" i="69"/>
  <c r="HY23" i="70" s="1"/>
  <c r="Q312" i="69"/>
  <c r="Q299" i="69"/>
  <c r="Q255" i="69"/>
  <c r="Q254" i="69"/>
  <c r="Q257" i="69"/>
  <c r="Q258" i="69" s="1"/>
  <c r="Q259" i="69" s="1"/>
  <c r="Q289" i="69"/>
  <c r="IH22" i="69" s="1"/>
  <c r="Q285" i="70"/>
  <c r="P304" i="70"/>
  <c r="P300" i="69"/>
  <c r="P308" i="69" s="1"/>
  <c r="R302" i="69"/>
  <c r="R310" i="69" s="1"/>
  <c r="R306" i="70"/>
  <c r="S314" i="69"/>
  <c r="S279" i="69"/>
  <c r="S281" i="69"/>
  <c r="S282" i="69" s="1"/>
  <c r="S283" i="69" s="1"/>
  <c r="S278" i="69"/>
  <c r="U251" i="69"/>
  <c r="HN26" i="69" s="1"/>
  <c r="T287" i="69"/>
  <c r="HZ25" i="69" s="1"/>
  <c r="U286" i="69" a="1"/>
  <c r="U286" i="69" s="1"/>
  <c r="U287" i="69" s="1"/>
  <c r="HZ26" i="69" s="1"/>
  <c r="T277" i="69"/>
  <c r="IG25" i="69" s="1"/>
  <c r="T273" i="70"/>
  <c r="V250" i="69" a="1"/>
  <c r="V250" i="69" s="1"/>
  <c r="R69" i="57"/>
  <c r="IP10" i="79" s="1"/>
  <c r="R68" i="57"/>
  <c r="IO10" i="79" s="1"/>
  <c r="DJ10" i="79"/>
  <c r="DI10" i="79"/>
  <c r="I25" i="46"/>
  <c r="AB10" i="79" s="1"/>
  <c r="I4" i="46"/>
  <c r="HS30" i="69" l="1"/>
  <c r="W265" i="69"/>
  <c r="HQ28" i="70"/>
  <c r="HT31" i="69"/>
  <c r="HS31" i="69"/>
  <c r="HR32" i="69"/>
  <c r="HT32" i="69" s="1"/>
  <c r="HT30" i="69"/>
  <c r="HX27" i="69"/>
  <c r="HW27" i="69"/>
  <c r="IB26" i="69"/>
  <c r="IA26" i="69"/>
  <c r="IB25" i="69"/>
  <c r="IA25" i="69"/>
  <c r="HP26" i="69"/>
  <c r="HO26" i="69"/>
  <c r="W261" i="70"/>
  <c r="IF28" i="69"/>
  <c r="V265" i="69"/>
  <c r="IF27" i="69" s="1"/>
  <c r="V261" i="70"/>
  <c r="U267" i="69"/>
  <c r="U266" i="69"/>
  <c r="U269" i="69"/>
  <c r="U270" i="69" s="1"/>
  <c r="U271" i="69" s="1"/>
  <c r="U313" i="69"/>
  <c r="T305" i="70"/>
  <c r="T301" i="69"/>
  <c r="T309" i="69" s="1"/>
  <c r="AB262" i="69" a="1"/>
  <c r="AB262" i="69" s="1"/>
  <c r="AB263" i="69" s="1"/>
  <c r="HR33" i="69" s="1"/>
  <c r="W274" i="69" a="1"/>
  <c r="W274" i="69" s="1"/>
  <c r="W275" i="69" s="1"/>
  <c r="HV28" i="69" s="1"/>
  <c r="S253" i="69"/>
  <c r="IE24" i="69" s="1"/>
  <c r="S249" i="70"/>
  <c r="R257" i="69"/>
  <c r="R258" i="69" s="1"/>
  <c r="R259" i="69" s="1"/>
  <c r="R255" i="69"/>
  <c r="R254" i="69"/>
  <c r="R312" i="69"/>
  <c r="R299" i="69"/>
  <c r="V276" i="69"/>
  <c r="HU27" i="70" s="1"/>
  <c r="Q304" i="70"/>
  <c r="Q300" i="69"/>
  <c r="Q308" i="69" s="1"/>
  <c r="W250" i="69" a="1"/>
  <c r="W250" i="69" s="1"/>
  <c r="V251" i="69"/>
  <c r="HN27" i="69" s="1"/>
  <c r="S288" i="69"/>
  <c r="HY24" i="70" s="1"/>
  <c r="P307" i="70"/>
  <c r="P303" i="69"/>
  <c r="P311" i="69" s="1"/>
  <c r="U277" i="69"/>
  <c r="IG26" i="69" s="1"/>
  <c r="U273" i="70"/>
  <c r="R289" i="69"/>
  <c r="IH23" i="69" s="1"/>
  <c r="R285" i="70"/>
  <c r="T314" i="69"/>
  <c r="T279" i="69"/>
  <c r="T281" i="69"/>
  <c r="T282" i="69" s="1"/>
  <c r="T283" i="69" s="1"/>
  <c r="T278" i="69"/>
  <c r="S302" i="69"/>
  <c r="S310" i="69" s="1"/>
  <c r="S306" i="70"/>
  <c r="T252" i="69"/>
  <c r="HM25" i="70" s="1"/>
  <c r="Q315" i="69"/>
  <c r="Q290" i="69"/>
  <c r="Q293" i="69"/>
  <c r="Q294" i="69" s="1"/>
  <c r="Q295" i="69" s="1"/>
  <c r="Q291" i="69"/>
  <c r="V286" i="69" a="1"/>
  <c r="V286" i="69" s="1"/>
  <c r="C10" i="79"/>
  <c r="L26" i="57"/>
  <c r="EA10" i="79" s="1"/>
  <c r="CW10" i="79"/>
  <c r="CX10" i="79"/>
  <c r="DG10" i="79"/>
  <c r="AD20" i="57"/>
  <c r="AF25" i="46"/>
  <c r="AD10" i="79" s="1"/>
  <c r="D4" i="77"/>
  <c r="W313" i="69"/>
  <c r="W266" i="69"/>
  <c r="W269" i="69"/>
  <c r="W267" i="69"/>
  <c r="AL25" i="46"/>
  <c r="AL24" i="46"/>
  <c r="AL23" i="46"/>
  <c r="AB25" i="46"/>
  <c r="AB24" i="46"/>
  <c r="AB23" i="46"/>
  <c r="R25" i="46"/>
  <c r="R24" i="46"/>
  <c r="R23" i="46"/>
  <c r="T10" i="79"/>
  <c r="V25" i="46"/>
  <c r="AC10" i="79" s="1"/>
  <c r="AO39" i="46"/>
  <c r="CE10" i="79" s="1"/>
  <c r="AJ39" i="46"/>
  <c r="BW10" i="79" s="1"/>
  <c r="AE39" i="46"/>
  <c r="CD10" i="79" s="1"/>
  <c r="Z39" i="46"/>
  <c r="BV10" i="79" s="1"/>
  <c r="P39" i="46"/>
  <c r="BU10" i="79" s="1"/>
  <c r="AP32" i="46"/>
  <c r="AU10" i="79" s="1"/>
  <c r="AP35" i="46"/>
  <c r="BS10" i="79" s="1"/>
  <c r="AP34" i="46"/>
  <c r="BK10" i="79" s="1"/>
  <c r="AP33" i="46"/>
  <c r="BC10" i="79" s="1"/>
  <c r="AF35" i="46"/>
  <c r="BR10" i="79" s="1"/>
  <c r="AF34" i="46"/>
  <c r="BJ10" i="79" s="1"/>
  <c r="AF33" i="46"/>
  <c r="BB10" i="79" s="1"/>
  <c r="AF32" i="46"/>
  <c r="AT10" i="79" s="1"/>
  <c r="V35" i="46"/>
  <c r="BQ10" i="79" s="1"/>
  <c r="V34" i="46"/>
  <c r="BI10" i="79" s="1"/>
  <c r="V33" i="46"/>
  <c r="BA10" i="79" s="1"/>
  <c r="V32" i="46"/>
  <c r="AS10" i="79" s="1"/>
  <c r="T12" i="46"/>
  <c r="AD12" i="46" s="1"/>
  <c r="AN12" i="46" s="1"/>
  <c r="T13" i="46"/>
  <c r="AD13" i="46" s="1"/>
  <c r="AN13" i="46" s="1"/>
  <c r="R27" i="46"/>
  <c r="R26" i="46"/>
  <c r="T15" i="46"/>
  <c r="AD15" i="46" s="1"/>
  <c r="AN15" i="46" s="1"/>
  <c r="T14" i="46"/>
  <c r="AD14" i="46" s="1"/>
  <c r="AN14" i="46" s="1"/>
  <c r="I131" i="57"/>
  <c r="MO10" i="79" s="1"/>
  <c r="HS32" i="69" l="1"/>
  <c r="HX28" i="69"/>
  <c r="HW28" i="69"/>
  <c r="HT33" i="69"/>
  <c r="HS33" i="69"/>
  <c r="HP27" i="69"/>
  <c r="HO27" i="69"/>
  <c r="X264" i="69"/>
  <c r="HQ29" i="70" s="1"/>
  <c r="V266" i="69"/>
  <c r="V267" i="69"/>
  <c r="V313" i="69"/>
  <c r="V269" i="69"/>
  <c r="V270" i="69" s="1"/>
  <c r="V271" i="69" s="1"/>
  <c r="U305" i="70"/>
  <c r="U301" i="69"/>
  <c r="U309" i="69" s="1"/>
  <c r="T288" i="69"/>
  <c r="AB26" i="46"/>
  <c r="AG10" i="79"/>
  <c r="AB27" i="46"/>
  <c r="AK10" i="79"/>
  <c r="AC262" i="69" a="1"/>
  <c r="AC262" i="69" s="1"/>
  <c r="AC263" i="69" s="1"/>
  <c r="HR34" i="69" s="1"/>
  <c r="W276" i="69"/>
  <c r="X274" i="69" a="1"/>
  <c r="X274" i="69" s="1"/>
  <c r="X275" i="69" s="1"/>
  <c r="Q307" i="70"/>
  <c r="Q303" i="69"/>
  <c r="Q311" i="69" s="1"/>
  <c r="R291" i="69"/>
  <c r="R293" i="69"/>
  <c r="R294" i="69" s="1"/>
  <c r="R295" i="69" s="1"/>
  <c r="R290" i="69"/>
  <c r="R315" i="69"/>
  <c r="R304" i="70"/>
  <c r="R300" i="69"/>
  <c r="R308" i="69" s="1"/>
  <c r="U252" i="69"/>
  <c r="HM26" i="70" s="1"/>
  <c r="S289" i="69"/>
  <c r="IH24" i="69" s="1"/>
  <c r="S285" i="70"/>
  <c r="W286" i="69" a="1"/>
  <c r="W286" i="69" s="1"/>
  <c r="W287" i="69" s="1"/>
  <c r="HZ28" i="69" s="1"/>
  <c r="V287" i="69"/>
  <c r="HZ27" i="69" s="1"/>
  <c r="T306" i="70"/>
  <c r="T302" i="69"/>
  <c r="T310" i="69" s="1"/>
  <c r="T249" i="70"/>
  <c r="T253" i="69"/>
  <c r="IE25" i="69" s="1"/>
  <c r="U279" i="69"/>
  <c r="U281" i="69"/>
  <c r="U282" i="69" s="1"/>
  <c r="U283" i="69" s="1"/>
  <c r="U314" i="69"/>
  <c r="U278" i="69"/>
  <c r="S255" i="69"/>
  <c r="S254" i="69"/>
  <c r="S312" i="69"/>
  <c r="S257" i="69"/>
  <c r="S258" i="69" s="1"/>
  <c r="S259" i="69" s="1"/>
  <c r="S299" i="69"/>
  <c r="W251" i="69"/>
  <c r="HN28" i="69" s="1"/>
  <c r="X250" i="69" a="1"/>
  <c r="X250" i="69" s="1"/>
  <c r="U288" i="69"/>
  <c r="HY26" i="70" s="1"/>
  <c r="V277" i="69"/>
  <c r="IG27" i="69" s="1"/>
  <c r="V273" i="70"/>
  <c r="K31" i="77"/>
  <c r="RF10" i="79" s="1"/>
  <c r="I132" i="57"/>
  <c r="MT10" i="79" s="1"/>
  <c r="AD22" i="57"/>
  <c r="AD21" i="57"/>
  <c r="L27" i="57"/>
  <c r="EB10" i="79" s="1"/>
  <c r="DH10" i="79"/>
  <c r="AE22" i="57"/>
  <c r="DS10" i="79" s="1"/>
  <c r="K32" i="77"/>
  <c r="RG10" i="79" s="1"/>
  <c r="W32" i="77"/>
  <c r="VG10" i="79" s="1"/>
  <c r="Q31" i="77"/>
  <c r="TF10" i="79" s="1"/>
  <c r="Q32" i="77"/>
  <c r="TG10" i="79" s="1"/>
  <c r="W31" i="77"/>
  <c r="VF10" i="79" s="1"/>
  <c r="F120" i="57"/>
  <c r="LT10" i="79" s="1"/>
  <c r="L120" i="57"/>
  <c r="LV10" i="79" s="1"/>
  <c r="O120" i="57"/>
  <c r="LW10" i="79" s="1"/>
  <c r="O130" i="57"/>
  <c r="ML10" i="79" s="1"/>
  <c r="R128" i="57"/>
  <c r="MC10" i="79" s="1"/>
  <c r="O129" i="57"/>
  <c r="MG10" i="79" s="1"/>
  <c r="R129" i="57"/>
  <c r="MH10" i="79" s="1"/>
  <c r="O128" i="57"/>
  <c r="MB10" i="79" s="1"/>
  <c r="O137" i="57"/>
  <c r="NA10" i="79" s="1"/>
  <c r="R130" i="57"/>
  <c r="MM10" i="79" s="1"/>
  <c r="L137" i="57"/>
  <c r="MZ10" i="79" s="1"/>
  <c r="L130" i="57"/>
  <c r="MK10" i="79" s="1"/>
  <c r="L128" i="57"/>
  <c r="MA10" i="79" s="1"/>
  <c r="R137" i="57"/>
  <c r="NB10" i="79" s="1"/>
  <c r="L129" i="57"/>
  <c r="MF10" i="79" s="1"/>
  <c r="F130" i="57"/>
  <c r="MI10" i="79" s="1"/>
  <c r="F128" i="57"/>
  <c r="LY10" i="79" s="1"/>
  <c r="F137" i="57"/>
  <c r="MX10" i="79" s="1"/>
  <c r="F129" i="57"/>
  <c r="MD10" i="79" s="1"/>
  <c r="V23" i="46"/>
  <c r="U10" i="79" s="1"/>
  <c r="AF23" i="46"/>
  <c r="V10" i="79" s="1"/>
  <c r="W305" i="70"/>
  <c r="W301" i="69"/>
  <c r="W309" i="69" s="1"/>
  <c r="W270" i="69"/>
  <c r="W271" i="69" s="1"/>
  <c r="AI4" i="46"/>
  <c r="Y4" i="46"/>
  <c r="W277" i="69" l="1"/>
  <c r="IG28" i="69" s="1"/>
  <c r="HU28" i="70"/>
  <c r="T289" i="69"/>
  <c r="IH25" i="69" s="1"/>
  <c r="HY25" i="70"/>
  <c r="HP28" i="69"/>
  <c r="HO28" i="69"/>
  <c r="IB27" i="69"/>
  <c r="IA27" i="69"/>
  <c r="HV29" i="69"/>
  <c r="HT34" i="69"/>
  <c r="HS34" i="69"/>
  <c r="IA28" i="69"/>
  <c r="IB28" i="69"/>
  <c r="LS10" i="79"/>
  <c r="LR10" i="79"/>
  <c r="X261" i="70"/>
  <c r="X265" i="69"/>
  <c r="IF29" i="69" s="1"/>
  <c r="Y264" i="69"/>
  <c r="HQ30" i="70" s="1"/>
  <c r="V305" i="70"/>
  <c r="V301" i="69"/>
  <c r="V309" i="69" s="1"/>
  <c r="T285" i="70"/>
  <c r="LQ10" i="79"/>
  <c r="W273" i="70"/>
  <c r="AL27" i="46"/>
  <c r="AM10" i="79" s="1"/>
  <c r="AL10" i="79"/>
  <c r="AL26" i="46"/>
  <c r="AI10" i="79" s="1"/>
  <c r="AH10" i="79"/>
  <c r="AD262" i="69" a="1"/>
  <c r="AD262" i="69" s="1"/>
  <c r="AD263" i="69" s="1"/>
  <c r="HR35" i="69" s="1"/>
  <c r="Y274" i="69" a="1"/>
  <c r="Y274" i="69" s="1"/>
  <c r="Y275" i="69" s="1"/>
  <c r="U289" i="69"/>
  <c r="IH26" i="69" s="1"/>
  <c r="U285" i="70"/>
  <c r="S304" i="70"/>
  <c r="S300" i="69"/>
  <c r="S308" i="69" s="1"/>
  <c r="X286" i="69" a="1"/>
  <c r="X286" i="69" s="1"/>
  <c r="S291" i="69"/>
  <c r="S293" i="69"/>
  <c r="S294" i="69" s="1"/>
  <c r="S295" i="69" s="1"/>
  <c r="S290" i="69"/>
  <c r="S315" i="69"/>
  <c r="V252" i="69"/>
  <c r="HM27" i="70" s="1"/>
  <c r="U249" i="70"/>
  <c r="U253" i="69"/>
  <c r="IE26" i="69" s="1"/>
  <c r="X251" i="69"/>
  <c r="HN29" i="69" s="1"/>
  <c r="Y250" i="69" a="1"/>
  <c r="Y250" i="69" s="1"/>
  <c r="V288" i="69"/>
  <c r="HY27" i="70" s="1"/>
  <c r="R303" i="69"/>
  <c r="R311" i="69" s="1"/>
  <c r="R307" i="70"/>
  <c r="V314" i="69"/>
  <c r="V281" i="69"/>
  <c r="V282" i="69" s="1"/>
  <c r="V283" i="69" s="1"/>
  <c r="V279" i="69"/>
  <c r="V278" i="69"/>
  <c r="U306" i="70"/>
  <c r="U302" i="69"/>
  <c r="U310" i="69" s="1"/>
  <c r="T293" i="69"/>
  <c r="T294" i="69" s="1"/>
  <c r="T295" i="69" s="1"/>
  <c r="T315" i="69"/>
  <c r="T291" i="69"/>
  <c r="T290" i="69"/>
  <c r="T255" i="69"/>
  <c r="T257" i="69"/>
  <c r="T258" i="69" s="1"/>
  <c r="T259" i="69" s="1"/>
  <c r="T299" i="69"/>
  <c r="T312" i="69"/>
  <c r="T254" i="69"/>
  <c r="W281" i="69"/>
  <c r="W282" i="69" s="1"/>
  <c r="W283" i="69" s="1"/>
  <c r="W279" i="69"/>
  <c r="W278" i="69"/>
  <c r="W314" i="69"/>
  <c r="PY10" i="79"/>
  <c r="DQ10" i="79"/>
  <c r="AD23" i="57"/>
  <c r="DR10" i="79" s="1"/>
  <c r="AE23" i="57"/>
  <c r="DT10" i="79" s="1"/>
  <c r="RY10" i="79"/>
  <c r="W39" i="77"/>
  <c r="VN10" i="79" s="1"/>
  <c r="SF10" i="79"/>
  <c r="K39" i="77"/>
  <c r="RN10" i="79" s="1"/>
  <c r="K37" i="77"/>
  <c r="RL10" i="79" s="1"/>
  <c r="W37" i="77"/>
  <c r="VL10" i="79" s="1"/>
  <c r="Q39" i="77"/>
  <c r="TN10" i="79" s="1"/>
  <c r="Q37" i="77"/>
  <c r="TL10" i="79" s="1"/>
  <c r="HX29" i="69" l="1"/>
  <c r="HW29" i="69"/>
  <c r="X276" i="69"/>
  <c r="HU29" i="70" s="1"/>
  <c r="HP29" i="69"/>
  <c r="HO29" i="69"/>
  <c r="HV30" i="69"/>
  <c r="HT35" i="69"/>
  <c r="HS35" i="69"/>
  <c r="X266" i="69"/>
  <c r="X269" i="69"/>
  <c r="X270" i="69" s="1"/>
  <c r="X271" i="69" s="1"/>
  <c r="X313" i="69"/>
  <c r="X267" i="69"/>
  <c r="Z264" i="69"/>
  <c r="HQ31" i="70" s="1"/>
  <c r="Y261" i="70"/>
  <c r="Y265" i="69"/>
  <c r="IF30" i="69" s="1"/>
  <c r="W252" i="69"/>
  <c r="LL10" i="79"/>
  <c r="Z274" i="69" a="1"/>
  <c r="Z274" i="69" s="1"/>
  <c r="AA274" i="69" s="1" a="1"/>
  <c r="AA274" i="69" s="1"/>
  <c r="AA275" i="69" s="1"/>
  <c r="AE262" i="69" a="1"/>
  <c r="AE262" i="69" s="1"/>
  <c r="AE263" i="69" s="1"/>
  <c r="HR36" i="69" s="1"/>
  <c r="W288" i="69"/>
  <c r="HY28" i="70" s="1"/>
  <c r="U254" i="69"/>
  <c r="U257" i="69"/>
  <c r="U258" i="69" s="1"/>
  <c r="U259" i="69" s="1"/>
  <c r="U255" i="69"/>
  <c r="U299" i="69"/>
  <c r="U312" i="69"/>
  <c r="W306" i="70"/>
  <c r="W302" i="69"/>
  <c r="W310" i="69" s="1"/>
  <c r="S307" i="70"/>
  <c r="S303" i="69"/>
  <c r="S311" i="69" s="1"/>
  <c r="T307" i="70"/>
  <c r="T303" i="69"/>
  <c r="T311" i="69" s="1"/>
  <c r="V306" i="70"/>
  <c r="V302" i="69"/>
  <c r="V310" i="69" s="1"/>
  <c r="X287" i="69"/>
  <c r="HZ29" i="69" s="1"/>
  <c r="Y286" i="69" a="1"/>
  <c r="Y286" i="69" s="1"/>
  <c r="V249" i="70"/>
  <c r="V253" i="69"/>
  <c r="IE27" i="69" s="1"/>
  <c r="V289" i="69"/>
  <c r="IH27" i="69" s="1"/>
  <c r="V285" i="70"/>
  <c r="Y251" i="69"/>
  <c r="HN30" i="69" s="1"/>
  <c r="Z250" i="69" a="1"/>
  <c r="Z250" i="69" s="1"/>
  <c r="U290" i="69"/>
  <c r="U291" i="69"/>
  <c r="U315" i="69"/>
  <c r="U293" i="69"/>
  <c r="U294" i="69" s="1"/>
  <c r="U295" i="69" s="1"/>
  <c r="T300" i="69"/>
  <c r="T308" i="69" s="1"/>
  <c r="T304" i="70"/>
  <c r="M17" i="77"/>
  <c r="QF10" i="79"/>
  <c r="RZ10" i="79"/>
  <c r="PZ10" i="79"/>
  <c r="S37" i="77"/>
  <c r="M37" i="77"/>
  <c r="Y37" i="77"/>
  <c r="S17" i="77"/>
  <c r="A3" i="52"/>
  <c r="A4" i="52"/>
  <c r="A5" i="52"/>
  <c r="A6" i="52"/>
  <c r="A7" i="52"/>
  <c r="A8" i="52"/>
  <c r="A12" i="52"/>
  <c r="A9" i="52"/>
  <c r="A10" i="52"/>
  <c r="W253" i="69" l="1"/>
  <c r="IE28" i="69" s="1"/>
  <c r="HM28" i="70"/>
  <c r="HP30" i="69"/>
  <c r="HO30" i="69"/>
  <c r="HS36" i="69"/>
  <c r="HT36" i="69"/>
  <c r="HX30" i="69"/>
  <c r="HW30" i="69"/>
  <c r="IB29" i="69"/>
  <c r="IA29" i="69"/>
  <c r="Y276" i="69"/>
  <c r="HU30" i="70" s="1"/>
  <c r="X277" i="69"/>
  <c r="X273" i="70"/>
  <c r="X305" i="70"/>
  <c r="X301" i="69"/>
  <c r="X309" i="69" s="1"/>
  <c r="Y313" i="69"/>
  <c r="Y267" i="69"/>
  <c r="Y269" i="69"/>
  <c r="Y270" i="69" s="1"/>
  <c r="Y271" i="69" s="1"/>
  <c r="Y266" i="69"/>
  <c r="Z261" i="70"/>
  <c r="Z265" i="69"/>
  <c r="IF31" i="69" s="1"/>
  <c r="AA264" i="69"/>
  <c r="HQ32" i="70" s="1"/>
  <c r="X252" i="69"/>
  <c r="W249" i="70"/>
  <c r="LM10" i="79"/>
  <c r="AB274" i="69" a="1"/>
  <c r="AB274" i="69" s="1"/>
  <c r="AB275" i="69" s="1"/>
  <c r="AF262" i="69" a="1"/>
  <c r="AF262" i="69" s="1"/>
  <c r="AF263" i="69" s="1"/>
  <c r="HR37" i="69" s="1"/>
  <c r="Z275" i="69"/>
  <c r="HV31" i="69" s="1"/>
  <c r="HV32" i="69" s="1"/>
  <c r="U307" i="70"/>
  <c r="U303" i="69"/>
  <c r="U311" i="69" s="1"/>
  <c r="Z251" i="69"/>
  <c r="HN31" i="69" s="1"/>
  <c r="AA250" i="69" a="1"/>
  <c r="AA250" i="69" s="1"/>
  <c r="W289" i="69"/>
  <c r="IH28" i="69" s="1"/>
  <c r="W285" i="70"/>
  <c r="V290" i="69"/>
  <c r="V293" i="69"/>
  <c r="V294" i="69" s="1"/>
  <c r="V295" i="69" s="1"/>
  <c r="V315" i="69"/>
  <c r="V291" i="69"/>
  <c r="Y287" i="69"/>
  <c r="HZ30" i="69" s="1"/>
  <c r="Z286" i="69" a="1"/>
  <c r="Z286" i="69" s="1"/>
  <c r="Z287" i="69" s="1"/>
  <c r="HZ31" i="69" s="1"/>
  <c r="U304" i="70"/>
  <c r="U300" i="69"/>
  <c r="U308" i="69" s="1"/>
  <c r="V312" i="69"/>
  <c r="V257" i="69"/>
  <c r="V258" i="69" s="1"/>
  <c r="V259" i="69" s="1"/>
  <c r="V299" i="69"/>
  <c r="V254" i="69"/>
  <c r="V255" i="69"/>
  <c r="X288" i="69"/>
  <c r="HY29" i="70" s="1"/>
  <c r="W312" i="69"/>
  <c r="W299" i="69"/>
  <c r="W257" i="69"/>
  <c r="W258" i="69" s="1"/>
  <c r="W259" i="69" s="1"/>
  <c r="W255" i="69"/>
  <c r="W254" i="69"/>
  <c r="I111" i="57"/>
  <c r="LF10" i="79" s="1"/>
  <c r="F111" i="57"/>
  <c r="X249" i="70" l="1"/>
  <c r="HM29" i="70"/>
  <c r="HW32" i="69"/>
  <c r="HX32" i="69"/>
  <c r="IG29" i="69"/>
  <c r="X281" i="69"/>
  <c r="X282" i="69" s="1"/>
  <c r="X283" i="69" s="1"/>
  <c r="X314" i="69"/>
  <c r="X279" i="69"/>
  <c r="X278" i="69"/>
  <c r="Y273" i="70"/>
  <c r="Y277" i="69"/>
  <c r="IB31" i="69"/>
  <c r="IA31" i="69"/>
  <c r="HP31" i="69"/>
  <c r="HO31" i="69"/>
  <c r="IB30" i="69"/>
  <c r="IA30" i="69"/>
  <c r="HX31" i="69"/>
  <c r="HW31" i="69"/>
  <c r="HT37" i="69"/>
  <c r="HS37" i="69"/>
  <c r="HV33" i="69"/>
  <c r="LN10" i="79"/>
  <c r="Z313" i="69"/>
  <c r="Z269" i="69"/>
  <c r="Z270" i="69" s="1"/>
  <c r="Z271" i="69" s="1"/>
  <c r="Z266" i="69"/>
  <c r="Z267" i="69"/>
  <c r="AB264" i="69"/>
  <c r="HQ33" i="70" s="1"/>
  <c r="Y301" i="69"/>
  <c r="Y309" i="69" s="1"/>
  <c r="Y305" i="70"/>
  <c r="AA265" i="69"/>
  <c r="IF32" i="69" s="1"/>
  <c r="AA261" i="70"/>
  <c r="Y252" i="69"/>
  <c r="X253" i="69"/>
  <c r="Z276" i="69"/>
  <c r="AC274" i="69" a="1"/>
  <c r="AC274" i="69" s="1"/>
  <c r="AC275" i="69" s="1"/>
  <c r="HV34" i="69" s="1"/>
  <c r="AG262" i="69" a="1"/>
  <c r="AG262" i="69" s="1"/>
  <c r="AG263" i="69" s="1"/>
  <c r="HR38" i="69" s="1"/>
  <c r="AA251" i="69"/>
  <c r="HN32" i="69" s="1"/>
  <c r="AB250" i="69" a="1"/>
  <c r="AB250" i="69" s="1"/>
  <c r="Z288" i="69"/>
  <c r="V303" i="69"/>
  <c r="V311" i="69" s="1"/>
  <c r="V307" i="70"/>
  <c r="W315" i="69"/>
  <c r="W293" i="69"/>
  <c r="W294" i="69" s="1"/>
  <c r="W295" i="69" s="1"/>
  <c r="W290" i="69"/>
  <c r="W291" i="69"/>
  <c r="X289" i="69"/>
  <c r="IH29" i="69" s="1"/>
  <c r="X285" i="70"/>
  <c r="W304" i="70"/>
  <c r="W300" i="69"/>
  <c r="W308" i="69" s="1"/>
  <c r="V300" i="69"/>
  <c r="V308" i="69" s="1"/>
  <c r="V304" i="70"/>
  <c r="Y288" i="69"/>
  <c r="HY30" i="70" s="1"/>
  <c r="AA286" i="69" a="1"/>
  <c r="AA286" i="69" s="1"/>
  <c r="AA287" i="69" s="1"/>
  <c r="HZ32" i="69" s="1"/>
  <c r="Z277" i="69" l="1"/>
  <c r="IG31" i="69" s="1"/>
  <c r="HU31" i="70"/>
  <c r="Y249" i="70"/>
  <c r="HM30" i="70"/>
  <c r="Z289" i="69"/>
  <c r="IH31" i="69" s="1"/>
  <c r="HY31" i="70"/>
  <c r="HX34" i="69"/>
  <c r="HW34" i="69"/>
  <c r="IG30" i="69"/>
  <c r="Y278" i="69"/>
  <c r="Y281" i="69"/>
  <c r="Y282" i="69" s="1"/>
  <c r="Y283" i="69" s="1"/>
  <c r="Y279" i="69"/>
  <c r="Y314" i="69"/>
  <c r="HX33" i="69"/>
  <c r="HW33" i="69"/>
  <c r="HT38" i="69"/>
  <c r="HS38" i="69"/>
  <c r="IB32" i="69"/>
  <c r="IA32" i="69"/>
  <c r="X306" i="70"/>
  <c r="X302" i="69"/>
  <c r="X310" i="69" s="1"/>
  <c r="HP32" i="69"/>
  <c r="HO32" i="69"/>
  <c r="X312" i="69"/>
  <c r="IE29" i="69"/>
  <c r="Y253" i="69"/>
  <c r="IE30" i="69" s="1"/>
  <c r="X257" i="69"/>
  <c r="X258" i="69" s="1"/>
  <c r="X259" i="69" s="1"/>
  <c r="X255" i="69"/>
  <c r="X300" i="69" s="1"/>
  <c r="X254" i="69"/>
  <c r="X299" i="69"/>
  <c r="AB265" i="69"/>
  <c r="IF33" i="69" s="1"/>
  <c r="AB261" i="70"/>
  <c r="AA313" i="69"/>
  <c r="AA267" i="69"/>
  <c r="AA266" i="69"/>
  <c r="AA269" i="69"/>
  <c r="AA270" i="69" s="1"/>
  <c r="AA271" i="69" s="1"/>
  <c r="Z305" i="70"/>
  <c r="Z301" i="69"/>
  <c r="Z309" i="69" s="1"/>
  <c r="AC264" i="69"/>
  <c r="HQ34" i="70" s="1"/>
  <c r="Z252" i="69"/>
  <c r="Z273" i="70"/>
  <c r="AA276" i="69"/>
  <c r="AB276" i="69"/>
  <c r="AD274" i="69" a="1"/>
  <c r="AD274" i="69" s="1"/>
  <c r="AD275" i="69" s="1"/>
  <c r="HV35" i="69" s="1"/>
  <c r="Z285" i="70"/>
  <c r="AH262" i="69" a="1"/>
  <c r="AH262" i="69" s="1"/>
  <c r="AH263" i="69" s="1"/>
  <c r="HR39" i="69" s="1"/>
  <c r="IH32" i="69"/>
  <c r="AA288" i="69"/>
  <c r="W303" i="69"/>
  <c r="W311" i="69" s="1"/>
  <c r="W307" i="70"/>
  <c r="Z278" i="69"/>
  <c r="Z279" i="69"/>
  <c r="Z281" i="69"/>
  <c r="Z282" i="69" s="1"/>
  <c r="Z283" i="69" s="1"/>
  <c r="Z314" i="69"/>
  <c r="AB286" i="69" a="1"/>
  <c r="AB286" i="69" s="1"/>
  <c r="Y289" i="69"/>
  <c r="IH30" i="69" s="1"/>
  <c r="Y285" i="70"/>
  <c r="X315" i="69"/>
  <c r="X291" i="69"/>
  <c r="X293" i="69"/>
  <c r="X294" i="69" s="1"/>
  <c r="X295" i="69" s="1"/>
  <c r="X290" i="69"/>
  <c r="AB251" i="69"/>
  <c r="HN33" i="69" s="1"/>
  <c r="AC250" i="69" a="1"/>
  <c r="AC250" i="69" s="1"/>
  <c r="Z291" i="69"/>
  <c r="Z290" i="69"/>
  <c r="Z315" i="69"/>
  <c r="Z293" i="69"/>
  <c r="R131" i="57"/>
  <c r="MR10" i="79" s="1"/>
  <c r="O131" i="57"/>
  <c r="MQ10" i="79" s="1"/>
  <c r="L131" i="57"/>
  <c r="MP10" i="79" s="1"/>
  <c r="F131" i="57"/>
  <c r="MN10" i="79" s="1"/>
  <c r="AA289" i="69" l="1"/>
  <c r="HY32" i="70"/>
  <c r="AB277" i="69"/>
  <c r="IG33" i="69" s="1"/>
  <c r="HU33" i="70"/>
  <c r="AA273" i="70"/>
  <c r="HU32" i="70"/>
  <c r="Z253" i="69"/>
  <c r="IE31" i="69" s="1"/>
  <c r="HM31" i="70"/>
  <c r="Y312" i="69"/>
  <c r="Y299" i="69"/>
  <c r="Y254" i="69"/>
  <c r="Y257" i="69"/>
  <c r="Y258" i="69" s="1"/>
  <c r="Y259" i="69" s="1"/>
  <c r="Y302" i="69"/>
  <c r="Y310" i="69" s="1"/>
  <c r="Y306" i="70"/>
  <c r="HT39" i="69"/>
  <c r="HS39" i="69"/>
  <c r="HX35" i="69"/>
  <c r="HW35" i="69"/>
  <c r="HP33" i="69"/>
  <c r="HO33" i="69"/>
  <c r="Y255" i="69"/>
  <c r="Y304" i="70" s="1"/>
  <c r="X308" i="69"/>
  <c r="AD276" i="69"/>
  <c r="X304" i="70"/>
  <c r="Z249" i="70"/>
  <c r="AB252" i="69"/>
  <c r="HM33" i="70" s="1"/>
  <c r="AA252" i="69"/>
  <c r="AA305" i="70"/>
  <c r="AA301" i="69"/>
  <c r="AA309" i="69" s="1"/>
  <c r="AD264" i="69"/>
  <c r="HQ35" i="70" s="1"/>
  <c r="AC265" i="69"/>
  <c r="IF34" i="69" s="1"/>
  <c r="AC261" i="70"/>
  <c r="AB313" i="69"/>
  <c r="AB267" i="69"/>
  <c r="AB266" i="69"/>
  <c r="AB269" i="69"/>
  <c r="AB270" i="69" s="1"/>
  <c r="AB271" i="69" s="1"/>
  <c r="AA277" i="69"/>
  <c r="AC276" i="69"/>
  <c r="AA285" i="70"/>
  <c r="AB273" i="70"/>
  <c r="AI262" i="69" a="1"/>
  <c r="AI262" i="69" s="1"/>
  <c r="AI263" i="69" s="1"/>
  <c r="HR40" i="69" s="1"/>
  <c r="AE274" i="69" a="1"/>
  <c r="AE274" i="69" s="1"/>
  <c r="AE275" i="69" s="1"/>
  <c r="HV36" i="69" s="1"/>
  <c r="AC251" i="69"/>
  <c r="HN34" i="69" s="1"/>
  <c r="AD250" i="69" a="1"/>
  <c r="AD250" i="69" s="1"/>
  <c r="Y293" i="69"/>
  <c r="Y294" i="69" s="1"/>
  <c r="Y295" i="69" s="1"/>
  <c r="Y315" i="69"/>
  <c r="Y290" i="69"/>
  <c r="Y291" i="69"/>
  <c r="X307" i="70"/>
  <c r="X303" i="69"/>
  <c r="X311" i="69" s="1"/>
  <c r="AC286" i="69" a="1"/>
  <c r="AC286" i="69" s="1"/>
  <c r="AC287" i="69" s="1"/>
  <c r="HZ34" i="69" s="1"/>
  <c r="AB287" i="69"/>
  <c r="HZ33" i="69" s="1"/>
  <c r="Z302" i="69"/>
  <c r="Z310" i="69" s="1"/>
  <c r="Z306" i="70"/>
  <c r="R132" i="57"/>
  <c r="F132" i="57"/>
  <c r="MS10" i="79" s="1"/>
  <c r="L132" i="57"/>
  <c r="MU10" i="79" s="1"/>
  <c r="O132" i="57"/>
  <c r="MV10" i="79" s="1"/>
  <c r="Z294" i="69"/>
  <c r="Z295" i="69" s="1"/>
  <c r="AA315" i="69"/>
  <c r="AA290" i="69"/>
  <c r="AA293" i="69"/>
  <c r="AA291" i="69"/>
  <c r="Z303" i="69"/>
  <c r="Z311" i="69" s="1"/>
  <c r="Z307" i="70"/>
  <c r="A2" i="52"/>
  <c r="A11" i="52"/>
  <c r="A15" i="52"/>
  <c r="A14" i="52"/>
  <c r="A13" i="52"/>
  <c r="A16" i="52"/>
  <c r="A17" i="52"/>
  <c r="A18" i="52"/>
  <c r="AB281" i="69" l="1"/>
  <c r="AB282" i="69" s="1"/>
  <c r="AB283" i="69" s="1"/>
  <c r="AB279" i="69"/>
  <c r="AB278" i="69"/>
  <c r="AB314" i="69"/>
  <c r="Z257" i="69"/>
  <c r="Z258" i="69" s="1"/>
  <c r="Z259" i="69" s="1"/>
  <c r="Z299" i="69"/>
  <c r="Z255" i="69"/>
  <c r="Z304" i="70" s="1"/>
  <c r="Z312" i="69"/>
  <c r="Z254" i="69"/>
  <c r="AD273" i="70"/>
  <c r="HU35" i="70"/>
  <c r="AA249" i="70"/>
  <c r="HM32" i="70"/>
  <c r="AC273" i="70"/>
  <c r="HU34" i="70"/>
  <c r="Y300" i="69"/>
  <c r="Y308" i="69" s="1"/>
  <c r="HP34" i="69"/>
  <c r="HO34" i="69"/>
  <c r="HX36" i="69"/>
  <c r="HW36" i="69"/>
  <c r="HT40" i="69"/>
  <c r="HS40" i="69"/>
  <c r="IB33" i="69"/>
  <c r="IA33" i="69"/>
  <c r="IB34" i="69"/>
  <c r="IA34" i="69"/>
  <c r="AA278" i="69"/>
  <c r="IG32" i="69"/>
  <c r="AD277" i="69"/>
  <c r="AD314" i="69" s="1"/>
  <c r="MW10" i="79"/>
  <c r="AC252" i="69"/>
  <c r="HM34" i="70" s="1"/>
  <c r="AA253" i="69"/>
  <c r="AA279" i="69"/>
  <c r="AA302" i="69" s="1"/>
  <c r="AA310" i="69" s="1"/>
  <c r="AA281" i="69"/>
  <c r="AA282" i="69" s="1"/>
  <c r="AA283" i="69" s="1"/>
  <c r="AA314" i="69"/>
  <c r="AC313" i="69"/>
  <c r="AC267" i="69"/>
  <c r="AC266" i="69"/>
  <c r="AC269" i="69"/>
  <c r="AC270" i="69" s="1"/>
  <c r="AC271" i="69" s="1"/>
  <c r="AD265" i="69"/>
  <c r="IF35" i="69" s="1"/>
  <c r="AD261" i="70"/>
  <c r="AB301" i="69"/>
  <c r="AB309" i="69" s="1"/>
  <c r="AB305" i="70"/>
  <c r="AE264" i="69"/>
  <c r="HQ36" i="70" s="1"/>
  <c r="AC277" i="69"/>
  <c r="AF274" i="69" a="1"/>
  <c r="AF274" i="69" s="1"/>
  <c r="AF275" i="69" s="1"/>
  <c r="HV37" i="69" s="1"/>
  <c r="AJ262" i="69" a="1"/>
  <c r="AJ262" i="69" s="1"/>
  <c r="AJ263" i="69" s="1"/>
  <c r="HR41" i="69" s="1"/>
  <c r="AE276" i="69"/>
  <c r="HU36" i="70" s="1"/>
  <c r="Y307" i="70"/>
  <c r="Y303" i="69"/>
  <c r="Y311" i="69" s="1"/>
  <c r="AD251" i="69"/>
  <c r="HN35" i="69" s="1"/>
  <c r="AE250" i="69" a="1"/>
  <c r="AE250" i="69" s="1"/>
  <c r="Z300" i="69"/>
  <c r="Z308" i="69" s="1"/>
  <c r="AB288" i="69"/>
  <c r="HY33" i="70" s="1"/>
  <c r="AB306" i="70"/>
  <c r="AB302" i="69"/>
  <c r="AB310" i="69" s="1"/>
  <c r="AB249" i="70"/>
  <c r="AB253" i="69"/>
  <c r="IE33" i="69" s="1"/>
  <c r="AD286" i="69" a="1"/>
  <c r="AD286" i="69" s="1"/>
  <c r="AD287" i="69" s="1"/>
  <c r="HZ35" i="69" s="1"/>
  <c r="Q38" i="77"/>
  <c r="TM10" i="79" s="1"/>
  <c r="K38" i="77"/>
  <c r="RM10" i="79" s="1"/>
  <c r="W38" i="77"/>
  <c r="VM10" i="79" s="1"/>
  <c r="AA294" i="69"/>
  <c r="AA295" i="69" s="1"/>
  <c r="AA307" i="70"/>
  <c r="AA303" i="69"/>
  <c r="AA311" i="69" s="1"/>
  <c r="AD281" i="69" l="1"/>
  <c r="AD282" i="69" s="1"/>
  <c r="AD283" i="69" s="1"/>
  <c r="IB35" i="69"/>
  <c r="IA35" i="69"/>
  <c r="HT41" i="69"/>
  <c r="HS41" i="69"/>
  <c r="HX37" i="69"/>
  <c r="HW37" i="69"/>
  <c r="HP35" i="69"/>
  <c r="HO35" i="69"/>
  <c r="AC281" i="69"/>
  <c r="AC282" i="69" s="1"/>
  <c r="AC283" i="69" s="1"/>
  <c r="IG34" i="69"/>
  <c r="AA312" i="69"/>
  <c r="IE32" i="69"/>
  <c r="IG35" i="69"/>
  <c r="AD279" i="69"/>
  <c r="AD302" i="69" s="1"/>
  <c r="AD310" i="69" s="1"/>
  <c r="AD278" i="69"/>
  <c r="AA299" i="69"/>
  <c r="AC288" i="69"/>
  <c r="IH34" i="69"/>
  <c r="AA254" i="69"/>
  <c r="AC279" i="69"/>
  <c r="AC302" i="69" s="1"/>
  <c r="AA306" i="70"/>
  <c r="AA255" i="69"/>
  <c r="AA300" i="69" s="1"/>
  <c r="AA308" i="69" s="1"/>
  <c r="AA257" i="69"/>
  <c r="AA258" i="69" s="1"/>
  <c r="AA259" i="69" s="1"/>
  <c r="AC314" i="69"/>
  <c r="AC278" i="69"/>
  <c r="AE265" i="69"/>
  <c r="IF36" i="69" s="1"/>
  <c r="AE261" i="70"/>
  <c r="AD266" i="69"/>
  <c r="AD267" i="69"/>
  <c r="AD269" i="69"/>
  <c r="AD270" i="69" s="1"/>
  <c r="AD271" i="69" s="1"/>
  <c r="AD313" i="69"/>
  <c r="AF264" i="69"/>
  <c r="HQ37" i="70" s="1"/>
  <c r="AC305" i="70"/>
  <c r="AC301" i="69"/>
  <c r="AC309" i="69" s="1"/>
  <c r="AG274" i="69" a="1"/>
  <c r="AG274" i="69" s="1"/>
  <c r="AH274" i="69" s="1" a="1"/>
  <c r="AH274" i="69" s="1"/>
  <c r="AH275" i="69" s="1"/>
  <c r="AK262" i="69" a="1"/>
  <c r="AK262" i="69" s="1"/>
  <c r="AK263" i="69" s="1"/>
  <c r="HR42" i="69" s="1"/>
  <c r="AE273" i="70"/>
  <c r="AE277" i="69"/>
  <c r="IG36" i="69" s="1"/>
  <c r="AF276" i="69"/>
  <c r="HU37" i="70" s="1"/>
  <c r="AE286" i="69" a="1"/>
  <c r="AE286" i="69" s="1"/>
  <c r="AE287" i="69" s="1"/>
  <c r="AD288" i="69"/>
  <c r="AC253" i="69"/>
  <c r="IE34" i="69" s="1"/>
  <c r="AC249" i="70"/>
  <c r="AE251" i="69"/>
  <c r="HN36" i="69" s="1"/>
  <c r="AF250" i="69" a="1"/>
  <c r="AF250" i="69" s="1"/>
  <c r="AB312" i="69"/>
  <c r="AB257" i="69"/>
  <c r="AB258" i="69" s="1"/>
  <c r="AB259" i="69" s="1"/>
  <c r="AB255" i="69"/>
  <c r="AB299" i="69"/>
  <c r="AB254" i="69"/>
  <c r="IH35" i="69"/>
  <c r="AB289" i="69"/>
  <c r="IH33" i="69" s="1"/>
  <c r="AB285" i="70"/>
  <c r="Y38" i="77"/>
  <c r="M38" i="77"/>
  <c r="S38" i="77"/>
  <c r="AD289" i="69" l="1"/>
  <c r="HY35" i="70"/>
  <c r="AC289" i="69"/>
  <c r="AC315" i="69" s="1"/>
  <c r="HY34" i="70"/>
  <c r="HT42" i="69"/>
  <c r="HS42" i="69"/>
  <c r="HZ36" i="69"/>
  <c r="HP36" i="69"/>
  <c r="HO36" i="69"/>
  <c r="AC310" i="69"/>
  <c r="AD306" i="70"/>
  <c r="AC285" i="70"/>
  <c r="AC306" i="70"/>
  <c r="AA304" i="70"/>
  <c r="AD252" i="69"/>
  <c r="AG264" i="69"/>
  <c r="HQ38" i="70" s="1"/>
  <c r="AD301" i="69"/>
  <c r="AD309" i="69" s="1"/>
  <c r="AD305" i="70"/>
  <c r="AF265" i="69"/>
  <c r="IF37" i="69" s="1"/>
  <c r="AF261" i="70"/>
  <c r="AE313" i="69"/>
  <c r="AE266" i="69"/>
  <c r="AE267" i="69"/>
  <c r="AE269" i="69"/>
  <c r="AE270" i="69" s="1"/>
  <c r="AE271" i="69" s="1"/>
  <c r="AD285" i="70"/>
  <c r="AL262" i="69" a="1"/>
  <c r="AL262" i="69" s="1"/>
  <c r="AL263" i="69" s="1"/>
  <c r="HR43" i="69" s="1"/>
  <c r="AG275" i="69"/>
  <c r="AF277" i="69"/>
  <c r="IG37" i="69" s="1"/>
  <c r="AF273" i="70"/>
  <c r="AF286" i="69" a="1"/>
  <c r="AF286" i="69" s="1"/>
  <c r="AG286" i="69" s="1" a="1"/>
  <c r="AG286" i="69" s="1"/>
  <c r="AG287" i="69" s="1"/>
  <c r="AE279" i="69"/>
  <c r="AE314" i="69"/>
  <c r="AE281" i="69"/>
  <c r="AE282" i="69" s="1"/>
  <c r="AE283" i="69" s="1"/>
  <c r="AE278" i="69"/>
  <c r="AB300" i="69"/>
  <c r="AB308" i="69" s="1"/>
  <c r="AB304" i="70"/>
  <c r="AC255" i="69"/>
  <c r="AC254" i="69"/>
  <c r="AC257" i="69"/>
  <c r="AC258" i="69" s="1"/>
  <c r="AC259" i="69" s="1"/>
  <c r="AC312" i="69"/>
  <c r="AC299" i="69"/>
  <c r="AB293" i="69"/>
  <c r="AB294" i="69" s="1"/>
  <c r="AB295" i="69" s="1"/>
  <c r="AB291" i="69"/>
  <c r="AB290" i="69"/>
  <c r="AB315" i="69"/>
  <c r="AF251" i="69"/>
  <c r="HN37" i="69" s="1"/>
  <c r="AG250" i="69" a="1"/>
  <c r="AG250" i="69" s="1"/>
  <c r="AI274" i="69" a="1"/>
  <c r="AI274" i="69" s="1"/>
  <c r="AI275" i="69" s="1"/>
  <c r="AD293" i="69"/>
  <c r="AD291" i="69"/>
  <c r="AD290" i="69"/>
  <c r="AD315" i="69"/>
  <c r="AC291" i="69" l="1"/>
  <c r="AC307" i="70" s="1"/>
  <c r="AC290" i="69"/>
  <c r="AD253" i="69"/>
  <c r="IE35" i="69" s="1"/>
  <c r="HM35" i="70"/>
  <c r="AC293" i="69"/>
  <c r="AC294" i="69" s="1"/>
  <c r="AC295" i="69" s="1"/>
  <c r="HP37" i="69"/>
  <c r="HO37" i="69"/>
  <c r="IB36" i="69"/>
  <c r="IA36" i="69"/>
  <c r="HV38" i="69"/>
  <c r="IG38" i="69" s="1"/>
  <c r="AE288" i="69"/>
  <c r="HY36" i="70" s="1"/>
  <c r="HT43" i="69"/>
  <c r="HS43" i="69"/>
  <c r="AE252" i="69"/>
  <c r="AD249" i="70"/>
  <c r="AF269" i="69"/>
  <c r="AF270" i="69" s="1"/>
  <c r="AF271" i="69" s="1"/>
  <c r="AF267" i="69"/>
  <c r="AF266" i="69"/>
  <c r="AF313" i="69"/>
  <c r="AE301" i="69"/>
  <c r="AE309" i="69" s="1"/>
  <c r="AE305" i="70"/>
  <c r="AH264" i="69"/>
  <c r="HQ39" i="70" s="1"/>
  <c r="AG265" i="69"/>
  <c r="IF38" i="69" s="1"/>
  <c r="AG261" i="70"/>
  <c r="AE306" i="70"/>
  <c r="AE302" i="69"/>
  <c r="AE310" i="69" s="1"/>
  <c r="AH286" i="69" a="1"/>
  <c r="AH286" i="69" s="1"/>
  <c r="AI286" i="69" s="1" a="1"/>
  <c r="AI286" i="69" s="1"/>
  <c r="AM262" i="69" a="1"/>
  <c r="AM262" i="69" s="1"/>
  <c r="AM263" i="69" s="1"/>
  <c r="HR44" i="69" s="1"/>
  <c r="AF314" i="69"/>
  <c r="AF281" i="69"/>
  <c r="AF282" i="69" s="1"/>
  <c r="AF283" i="69" s="1"/>
  <c r="AF279" i="69"/>
  <c r="AF278" i="69"/>
  <c r="AF287" i="69"/>
  <c r="HZ37" i="69" s="1"/>
  <c r="AB307" i="70"/>
  <c r="AB303" i="69"/>
  <c r="AB311" i="69" s="1"/>
  <c r="AG251" i="69"/>
  <c r="HN38" i="69" s="1"/>
  <c r="AH250" i="69" a="1"/>
  <c r="AH250" i="69" s="1"/>
  <c r="AC300" i="69"/>
  <c r="AC308" i="69" s="1"/>
  <c r="AC304" i="70"/>
  <c r="AJ274" i="69" a="1"/>
  <c r="AJ274" i="69" s="1"/>
  <c r="AD254" i="69"/>
  <c r="AD312" i="69"/>
  <c r="AD257" i="69"/>
  <c r="AD258" i="69" s="1"/>
  <c r="AD259" i="69" s="1"/>
  <c r="AD255" i="69"/>
  <c r="AD299" i="69"/>
  <c r="AD307" i="70"/>
  <c r="AD303" i="69"/>
  <c r="AD311" i="69" s="1"/>
  <c r="AD294" i="69"/>
  <c r="AD295" i="69" s="1"/>
  <c r="AC303" i="69" l="1"/>
  <c r="AC311" i="69" s="1"/>
  <c r="AE253" i="69"/>
  <c r="IE36" i="69" s="1"/>
  <c r="HM36" i="70"/>
  <c r="IB37" i="69"/>
  <c r="IA37" i="69"/>
  <c r="AE285" i="70"/>
  <c r="AE289" i="69"/>
  <c r="HX38" i="69"/>
  <c r="HW38" i="69"/>
  <c r="HV39" i="69"/>
  <c r="AG276" i="69"/>
  <c r="HU38" i="70" s="1"/>
  <c r="HT44" i="69"/>
  <c r="HS44" i="69"/>
  <c r="HZ38" i="69"/>
  <c r="HP38" i="69"/>
  <c r="HO38" i="69"/>
  <c r="AE249" i="70"/>
  <c r="AF252" i="69"/>
  <c r="AI264" i="69"/>
  <c r="HQ40" i="70" s="1"/>
  <c r="AG266" i="69"/>
  <c r="AG269" i="69"/>
  <c r="AG270" i="69" s="1"/>
  <c r="AG271" i="69" s="1"/>
  <c r="AG313" i="69"/>
  <c r="AG267" i="69"/>
  <c r="AH265" i="69"/>
  <c r="IF39" i="69" s="1"/>
  <c r="AH261" i="70"/>
  <c r="AF301" i="69"/>
  <c r="AF309" i="69" s="1"/>
  <c r="AF305" i="70"/>
  <c r="AH287" i="69"/>
  <c r="AF288" i="69"/>
  <c r="HY37" i="70" s="1"/>
  <c r="AF306" i="70"/>
  <c r="AF302" i="69"/>
  <c r="AF310" i="69" s="1"/>
  <c r="AN262" i="69" a="1"/>
  <c r="AN262" i="69" s="1"/>
  <c r="AN263" i="69" s="1"/>
  <c r="HR45" i="69" s="1"/>
  <c r="AK274" i="69" a="1"/>
  <c r="AK274" i="69" s="1"/>
  <c r="AK275" i="69" s="1"/>
  <c r="AJ275" i="69"/>
  <c r="AH251" i="69"/>
  <c r="HN39" i="69" s="1"/>
  <c r="AI250" i="69" a="1"/>
  <c r="AI250" i="69" s="1"/>
  <c r="AD300" i="69"/>
  <c r="AD308" i="69" s="1"/>
  <c r="AD304" i="70"/>
  <c r="AE257" i="69"/>
  <c r="AE258" i="69" s="1"/>
  <c r="AE259" i="69" s="1"/>
  <c r="AE299" i="69"/>
  <c r="AE312" i="69"/>
  <c r="AE254" i="69"/>
  <c r="AE255" i="69"/>
  <c r="AJ286" i="69" a="1"/>
  <c r="AJ286" i="69" s="1"/>
  <c r="AI287" i="69"/>
  <c r="AF249" i="70" l="1"/>
  <c r="HM37" i="70"/>
  <c r="HP39" i="69"/>
  <c r="HO39" i="69"/>
  <c r="IB38" i="69"/>
  <c r="IA38" i="69"/>
  <c r="AG277" i="69"/>
  <c r="AG273" i="70"/>
  <c r="HS45" i="69"/>
  <c r="HT45" i="69"/>
  <c r="HX39" i="69"/>
  <c r="HW39" i="69"/>
  <c r="HV40" i="69"/>
  <c r="HV41" i="69" s="1"/>
  <c r="IH36" i="69"/>
  <c r="AE291" i="69"/>
  <c r="AE293" i="69"/>
  <c r="AE294" i="69" s="1"/>
  <c r="AE295" i="69" s="1"/>
  <c r="AE315" i="69"/>
  <c r="AE290" i="69"/>
  <c r="HZ39" i="69"/>
  <c r="HZ40" i="69" s="1"/>
  <c r="AH276" i="69"/>
  <c r="AF253" i="69"/>
  <c r="AG252" i="69"/>
  <c r="AK264" i="69"/>
  <c r="HQ42" i="70" s="1"/>
  <c r="AI265" i="69"/>
  <c r="IF40" i="69" s="1"/>
  <c r="AI261" i="70"/>
  <c r="AH267" i="69"/>
  <c r="AH266" i="69"/>
  <c r="AH313" i="69"/>
  <c r="AH269" i="69"/>
  <c r="AH270" i="69" s="1"/>
  <c r="AH271" i="69" s="1"/>
  <c r="AG301" i="69"/>
  <c r="AG309" i="69" s="1"/>
  <c r="AG305" i="70"/>
  <c r="AJ264" i="69"/>
  <c r="HQ41" i="70" s="1"/>
  <c r="AO262" i="69" a="1"/>
  <c r="AO262" i="69" s="1"/>
  <c r="AO263" i="69" s="1"/>
  <c r="HR46" i="69" s="1"/>
  <c r="AG288" i="69"/>
  <c r="HY38" i="70" s="1"/>
  <c r="AF289" i="69"/>
  <c r="IH37" i="69" s="1"/>
  <c r="AF285" i="70"/>
  <c r="AL274" i="69" a="1"/>
  <c r="AL274" i="69" s="1"/>
  <c r="AI251" i="69"/>
  <c r="HN40" i="69" s="1"/>
  <c r="AJ250" i="69" a="1"/>
  <c r="AJ250" i="69" s="1"/>
  <c r="AE300" i="69"/>
  <c r="AE308" i="69" s="1"/>
  <c r="AE304" i="70"/>
  <c r="AK286" i="69" a="1"/>
  <c r="AK286" i="69" s="1"/>
  <c r="AJ287" i="69"/>
  <c r="HZ41" i="69" l="1"/>
  <c r="IB41" i="69" s="1"/>
  <c r="AG249" i="70"/>
  <c r="HM38" i="70"/>
  <c r="AH277" i="69"/>
  <c r="AH279" i="69" s="1"/>
  <c r="HU39" i="70"/>
  <c r="HX41" i="69"/>
  <c r="HW41" i="69"/>
  <c r="HV42" i="69"/>
  <c r="AJ276" i="69"/>
  <c r="HP40" i="69"/>
  <c r="HO40" i="69"/>
  <c r="IB40" i="69"/>
  <c r="IA40" i="69"/>
  <c r="IB39" i="69"/>
  <c r="IA39" i="69"/>
  <c r="AG281" i="69"/>
  <c r="AG282" i="69" s="1"/>
  <c r="AG283" i="69" s="1"/>
  <c r="AG314" i="69"/>
  <c r="AG278" i="69"/>
  <c r="AG279" i="69"/>
  <c r="AE307" i="70"/>
  <c r="AE303" i="69"/>
  <c r="AE311" i="69" s="1"/>
  <c r="IA41" i="69"/>
  <c r="AH278" i="69"/>
  <c r="HX40" i="69"/>
  <c r="HW40" i="69"/>
  <c r="AI276" i="69"/>
  <c r="HU40" i="70" s="1"/>
  <c r="HT46" i="69"/>
  <c r="HS46" i="69"/>
  <c r="AH273" i="70"/>
  <c r="AF257" i="69"/>
  <c r="AF258" i="69" s="1"/>
  <c r="AF259" i="69" s="1"/>
  <c r="IE37" i="69"/>
  <c r="AF255" i="69"/>
  <c r="AF304" i="70" s="1"/>
  <c r="AF254" i="69"/>
  <c r="AF299" i="69"/>
  <c r="AF312" i="69"/>
  <c r="AG253" i="69"/>
  <c r="AH252" i="69"/>
  <c r="AI252" i="69"/>
  <c r="HM40" i="70" s="1"/>
  <c r="AM264" i="69"/>
  <c r="HQ44" i="70" s="1"/>
  <c r="AJ265" i="69"/>
  <c r="IF41" i="69" s="1"/>
  <c r="AJ261" i="70"/>
  <c r="AH301" i="69"/>
  <c r="AH309" i="69" s="1"/>
  <c r="AH305" i="70"/>
  <c r="AI313" i="69"/>
  <c r="AI267" i="69"/>
  <c r="AI269" i="69"/>
  <c r="AI270" i="69" s="1"/>
  <c r="AI271" i="69" s="1"/>
  <c r="AI266" i="69"/>
  <c r="AL264" i="69"/>
  <c r="HQ43" i="70" s="1"/>
  <c r="AK265" i="69"/>
  <c r="IF42" i="69" s="1"/>
  <c r="AK261" i="70"/>
  <c r="AH288" i="69"/>
  <c r="HY39" i="70" s="1"/>
  <c r="AF315" i="69"/>
  <c r="AF290" i="69"/>
  <c r="AF291" i="69"/>
  <c r="AF293" i="69"/>
  <c r="AF294" i="69" s="1"/>
  <c r="AF295" i="69" s="1"/>
  <c r="AP262" i="69" a="1"/>
  <c r="AP262" i="69" s="1"/>
  <c r="AP263" i="69" s="1"/>
  <c r="HR47" i="69" s="1"/>
  <c r="AG285" i="70"/>
  <c r="AG289" i="69"/>
  <c r="IH38" i="69" s="1"/>
  <c r="AJ251" i="69"/>
  <c r="HN41" i="69" s="1"/>
  <c r="AK250" i="69" a="1"/>
  <c r="AK250" i="69" s="1"/>
  <c r="AL275" i="69"/>
  <c r="AM274" i="69" a="1"/>
  <c r="AM274" i="69" s="1"/>
  <c r="AM275" i="69" s="1"/>
  <c r="AL286" i="69" a="1"/>
  <c r="AL286" i="69" s="1"/>
  <c r="AK287" i="69"/>
  <c r="HZ42" i="69" s="1"/>
  <c r="HV43" i="69" l="1"/>
  <c r="HV44" i="69" s="1"/>
  <c r="AH314" i="69"/>
  <c r="AH302" i="69"/>
  <c r="AH310" i="69" s="1"/>
  <c r="AH306" i="70"/>
  <c r="AJ277" i="69"/>
  <c r="IG41" i="69" s="1"/>
  <c r="HU41" i="70"/>
  <c r="AH253" i="69"/>
  <c r="IE39" i="69" s="1"/>
  <c r="HM39" i="70"/>
  <c r="IG39" i="69"/>
  <c r="AH281" i="69"/>
  <c r="AH282" i="69" s="1"/>
  <c r="AH283" i="69" s="1"/>
  <c r="AJ273" i="70"/>
  <c r="IB42" i="69"/>
  <c r="IA42" i="69"/>
  <c r="HT47" i="69"/>
  <c r="HS47" i="69"/>
  <c r="AI273" i="70"/>
  <c r="AI277" i="69"/>
  <c r="HX43" i="69"/>
  <c r="HW43" i="69"/>
  <c r="HX42" i="69"/>
  <c r="HW42" i="69"/>
  <c r="AK276" i="69"/>
  <c r="HU42" i="70" s="1"/>
  <c r="AG306" i="70"/>
  <c r="AG302" i="69"/>
  <c r="AG310" i="69" s="1"/>
  <c r="HP41" i="69"/>
  <c r="HO41" i="69"/>
  <c r="AG257" i="69"/>
  <c r="AG258" i="69" s="1"/>
  <c r="AG259" i="69" s="1"/>
  <c r="IE38" i="69"/>
  <c r="AF300" i="69"/>
  <c r="AF308" i="69" s="1"/>
  <c r="AG312" i="69"/>
  <c r="AG254" i="69"/>
  <c r="AG255" i="69"/>
  <c r="AG304" i="70" s="1"/>
  <c r="AG299" i="69"/>
  <c r="AH249" i="70"/>
  <c r="AO264" i="69"/>
  <c r="HQ46" i="70" s="1"/>
  <c r="AP264" i="69"/>
  <c r="AJ266" i="69"/>
  <c r="AJ269" i="69"/>
  <c r="AJ270" i="69" s="1"/>
  <c r="AJ271" i="69" s="1"/>
  <c r="AJ267" i="69"/>
  <c r="AJ313" i="69"/>
  <c r="AK313" i="69"/>
  <c r="AK269" i="69"/>
  <c r="AK270" i="69" s="1"/>
  <c r="AK271" i="69" s="1"/>
  <c r="AK266" i="69"/>
  <c r="AK267" i="69"/>
  <c r="AI305" i="70"/>
  <c r="AI301" i="69"/>
  <c r="AI309" i="69" s="1"/>
  <c r="AM265" i="69"/>
  <c r="IF44" i="69" s="1"/>
  <c r="AM261" i="70"/>
  <c r="AL265" i="69"/>
  <c r="IF43" i="69" s="1"/>
  <c r="AL261" i="70"/>
  <c r="AN264" i="69"/>
  <c r="HQ45" i="70" s="1"/>
  <c r="AI288" i="69"/>
  <c r="HY40" i="70" s="1"/>
  <c r="AH289" i="69"/>
  <c r="IH39" i="69" s="1"/>
  <c r="AH285" i="70"/>
  <c r="AF303" i="69"/>
  <c r="AF311" i="69" s="1"/>
  <c r="AF307" i="70"/>
  <c r="AQ262" i="69" a="1"/>
  <c r="AQ262" i="69" s="1"/>
  <c r="AQ263" i="69" s="1"/>
  <c r="AG293" i="69"/>
  <c r="AG294" i="69" s="1"/>
  <c r="AG295" i="69" s="1"/>
  <c r="AG315" i="69"/>
  <c r="AG290" i="69"/>
  <c r="AG291" i="69"/>
  <c r="AI253" i="69"/>
  <c r="IE40" i="69" s="1"/>
  <c r="AI249" i="70"/>
  <c r="AH257" i="69"/>
  <c r="AH258" i="69" s="1"/>
  <c r="AH259" i="69" s="1"/>
  <c r="AH312" i="69"/>
  <c r="AH255" i="69"/>
  <c r="AH254" i="69"/>
  <c r="AH299" i="69"/>
  <c r="AJ281" i="69"/>
  <c r="AJ282" i="69" s="1"/>
  <c r="AJ283" i="69" s="1"/>
  <c r="AJ278" i="69"/>
  <c r="AJ279" i="69"/>
  <c r="AJ314" i="69"/>
  <c r="AK251" i="69"/>
  <c r="HN42" i="69" s="1"/>
  <c r="AL250" i="69" a="1"/>
  <c r="AL250" i="69" s="1"/>
  <c r="AL276" i="69"/>
  <c r="HU43" i="70" s="1"/>
  <c r="AN274" i="69" a="1"/>
  <c r="AN274" i="69" s="1"/>
  <c r="AN275" i="69" s="1"/>
  <c r="AM286" i="69" a="1"/>
  <c r="AM286" i="69" s="1"/>
  <c r="AL287" i="69"/>
  <c r="HZ43" i="69" s="1"/>
  <c r="AM276" i="69" l="1"/>
  <c r="AM277" i="69" s="1"/>
  <c r="HX44" i="69"/>
  <c r="HW44" i="69"/>
  <c r="HV45" i="69"/>
  <c r="HX45" i="69" s="1"/>
  <c r="AP265" i="69"/>
  <c r="HQ47" i="70"/>
  <c r="IG40" i="69"/>
  <c r="AI281" i="69"/>
  <c r="AI282" i="69" s="1"/>
  <c r="AI283" i="69" s="1"/>
  <c r="AI279" i="69"/>
  <c r="AI278" i="69"/>
  <c r="AI314" i="69"/>
  <c r="HP42" i="69"/>
  <c r="HO42" i="69"/>
  <c r="IB43" i="69"/>
  <c r="IA43" i="69"/>
  <c r="HR48" i="69"/>
  <c r="AQ264" i="69" s="1"/>
  <c r="AK277" i="69"/>
  <c r="AK273" i="70"/>
  <c r="AG300" i="69"/>
  <c r="AG308" i="69" s="1"/>
  <c r="AJ252" i="69"/>
  <c r="AP261" i="70"/>
  <c r="IF47" i="69"/>
  <c r="AO265" i="69"/>
  <c r="IF46" i="69" s="1"/>
  <c r="AO261" i="70"/>
  <c r="AL269" i="69"/>
  <c r="AL270" i="69" s="1"/>
  <c r="AL271" i="69" s="1"/>
  <c r="AL313" i="69"/>
  <c r="AL267" i="69"/>
  <c r="AL266" i="69"/>
  <c r="AM313" i="69"/>
  <c r="AM269" i="69"/>
  <c r="AM270" i="69" s="1"/>
  <c r="AM271" i="69" s="1"/>
  <c r="AM266" i="69"/>
  <c r="AM267" i="69"/>
  <c r="AN265" i="69"/>
  <c r="IF45" i="69" s="1"/>
  <c r="AN261" i="70"/>
  <c r="AJ301" i="69"/>
  <c r="AJ309" i="69" s="1"/>
  <c r="AJ305" i="70"/>
  <c r="AK305" i="70"/>
  <c r="AK301" i="69"/>
  <c r="AK309" i="69" s="1"/>
  <c r="AM273" i="70"/>
  <c r="AH315" i="69"/>
  <c r="AH290" i="69"/>
  <c r="AH291" i="69"/>
  <c r="AH293" i="69"/>
  <c r="AH294" i="69" s="1"/>
  <c r="AH295" i="69" s="1"/>
  <c r="AJ288" i="69"/>
  <c r="HY41" i="70" s="1"/>
  <c r="AR262" i="69" a="1"/>
  <c r="AR262" i="69" s="1"/>
  <c r="AR263" i="69" s="1"/>
  <c r="HR49" i="69" s="1"/>
  <c r="AG307" i="70"/>
  <c r="AG303" i="69"/>
  <c r="AG311" i="69" s="1"/>
  <c r="AI289" i="69"/>
  <c r="IH40" i="69" s="1"/>
  <c r="AI285" i="70"/>
  <c r="AH304" i="70"/>
  <c r="AH300" i="69"/>
  <c r="AH308" i="69" s="1"/>
  <c r="AL251" i="69"/>
  <c r="HN43" i="69" s="1"/>
  <c r="AM250" i="69" a="1"/>
  <c r="AM250" i="69" s="1"/>
  <c r="AJ306" i="70"/>
  <c r="AJ302" i="69"/>
  <c r="AJ310" i="69" s="1"/>
  <c r="AO274" i="69" a="1"/>
  <c r="AO274" i="69" s="1"/>
  <c r="AO275" i="69" s="1"/>
  <c r="HV46" i="69" s="1"/>
  <c r="AN276" i="69"/>
  <c r="AI254" i="69"/>
  <c r="AI299" i="69"/>
  <c r="AI312" i="69"/>
  <c r="AI255" i="69"/>
  <c r="AI257" i="69"/>
  <c r="AI258" i="69" s="1"/>
  <c r="AI259" i="69" s="1"/>
  <c r="AL277" i="69"/>
  <c r="IG43" i="69" s="1"/>
  <c r="AL273" i="70"/>
  <c r="AP269" i="69"/>
  <c r="AP267" i="69"/>
  <c r="AP266" i="69"/>
  <c r="AP313" i="69"/>
  <c r="AN286" i="69" a="1"/>
  <c r="AN286" i="69" s="1"/>
  <c r="AM287" i="69"/>
  <c r="HZ44" i="69" s="1"/>
  <c r="IG44" i="69" l="1"/>
  <c r="AM278" i="69"/>
  <c r="HU44" i="70"/>
  <c r="AM279" i="69"/>
  <c r="AM281" i="69"/>
  <c r="AM314" i="69"/>
  <c r="HW45" i="69"/>
  <c r="AQ261" i="70"/>
  <c r="HQ48" i="70"/>
  <c r="AQ265" i="69"/>
  <c r="IF48" i="69" s="1"/>
  <c r="AJ253" i="69"/>
  <c r="IE41" i="69" s="1"/>
  <c r="HM41" i="70"/>
  <c r="AN277" i="69"/>
  <c r="IG45" i="69" s="1"/>
  <c r="HU45" i="70"/>
  <c r="HS49" i="69"/>
  <c r="HT49" i="69"/>
  <c r="HX46" i="69"/>
  <c r="HW46" i="69"/>
  <c r="AI302" i="69"/>
  <c r="AI310" i="69" s="1"/>
  <c r="AI306" i="70"/>
  <c r="IG42" i="69"/>
  <c r="AK279" i="69"/>
  <c r="AK281" i="69"/>
  <c r="AK282" i="69" s="1"/>
  <c r="AK283" i="69" s="1"/>
  <c r="AK278" i="69"/>
  <c r="AK314" i="69"/>
  <c r="IA44" i="69"/>
  <c r="IB44" i="69"/>
  <c r="HP43" i="69"/>
  <c r="HO43" i="69"/>
  <c r="HT48" i="69"/>
  <c r="HS48" i="69"/>
  <c r="AJ249" i="70"/>
  <c r="AK252" i="69"/>
  <c r="AO267" i="69"/>
  <c r="AO266" i="69"/>
  <c r="AO313" i="69"/>
  <c r="AO269" i="69"/>
  <c r="AO270" i="69" s="1"/>
  <c r="AO271" i="69" s="1"/>
  <c r="AM301" i="69"/>
  <c r="AM309" i="69" s="1"/>
  <c r="AM305" i="70"/>
  <c r="AL305" i="70"/>
  <c r="AL301" i="69"/>
  <c r="AL309" i="69" s="1"/>
  <c r="AN267" i="69"/>
  <c r="AN269" i="69"/>
  <c r="AN270" i="69" s="1"/>
  <c r="AN271" i="69" s="1"/>
  <c r="AN266" i="69"/>
  <c r="AN313" i="69"/>
  <c r="AN273" i="70"/>
  <c r="AL288" i="69"/>
  <c r="AI315" i="69"/>
  <c r="AI293" i="69"/>
  <c r="AI294" i="69" s="1"/>
  <c r="AI295" i="69" s="1"/>
  <c r="AI290" i="69"/>
  <c r="AI291" i="69"/>
  <c r="AJ289" i="69"/>
  <c r="IH41" i="69" s="1"/>
  <c r="AJ285" i="70"/>
  <c r="AR264" i="69"/>
  <c r="AH307" i="70"/>
  <c r="AH303" i="69"/>
  <c r="AH311" i="69" s="1"/>
  <c r="AS262" i="69" a="1"/>
  <c r="AS262" i="69" s="1"/>
  <c r="AS263" i="69" s="1"/>
  <c r="HR50" i="69" s="1"/>
  <c r="AK288" i="69"/>
  <c r="HY42" i="70" s="1"/>
  <c r="AI300" i="69"/>
  <c r="AI308" i="69" s="1"/>
  <c r="AI304" i="70"/>
  <c r="AP274" i="69" a="1"/>
  <c r="AP274" i="69" s="1"/>
  <c r="AP275" i="69" s="1"/>
  <c r="HV47" i="69" s="1"/>
  <c r="AO276" i="69"/>
  <c r="AM251" i="69"/>
  <c r="HN44" i="69" s="1"/>
  <c r="AN250" i="69" a="1"/>
  <c r="AN250" i="69" s="1"/>
  <c r="AL278" i="69"/>
  <c r="AL314" i="69"/>
  <c r="AL279" i="69"/>
  <c r="AL281" i="69"/>
  <c r="AL282" i="69" s="1"/>
  <c r="AL283" i="69" s="1"/>
  <c r="AM282" i="69"/>
  <c r="AM283" i="69" s="1"/>
  <c r="AP270" i="69"/>
  <c r="AP271" i="69" s="1"/>
  <c r="AP305" i="70"/>
  <c r="AP301" i="69"/>
  <c r="AP309" i="69" s="1"/>
  <c r="AM302" i="69"/>
  <c r="AM310" i="69" s="1"/>
  <c r="AM306" i="70"/>
  <c r="AO286" i="69" a="1"/>
  <c r="AO286" i="69" s="1"/>
  <c r="AN287" i="69"/>
  <c r="HZ45" i="69" s="1"/>
  <c r="AQ267" i="69"/>
  <c r="AQ266" i="69"/>
  <c r="AQ269" i="69"/>
  <c r="AQ313" i="69"/>
  <c r="AN314" i="69"/>
  <c r="AN278" i="69"/>
  <c r="AN281" i="69"/>
  <c r="AJ254" i="69" l="1"/>
  <c r="AJ299" i="69"/>
  <c r="AJ257" i="69"/>
  <c r="AJ258" i="69" s="1"/>
  <c r="AJ259" i="69" s="1"/>
  <c r="AJ312" i="69"/>
  <c r="AN279" i="69"/>
  <c r="AJ255" i="69"/>
  <c r="AJ304" i="70" s="1"/>
  <c r="AO277" i="69"/>
  <c r="IG46" i="69" s="1"/>
  <c r="HU46" i="70"/>
  <c r="AR265" i="69"/>
  <c r="IF49" i="69" s="1"/>
  <c r="HQ49" i="70"/>
  <c r="AL289" i="69"/>
  <c r="IH43" i="69" s="1"/>
  <c r="HY43" i="70"/>
  <c r="AK249" i="70"/>
  <c r="HM42" i="70"/>
  <c r="AK302" i="69"/>
  <c r="AK310" i="69" s="1"/>
  <c r="AK306" i="70"/>
  <c r="HT50" i="69"/>
  <c r="HS50" i="69"/>
  <c r="HP44" i="69"/>
  <c r="HO44" i="69"/>
  <c r="HX47" i="69"/>
  <c r="HW47" i="69"/>
  <c r="IB45" i="69"/>
  <c r="IA45" i="69"/>
  <c r="AK253" i="69"/>
  <c r="AL252" i="69"/>
  <c r="AR261" i="70"/>
  <c r="AO301" i="69"/>
  <c r="AO309" i="69" s="1"/>
  <c r="AO305" i="70"/>
  <c r="AN305" i="70"/>
  <c r="AN301" i="69"/>
  <c r="AN309" i="69" s="1"/>
  <c r="AL285" i="70"/>
  <c r="AM288" i="69"/>
  <c r="AO273" i="70"/>
  <c r="AS264" i="69"/>
  <c r="AT262" i="69" a="1"/>
  <c r="AT262" i="69" s="1"/>
  <c r="AT263" i="69" s="1"/>
  <c r="HR51" i="69" s="1"/>
  <c r="AK289" i="69"/>
  <c r="IH42" i="69" s="1"/>
  <c r="AK285" i="70"/>
  <c r="AJ315" i="69"/>
  <c r="AJ291" i="69"/>
  <c r="AJ293" i="69"/>
  <c r="AJ294" i="69" s="1"/>
  <c r="AJ295" i="69" s="1"/>
  <c r="AJ290" i="69"/>
  <c r="AI303" i="69"/>
  <c r="AI311" i="69" s="1"/>
  <c r="AI307" i="70"/>
  <c r="AJ300" i="69"/>
  <c r="AJ308" i="69" s="1"/>
  <c r="AN251" i="69"/>
  <c r="HN45" i="69" s="1"/>
  <c r="AO250" i="69" a="1"/>
  <c r="AO250" i="69" s="1"/>
  <c r="AP276" i="69"/>
  <c r="AQ274" i="69" a="1"/>
  <c r="AQ274" i="69" s="1"/>
  <c r="AL302" i="69"/>
  <c r="AL310" i="69" s="1"/>
  <c r="AL306" i="70"/>
  <c r="AQ270" i="69"/>
  <c r="AQ271" i="69" s="1"/>
  <c r="AQ305" i="70"/>
  <c r="AQ301" i="69"/>
  <c r="AQ309" i="69" s="1"/>
  <c r="AN302" i="69"/>
  <c r="AN310" i="69" s="1"/>
  <c r="AN306" i="70"/>
  <c r="AR267" i="69"/>
  <c r="AR313" i="69"/>
  <c r="AR266" i="69"/>
  <c r="AN282" i="69"/>
  <c r="AN283" i="69" s="1"/>
  <c r="AP286" i="69" a="1"/>
  <c r="AP286" i="69" s="1"/>
  <c r="AO287" i="69"/>
  <c r="HZ46" i="69" s="1"/>
  <c r="AO279" i="69" l="1"/>
  <c r="AO278" i="69"/>
  <c r="AO314" i="69"/>
  <c r="AO281" i="69"/>
  <c r="AL291" i="69"/>
  <c r="AL307" i="70" s="1"/>
  <c r="AL315" i="69"/>
  <c r="AL290" i="69"/>
  <c r="AL293" i="69"/>
  <c r="AR269" i="69"/>
  <c r="AL249" i="70"/>
  <c r="HM43" i="70"/>
  <c r="AP277" i="69"/>
  <c r="IG47" i="69" s="1"/>
  <c r="HU47" i="70"/>
  <c r="AS265" i="69"/>
  <c r="IF50" i="69" s="1"/>
  <c r="HQ50" i="70"/>
  <c r="AM289" i="69"/>
  <c r="IH44" i="69" s="1"/>
  <c r="HY44" i="70"/>
  <c r="HT51" i="69"/>
  <c r="HS51" i="69"/>
  <c r="HP45" i="69"/>
  <c r="HO45" i="69"/>
  <c r="IB46" i="69"/>
  <c r="IA46" i="69"/>
  <c r="AK299" i="69"/>
  <c r="IE42" i="69"/>
  <c r="AK255" i="69"/>
  <c r="AK300" i="69" s="1"/>
  <c r="AK257" i="69"/>
  <c r="AK258" i="69" s="1"/>
  <c r="AK259" i="69" s="1"/>
  <c r="AK254" i="69"/>
  <c r="AK312" i="69"/>
  <c r="AL253" i="69"/>
  <c r="AM252" i="69"/>
  <c r="AM285" i="70"/>
  <c r="AN288" i="69"/>
  <c r="AS261" i="70"/>
  <c r="AP273" i="70"/>
  <c r="AK291" i="69"/>
  <c r="AK315" i="69"/>
  <c r="AK290" i="69"/>
  <c r="AK293" i="69"/>
  <c r="AK294" i="69" s="1"/>
  <c r="AK295" i="69" s="1"/>
  <c r="AT264" i="69"/>
  <c r="AU262" i="69" a="1"/>
  <c r="AU262" i="69" s="1"/>
  <c r="AU263" i="69" s="1"/>
  <c r="HR52" i="69" s="1"/>
  <c r="AJ307" i="70"/>
  <c r="AJ303" i="69"/>
  <c r="AJ311" i="69" s="1"/>
  <c r="AR274" i="69" a="1"/>
  <c r="AR274" i="69" s="1"/>
  <c r="AR275" i="69" s="1"/>
  <c r="HV49" i="69" s="1"/>
  <c r="AQ275" i="69"/>
  <c r="HV48" i="69" s="1"/>
  <c r="AO251" i="69"/>
  <c r="HN46" i="69" s="1"/>
  <c r="AP250" i="69" a="1"/>
  <c r="AP250" i="69" s="1"/>
  <c r="AL294" i="69"/>
  <c r="AL295" i="69" s="1"/>
  <c r="AR305" i="70"/>
  <c r="AR301" i="69"/>
  <c r="AR309" i="69" s="1"/>
  <c r="AQ286" i="69" a="1"/>
  <c r="AQ286" i="69" s="1"/>
  <c r="AP287" i="69"/>
  <c r="HZ47" i="69" s="1"/>
  <c r="AR270" i="69"/>
  <c r="AR271" i="69" s="1"/>
  <c r="AO282" i="69"/>
  <c r="AO283" i="69" s="1"/>
  <c r="AO302" i="69"/>
  <c r="AO310" i="69" s="1"/>
  <c r="AO306" i="70"/>
  <c r="AM291" i="69" l="1"/>
  <c r="AM315" i="69"/>
  <c r="AM293" i="69"/>
  <c r="AM290" i="69"/>
  <c r="AP314" i="69"/>
  <c r="AS313" i="69"/>
  <c r="AL303" i="69"/>
  <c r="AL311" i="69" s="1"/>
  <c r="AP281" i="69"/>
  <c r="AS266" i="69"/>
  <c r="AP279" i="69"/>
  <c r="AP306" i="70" s="1"/>
  <c r="AS267" i="69"/>
  <c r="AS305" i="70" s="1"/>
  <c r="AS269" i="69"/>
  <c r="AS270" i="69" s="1"/>
  <c r="AS271" i="69" s="1"/>
  <c r="AP278" i="69"/>
  <c r="AN285" i="70"/>
  <c r="HY45" i="70"/>
  <c r="AM253" i="69"/>
  <c r="IE44" i="69" s="1"/>
  <c r="HM44" i="70"/>
  <c r="AT265" i="69"/>
  <c r="IF51" i="69" s="1"/>
  <c r="HQ51" i="70"/>
  <c r="HT52" i="69"/>
  <c r="HS52" i="69"/>
  <c r="IB47" i="69"/>
  <c r="IA47" i="69"/>
  <c r="HP46" i="69"/>
  <c r="HO46" i="69"/>
  <c r="HX48" i="69"/>
  <c r="HW48" i="69"/>
  <c r="HX49" i="69"/>
  <c r="HW49" i="69"/>
  <c r="AL255" i="69"/>
  <c r="AL300" i="69" s="1"/>
  <c r="AL308" i="69" s="1"/>
  <c r="IE43" i="69"/>
  <c r="AK308" i="69"/>
  <c r="AK304" i="70"/>
  <c r="AL254" i="69"/>
  <c r="AM249" i="70"/>
  <c r="AL299" i="69"/>
  <c r="AN289" i="69"/>
  <c r="AL312" i="69"/>
  <c r="AL257" i="69"/>
  <c r="AL258" i="69" s="1"/>
  <c r="AL259" i="69" s="1"/>
  <c r="IE45" i="69"/>
  <c r="AN252" i="69"/>
  <c r="AO288" i="69"/>
  <c r="AT261" i="70"/>
  <c r="AV262" i="69" a="1"/>
  <c r="AV262" i="69" s="1"/>
  <c r="AV263" i="69" s="1"/>
  <c r="HR53" i="69" s="1"/>
  <c r="AU264" i="69"/>
  <c r="AK303" i="69"/>
  <c r="AK311" i="69" s="1"/>
  <c r="AK307" i="70"/>
  <c r="AS274" i="69" a="1"/>
  <c r="AS274" i="69" s="1"/>
  <c r="AS275" i="69" s="1"/>
  <c r="HV50" i="69" s="1"/>
  <c r="AP251" i="69"/>
  <c r="HN47" i="69" s="1"/>
  <c r="AQ250" i="69" a="1"/>
  <c r="AQ250" i="69" s="1"/>
  <c r="AQ276" i="69"/>
  <c r="HU48" i="70" s="1"/>
  <c r="AR276" i="69"/>
  <c r="AM294" i="69"/>
  <c r="AM295" i="69" s="1"/>
  <c r="AM307" i="70"/>
  <c r="AM303" i="69"/>
  <c r="AM311" i="69" s="1"/>
  <c r="AS301" i="69"/>
  <c r="AS309" i="69" s="1"/>
  <c r="AP282" i="69"/>
  <c r="AP283" i="69" s="1"/>
  <c r="AR286" i="69" a="1"/>
  <c r="AR286" i="69" s="1"/>
  <c r="AQ287" i="69"/>
  <c r="HZ48" i="69" s="1"/>
  <c r="AT267" i="69" l="1"/>
  <c r="AT266" i="69"/>
  <c r="AT269" i="69"/>
  <c r="AT313" i="69"/>
  <c r="AM255" i="69"/>
  <c r="AP302" i="69"/>
  <c r="AP310" i="69" s="1"/>
  <c r="AM257" i="69"/>
  <c r="AM258" i="69" s="1"/>
  <c r="AM259" i="69" s="1"/>
  <c r="AM254" i="69"/>
  <c r="AM299" i="69"/>
  <c r="AL304" i="70"/>
  <c r="AR277" i="69"/>
  <c r="IG49" i="69" s="1"/>
  <c r="HU49" i="70"/>
  <c r="AU261" i="70"/>
  <c r="HQ52" i="70"/>
  <c r="AN253" i="69"/>
  <c r="AN299" i="69" s="1"/>
  <c r="HM45" i="70"/>
  <c r="AO285" i="70"/>
  <c r="HY46" i="70"/>
  <c r="AM312" i="69"/>
  <c r="HX50" i="69"/>
  <c r="HW50" i="69"/>
  <c r="HP47" i="69"/>
  <c r="HO47" i="69"/>
  <c r="IB48" i="69"/>
  <c r="IA48" i="69"/>
  <c r="HT53" i="69"/>
  <c r="HS53" i="69"/>
  <c r="AN293" i="69"/>
  <c r="AN294" i="69" s="1"/>
  <c r="AN295" i="69" s="1"/>
  <c r="IH45" i="69"/>
  <c r="AN315" i="69"/>
  <c r="AN291" i="69"/>
  <c r="AN303" i="69" s="1"/>
  <c r="AN311" i="69" s="1"/>
  <c r="AO252" i="69"/>
  <c r="AN290" i="69"/>
  <c r="AN249" i="70"/>
  <c r="AO289" i="69"/>
  <c r="AQ288" i="69"/>
  <c r="HY48" i="70" s="1"/>
  <c r="AU265" i="69"/>
  <c r="AP288" i="69"/>
  <c r="AV264" i="69"/>
  <c r="AW262" i="69" a="1"/>
  <c r="AW262" i="69" s="1"/>
  <c r="AW263" i="69" s="1"/>
  <c r="HR54" i="69" s="1"/>
  <c r="AS276" i="69"/>
  <c r="AR273" i="70"/>
  <c r="AQ277" i="69"/>
  <c r="IG48" i="69" s="1"/>
  <c r="AQ273" i="70"/>
  <c r="AM300" i="69"/>
  <c r="AM308" i="69" s="1"/>
  <c r="AM304" i="70"/>
  <c r="AT274" i="69" a="1"/>
  <c r="AT274" i="69" s="1"/>
  <c r="AT275" i="69" s="1"/>
  <c r="HV51" i="69" s="1"/>
  <c r="AQ251" i="69"/>
  <c r="HN48" i="69" s="1"/>
  <c r="AR250" i="69" a="1"/>
  <c r="AR250" i="69" s="1"/>
  <c r="AT270" i="69"/>
  <c r="AT271" i="69" s="1"/>
  <c r="AT305" i="70"/>
  <c r="AT301" i="69"/>
  <c r="AT309" i="69" s="1"/>
  <c r="AS286" i="69" a="1"/>
  <c r="AS286" i="69" s="1"/>
  <c r="AR287" i="69"/>
  <c r="HZ49" i="69" s="1"/>
  <c r="AR278" i="69"/>
  <c r="AR279" i="69" l="1"/>
  <c r="AR314" i="69"/>
  <c r="AR281" i="69"/>
  <c r="AN312" i="69"/>
  <c r="AN257" i="69"/>
  <c r="AN258" i="69" s="1"/>
  <c r="AN259" i="69" s="1"/>
  <c r="AN255" i="69"/>
  <c r="AN300" i="69" s="1"/>
  <c r="AN308" i="69" s="1"/>
  <c r="AN254" i="69"/>
  <c r="AO253" i="69"/>
  <c r="IE46" i="69" s="1"/>
  <c r="HM46" i="70"/>
  <c r="AS273" i="70"/>
  <c r="HU50" i="70"/>
  <c r="AV265" i="69"/>
  <c r="IF53" i="69" s="1"/>
  <c r="HQ53" i="70"/>
  <c r="AP289" i="69"/>
  <c r="IH47" i="69" s="1"/>
  <c r="HY47" i="70"/>
  <c r="HP48" i="69"/>
  <c r="HO48" i="69"/>
  <c r="HS54" i="69"/>
  <c r="HT54" i="69"/>
  <c r="IB49" i="69"/>
  <c r="IA49" i="69"/>
  <c r="HX51" i="69"/>
  <c r="HW51" i="69"/>
  <c r="AU267" i="69"/>
  <c r="AU305" i="70" s="1"/>
  <c r="IF52" i="69"/>
  <c r="AO291" i="69"/>
  <c r="AO303" i="69" s="1"/>
  <c r="AO311" i="69" s="1"/>
  <c r="IH46" i="69"/>
  <c r="AO249" i="70"/>
  <c r="AP252" i="69"/>
  <c r="AN307" i="70"/>
  <c r="AO290" i="69"/>
  <c r="AO293" i="69"/>
  <c r="AO294" i="69" s="1"/>
  <c r="AO295" i="69" s="1"/>
  <c r="AO315" i="69"/>
  <c r="AU266" i="69"/>
  <c r="AU269" i="69"/>
  <c r="AU270" i="69" s="1"/>
  <c r="AU271" i="69" s="1"/>
  <c r="AU313" i="69"/>
  <c r="AP285" i="70"/>
  <c r="AS277" i="69"/>
  <c r="AV261" i="70"/>
  <c r="AW264" i="69"/>
  <c r="AX262" i="69" a="1"/>
  <c r="AX262" i="69" s="1"/>
  <c r="AX263" i="69" s="1"/>
  <c r="HR55" i="69" s="1"/>
  <c r="AT276" i="69"/>
  <c r="AN304" i="70"/>
  <c r="AQ314" i="69"/>
  <c r="AQ281" i="69"/>
  <c r="AQ282" i="69" s="1"/>
  <c r="AQ283" i="69" s="1"/>
  <c r="AQ278" i="69"/>
  <c r="AQ279" i="69"/>
  <c r="AR251" i="69"/>
  <c r="HN49" i="69" s="1"/>
  <c r="AS250" i="69" a="1"/>
  <c r="AS250" i="69" s="1"/>
  <c r="AU274" i="69" a="1"/>
  <c r="AU274" i="69" s="1"/>
  <c r="AU275" i="69" s="1"/>
  <c r="HV52" i="69" s="1"/>
  <c r="AR282" i="69"/>
  <c r="AR283" i="69" s="1"/>
  <c r="AR306" i="70"/>
  <c r="AR302" i="69"/>
  <c r="AR310" i="69" s="1"/>
  <c r="AQ289" i="69"/>
  <c r="IH48" i="69" s="1"/>
  <c r="AQ285" i="70"/>
  <c r="AT286" i="69" a="1"/>
  <c r="AT286" i="69" s="1"/>
  <c r="AS287" i="69"/>
  <c r="HZ50" i="69" s="1"/>
  <c r="AU301" i="69" l="1"/>
  <c r="AU309" i="69" s="1"/>
  <c r="AV267" i="69"/>
  <c r="AV313" i="69"/>
  <c r="AV266" i="69"/>
  <c r="AO312" i="69"/>
  <c r="AO255" i="69"/>
  <c r="AO254" i="69"/>
  <c r="AO257" i="69"/>
  <c r="AO258" i="69" s="1"/>
  <c r="AO259" i="69" s="1"/>
  <c r="AO307" i="70"/>
  <c r="AP291" i="69"/>
  <c r="AP303" i="69" s="1"/>
  <c r="AP311" i="69" s="1"/>
  <c r="AP293" i="69"/>
  <c r="AP294" i="69" s="1"/>
  <c r="AP295" i="69" s="1"/>
  <c r="AP315" i="69"/>
  <c r="AP290" i="69"/>
  <c r="AV269" i="69"/>
  <c r="AV270" i="69" s="1"/>
  <c r="AV271" i="69" s="1"/>
  <c r="AO299" i="69"/>
  <c r="AT277" i="69"/>
  <c r="IG51" i="69" s="1"/>
  <c r="HU51" i="70"/>
  <c r="AP253" i="69"/>
  <c r="IE47" i="69" s="1"/>
  <c r="HM47" i="70"/>
  <c r="AW265" i="69"/>
  <c r="IF54" i="69" s="1"/>
  <c r="HQ54" i="70"/>
  <c r="IB50" i="69"/>
  <c r="IA50" i="69"/>
  <c r="HP49" i="69"/>
  <c r="HO49" i="69"/>
  <c r="HX52" i="69"/>
  <c r="HW52" i="69"/>
  <c r="HT55" i="69"/>
  <c r="HS55" i="69"/>
  <c r="AS314" i="69"/>
  <c r="IG50" i="69"/>
  <c r="AP249" i="70"/>
  <c r="AQ252" i="69"/>
  <c r="AR288" i="69"/>
  <c r="AS279" i="69"/>
  <c r="AS302" i="69" s="1"/>
  <c r="AS310" i="69" s="1"/>
  <c r="AS278" i="69"/>
  <c r="AS281" i="69"/>
  <c r="AS282" i="69" s="1"/>
  <c r="AS283" i="69" s="1"/>
  <c r="AW261" i="70"/>
  <c r="AT273" i="70"/>
  <c r="AX264" i="69"/>
  <c r="AY262" i="69" a="1"/>
  <c r="AY262" i="69" s="1"/>
  <c r="AY263" i="69" s="1"/>
  <c r="HR56" i="69" s="1"/>
  <c r="AV274" i="69" a="1"/>
  <c r="AV274" i="69" s="1"/>
  <c r="AV275" i="69" s="1"/>
  <c r="HV53" i="69" s="1"/>
  <c r="AQ302" i="69"/>
  <c r="AQ310" i="69" s="1"/>
  <c r="AQ306" i="70"/>
  <c r="AU276" i="69"/>
  <c r="AO304" i="70"/>
  <c r="AO300" i="69"/>
  <c r="AO308" i="69" s="1"/>
  <c r="AS251" i="69"/>
  <c r="HN50" i="69" s="1"/>
  <c r="AT250" i="69" a="1"/>
  <c r="AT250" i="69" s="1"/>
  <c r="AR252" i="69"/>
  <c r="HM49" i="70" s="1"/>
  <c r="AP307" i="70"/>
  <c r="AV305" i="70"/>
  <c r="AV301" i="69"/>
  <c r="AV309" i="69" s="1"/>
  <c r="AU286" i="69" a="1"/>
  <c r="AU286" i="69" s="1"/>
  <c r="AT287" i="69"/>
  <c r="HZ51" i="69" s="1"/>
  <c r="AQ291" i="69"/>
  <c r="AQ290" i="69"/>
  <c r="AQ293" i="69"/>
  <c r="AQ315" i="69"/>
  <c r="AT281" i="69" l="1"/>
  <c r="AT314" i="69"/>
  <c r="AT279" i="69"/>
  <c r="AT278" i="69"/>
  <c r="AP255" i="69"/>
  <c r="AP304" i="70" s="1"/>
  <c r="AP299" i="69"/>
  <c r="AP312" i="69"/>
  <c r="AP254" i="69"/>
  <c r="AW266" i="69"/>
  <c r="AW269" i="69"/>
  <c r="AW313" i="69"/>
  <c r="AW267" i="69"/>
  <c r="AW301" i="69" s="1"/>
  <c r="AW309" i="69" s="1"/>
  <c r="AR289" i="69"/>
  <c r="IH49" i="69" s="1"/>
  <c r="HY49" i="70"/>
  <c r="AU273" i="70"/>
  <c r="HU52" i="70"/>
  <c r="AQ249" i="70"/>
  <c r="HM48" i="70"/>
  <c r="AP257" i="69"/>
  <c r="AP258" i="69" s="1"/>
  <c r="AP259" i="69" s="1"/>
  <c r="AX265" i="69"/>
  <c r="IF55" i="69" s="1"/>
  <c r="HQ55" i="70"/>
  <c r="AQ253" i="69"/>
  <c r="IE48" i="69" s="1"/>
  <c r="HX53" i="69"/>
  <c r="HW53" i="69"/>
  <c r="HT56" i="69"/>
  <c r="HS56" i="69"/>
  <c r="IB51" i="69"/>
  <c r="IA51" i="69"/>
  <c r="HP50" i="69"/>
  <c r="HO50" i="69"/>
  <c r="AS288" i="69"/>
  <c r="HY50" i="70" s="1"/>
  <c r="AR285" i="70"/>
  <c r="AS306" i="70"/>
  <c r="AX261" i="70"/>
  <c r="AU277" i="69"/>
  <c r="AV276" i="69"/>
  <c r="AZ262" i="69" a="1"/>
  <c r="AZ262" i="69" s="1"/>
  <c r="AZ263" i="69" s="1"/>
  <c r="HR57" i="69" s="1"/>
  <c r="AY264" i="69"/>
  <c r="AR249" i="70"/>
  <c r="AR253" i="69"/>
  <c r="IE49" i="69" s="1"/>
  <c r="AS252" i="69"/>
  <c r="HM50" i="70" s="1"/>
  <c r="AW274" i="69" a="1"/>
  <c r="AW274" i="69" s="1"/>
  <c r="AT251" i="69"/>
  <c r="HN51" i="69" s="1"/>
  <c r="AU250" i="69" a="1"/>
  <c r="AU250" i="69" s="1"/>
  <c r="AQ294" i="69"/>
  <c r="AQ295" i="69" s="1"/>
  <c r="AW270" i="69"/>
  <c r="AW271" i="69" s="1"/>
  <c r="AT282" i="69"/>
  <c r="AT283" i="69" s="1"/>
  <c r="AV286" i="69" a="1"/>
  <c r="AV286" i="69" s="1"/>
  <c r="AU287" i="69"/>
  <c r="HZ52" i="69" s="1"/>
  <c r="AT306" i="70"/>
  <c r="AT302" i="69"/>
  <c r="AT310" i="69" s="1"/>
  <c r="AQ303" i="69"/>
  <c r="AQ311" i="69" s="1"/>
  <c r="AQ307" i="70"/>
  <c r="AP300" i="69" l="1"/>
  <c r="AP308" i="69" s="1"/>
  <c r="AW305" i="70"/>
  <c r="AR293" i="69"/>
  <c r="AR290" i="69"/>
  <c r="AR315" i="69"/>
  <c r="AQ299" i="69"/>
  <c r="AR291" i="69"/>
  <c r="AR307" i="70" s="1"/>
  <c r="AQ257" i="69"/>
  <c r="AQ258" i="69" s="1"/>
  <c r="AQ259" i="69" s="1"/>
  <c r="AX267" i="69"/>
  <c r="AX305" i="70" s="1"/>
  <c r="AX313" i="69"/>
  <c r="AX266" i="69"/>
  <c r="AX269" i="69"/>
  <c r="AQ312" i="69"/>
  <c r="AQ255" i="69"/>
  <c r="AQ300" i="69" s="1"/>
  <c r="AQ308" i="69" s="1"/>
  <c r="AQ254" i="69"/>
  <c r="AS285" i="70"/>
  <c r="AV277" i="69"/>
  <c r="IG53" i="69" s="1"/>
  <c r="HU53" i="70"/>
  <c r="AS289" i="69"/>
  <c r="IH50" i="69" s="1"/>
  <c r="AY265" i="69"/>
  <c r="IF56" i="69" s="1"/>
  <c r="HQ56" i="70"/>
  <c r="HP51" i="69"/>
  <c r="HO51" i="69"/>
  <c r="IA52" i="69"/>
  <c r="IB52" i="69"/>
  <c r="HS57" i="69"/>
  <c r="HT57" i="69"/>
  <c r="AU279" i="69"/>
  <c r="AU306" i="70" s="1"/>
  <c r="IG52" i="69"/>
  <c r="AT288" i="69"/>
  <c r="AU314" i="69"/>
  <c r="AU278" i="69"/>
  <c r="AV273" i="70"/>
  <c r="AU281" i="69"/>
  <c r="AU282" i="69" s="1"/>
  <c r="AU283" i="69" s="1"/>
  <c r="AY261" i="70"/>
  <c r="AZ264" i="69"/>
  <c r="BA262" i="69" a="1"/>
  <c r="BA262" i="69" s="1"/>
  <c r="BA263" i="69" s="1"/>
  <c r="HR58" i="69" s="1"/>
  <c r="AX274" i="69" a="1"/>
  <c r="AX274" i="69" s="1"/>
  <c r="AX275" i="69" s="1"/>
  <c r="HV55" i="69" s="1"/>
  <c r="AW275" i="69"/>
  <c r="HV54" i="69" s="1"/>
  <c r="AS253" i="69"/>
  <c r="IE50" i="69" s="1"/>
  <c r="AS249" i="70"/>
  <c r="AR255" i="69"/>
  <c r="AR299" i="69"/>
  <c r="AR254" i="69"/>
  <c r="AR312" i="69"/>
  <c r="AR257" i="69"/>
  <c r="AR258" i="69" s="1"/>
  <c r="AR259" i="69" s="1"/>
  <c r="AU251" i="69"/>
  <c r="HN52" i="69" s="1"/>
  <c r="AV250" i="69" a="1"/>
  <c r="AV250" i="69" s="1"/>
  <c r="AT252" i="69"/>
  <c r="HM51" i="70" s="1"/>
  <c r="AX270" i="69"/>
  <c r="AX271" i="69" s="1"/>
  <c r="AR294" i="69"/>
  <c r="AR295" i="69" s="1"/>
  <c r="AU288" i="69"/>
  <c r="HY52" i="70" s="1"/>
  <c r="AW286" i="69" a="1"/>
  <c r="AW286" i="69" s="1"/>
  <c r="AV287" i="69"/>
  <c r="HZ53" i="69" s="1"/>
  <c r="AX301" i="69" l="1"/>
  <c r="AX309" i="69" s="1"/>
  <c r="AR303" i="69"/>
  <c r="AR311" i="69" s="1"/>
  <c r="AQ304" i="70"/>
  <c r="AV314" i="69"/>
  <c r="AS291" i="69"/>
  <c r="AS307" i="70" s="1"/>
  <c r="AY267" i="69"/>
  <c r="AY305" i="70" s="1"/>
  <c r="AY269" i="69"/>
  <c r="AY270" i="69" s="1"/>
  <c r="AY271" i="69" s="1"/>
  <c r="AY266" i="69"/>
  <c r="AY313" i="69"/>
  <c r="AV278" i="69"/>
  <c r="AS293" i="69"/>
  <c r="AS294" i="69" s="1"/>
  <c r="AS295" i="69" s="1"/>
  <c r="AS290" i="69"/>
  <c r="AV279" i="69"/>
  <c r="AV306" i="70" s="1"/>
  <c r="AV281" i="69"/>
  <c r="AV282" i="69" s="1"/>
  <c r="AV283" i="69" s="1"/>
  <c r="AS315" i="69"/>
  <c r="AZ265" i="69"/>
  <c r="IF57" i="69" s="1"/>
  <c r="HQ57" i="70"/>
  <c r="AT289" i="69"/>
  <c r="IH51" i="69" s="1"/>
  <c r="HY51" i="70"/>
  <c r="AU302" i="69"/>
  <c r="AU310" i="69" s="1"/>
  <c r="HX54" i="69"/>
  <c r="HW54" i="69"/>
  <c r="HX55" i="69"/>
  <c r="HW55" i="69"/>
  <c r="HT58" i="69"/>
  <c r="HS58" i="69"/>
  <c r="IB53" i="69"/>
  <c r="IA53" i="69"/>
  <c r="HP52" i="69"/>
  <c r="HO52" i="69"/>
  <c r="AT285" i="70"/>
  <c r="AZ261" i="70"/>
  <c r="BB262" i="69" a="1"/>
  <c r="BB262" i="69" s="1"/>
  <c r="BA264" i="69"/>
  <c r="AR304" i="70"/>
  <c r="AR300" i="69"/>
  <c r="AR308" i="69" s="1"/>
  <c r="AY274" i="69" a="1"/>
  <c r="AY274" i="69" s="1"/>
  <c r="AY275" i="69" s="1"/>
  <c r="HV56" i="69" s="1"/>
  <c r="AV251" i="69"/>
  <c r="HN53" i="69" s="1"/>
  <c r="AW250" i="69" a="1"/>
  <c r="AW250" i="69" s="1"/>
  <c r="AS255" i="69"/>
  <c r="AS312" i="69"/>
  <c r="AS254" i="69"/>
  <c r="AS257" i="69"/>
  <c r="AS258" i="69" s="1"/>
  <c r="AS259" i="69" s="1"/>
  <c r="AS299" i="69"/>
  <c r="AU252" i="69"/>
  <c r="HM52" i="70" s="1"/>
  <c r="AW276" i="69"/>
  <c r="HU54" i="70" s="1"/>
  <c r="AT253" i="69"/>
  <c r="IE51" i="69" s="1"/>
  <c r="AT249" i="70"/>
  <c r="AX276" i="69"/>
  <c r="AX286" i="69" a="1"/>
  <c r="AX286" i="69" s="1"/>
  <c r="AW287" i="69"/>
  <c r="HZ54" i="69" s="1"/>
  <c r="AU289" i="69"/>
  <c r="IH52" i="69" s="1"/>
  <c r="AU285" i="70"/>
  <c r="AV288" i="69"/>
  <c r="HY53" i="70" s="1"/>
  <c r="AZ267" i="69" l="1"/>
  <c r="AT290" i="69"/>
  <c r="AT315" i="69"/>
  <c r="AY301" i="69"/>
  <c r="AY309" i="69" s="1"/>
  <c r="AS303" i="69"/>
  <c r="AS311" i="69" s="1"/>
  <c r="AZ313" i="69"/>
  <c r="AZ266" i="69"/>
  <c r="AV302" i="69"/>
  <c r="AV310" i="69" s="1"/>
  <c r="AT293" i="69"/>
  <c r="AT294" i="69" s="1"/>
  <c r="AT295" i="69" s="1"/>
  <c r="AZ269" i="69"/>
  <c r="AT291" i="69"/>
  <c r="AX273" i="70"/>
  <c r="HU55" i="70"/>
  <c r="BA261" i="70"/>
  <c r="HQ58" i="70"/>
  <c r="IB54" i="69"/>
  <c r="IA54" i="69"/>
  <c r="HP53" i="69"/>
  <c r="HO53" i="69"/>
  <c r="HX56" i="69"/>
  <c r="HW56" i="69"/>
  <c r="BA265" i="69"/>
  <c r="BA269" i="69" s="1"/>
  <c r="BB263" i="69"/>
  <c r="AX277" i="69"/>
  <c r="AZ274" i="69" a="1"/>
  <c r="AZ274" i="69" s="1"/>
  <c r="AZ275" i="69" s="1"/>
  <c r="HV57" i="69" s="1"/>
  <c r="AW277" i="69"/>
  <c r="IG54" i="69" s="1"/>
  <c r="AW273" i="70"/>
  <c r="AY276" i="69"/>
  <c r="AS304" i="70"/>
  <c r="AS300" i="69"/>
  <c r="AS308" i="69" s="1"/>
  <c r="AW251" i="69"/>
  <c r="HN54" i="69" s="1"/>
  <c r="AX250" i="69" a="1"/>
  <c r="AX250" i="69" s="1"/>
  <c r="AT257" i="69"/>
  <c r="AT258" i="69" s="1"/>
  <c r="AT259" i="69" s="1"/>
  <c r="AT254" i="69"/>
  <c r="AT299" i="69"/>
  <c r="AT255" i="69"/>
  <c r="AT312" i="69"/>
  <c r="AU253" i="69"/>
  <c r="IE52" i="69" s="1"/>
  <c r="AU249" i="70"/>
  <c r="AV252" i="69"/>
  <c r="HM53" i="70" s="1"/>
  <c r="AY286" i="69" a="1"/>
  <c r="AY286" i="69" s="1"/>
  <c r="AX287" i="69"/>
  <c r="HZ55" i="69" s="1"/>
  <c r="AW288" i="69"/>
  <c r="HY54" i="70" s="1"/>
  <c r="AZ305" i="70"/>
  <c r="AZ301" i="69"/>
  <c r="AZ309" i="69" s="1"/>
  <c r="AZ270" i="69"/>
  <c r="AZ271" i="69" s="1"/>
  <c r="AT307" i="70"/>
  <c r="AT303" i="69"/>
  <c r="AT311" i="69" s="1"/>
  <c r="AU290" i="69"/>
  <c r="AU315" i="69"/>
  <c r="AU291" i="69"/>
  <c r="AU293" i="69"/>
  <c r="AV289" i="69"/>
  <c r="IH53" i="69" s="1"/>
  <c r="AV285" i="70"/>
  <c r="AY277" i="69" l="1"/>
  <c r="IG56" i="69" s="1"/>
  <c r="HU56" i="70"/>
  <c r="HX57" i="69"/>
  <c r="HW57" i="69"/>
  <c r="HR59" i="69"/>
  <c r="HP54" i="69"/>
  <c r="HO54" i="69"/>
  <c r="IB55" i="69"/>
  <c r="IA55" i="69"/>
  <c r="AX278" i="69"/>
  <c r="IG55" i="69"/>
  <c r="BA267" i="69"/>
  <c r="BA305" i="70" s="1"/>
  <c r="IF58" i="69"/>
  <c r="BA266" i="69"/>
  <c r="BA313" i="69"/>
  <c r="AX314" i="69"/>
  <c r="AY273" i="70"/>
  <c r="AX281" i="69"/>
  <c r="AX282" i="69" s="1"/>
  <c r="AX283" i="69" s="1"/>
  <c r="AX279" i="69"/>
  <c r="AX306" i="70" s="1"/>
  <c r="AU312" i="69"/>
  <c r="AU255" i="69"/>
  <c r="AU254" i="69"/>
  <c r="AU257" i="69"/>
  <c r="AU258" i="69" s="1"/>
  <c r="AU259" i="69" s="1"/>
  <c r="AU299" i="69"/>
  <c r="AW252" i="69"/>
  <c r="HM54" i="70" s="1"/>
  <c r="BA274" i="69" a="1"/>
  <c r="BA274" i="69" s="1"/>
  <c r="BA275" i="69" s="1"/>
  <c r="AT304" i="70"/>
  <c r="AT300" i="69"/>
  <c r="AT308" i="69" s="1"/>
  <c r="AZ276" i="69"/>
  <c r="AX251" i="69"/>
  <c r="HN55" i="69" s="1"/>
  <c r="AY250" i="69" a="1"/>
  <c r="AY250" i="69" s="1"/>
  <c r="AV253" i="69"/>
  <c r="IE53" i="69" s="1"/>
  <c r="AV249" i="70"/>
  <c r="AW279" i="69"/>
  <c r="AW314" i="69"/>
  <c r="AW281" i="69"/>
  <c r="AW282" i="69" s="1"/>
  <c r="AW283" i="69" s="1"/>
  <c r="AW278" i="69"/>
  <c r="BA270" i="69"/>
  <c r="BA271" i="69" s="1"/>
  <c r="AU294" i="69"/>
  <c r="AU295" i="69" s="1"/>
  <c r="AY281" i="69"/>
  <c r="AY314" i="69"/>
  <c r="AY278" i="69"/>
  <c r="AY279" i="69"/>
  <c r="AV315" i="69"/>
  <c r="AV290" i="69"/>
  <c r="AV293" i="69"/>
  <c r="AV291" i="69"/>
  <c r="AU303" i="69"/>
  <c r="AU311" i="69" s="1"/>
  <c r="AU307" i="70"/>
  <c r="AW289" i="69"/>
  <c r="IH54" i="69" s="1"/>
  <c r="AW285" i="70"/>
  <c r="AX288" i="69"/>
  <c r="HY55" i="70" s="1"/>
  <c r="AZ286" i="69" a="1"/>
  <c r="AZ286" i="69" s="1"/>
  <c r="AY287" i="69"/>
  <c r="HZ56" i="69" s="1"/>
  <c r="BA301" i="69" l="1"/>
  <c r="BA309" i="69" s="1"/>
  <c r="AZ277" i="69"/>
  <c r="IG57" i="69" s="1"/>
  <c r="HU57" i="70"/>
  <c r="IB56" i="69"/>
  <c r="IA56" i="69"/>
  <c r="HP55" i="69"/>
  <c r="HO55" i="69"/>
  <c r="HT59" i="69"/>
  <c r="HS59" i="69"/>
  <c r="BB264" i="69"/>
  <c r="HQ59" i="70" s="1"/>
  <c r="HV58" i="69"/>
  <c r="AX302" i="69"/>
  <c r="AX310" i="69" s="1"/>
  <c r="AZ273" i="70"/>
  <c r="AX252" i="69"/>
  <c r="HM55" i="70" s="1"/>
  <c r="AW253" i="69"/>
  <c r="IE54" i="69" s="1"/>
  <c r="AW249" i="70"/>
  <c r="AV255" i="69"/>
  <c r="AV257" i="69"/>
  <c r="AV258" i="69" s="1"/>
  <c r="AV259" i="69" s="1"/>
  <c r="AV254" i="69"/>
  <c r="AV299" i="69"/>
  <c r="AV312" i="69"/>
  <c r="AW306" i="70"/>
  <c r="AW302" i="69"/>
  <c r="AW310" i="69" s="1"/>
  <c r="AU300" i="69"/>
  <c r="AU308" i="69" s="1"/>
  <c r="AU304" i="70"/>
  <c r="AY251" i="69"/>
  <c r="HN56" i="69" s="1"/>
  <c r="AZ250" i="69" a="1"/>
  <c r="AZ250" i="69" s="1"/>
  <c r="BB274" i="69" a="1"/>
  <c r="BB274" i="69" s="1"/>
  <c r="BB275" i="69" s="1"/>
  <c r="HV59" i="69" s="1"/>
  <c r="AX289" i="69"/>
  <c r="IH55" i="69" s="1"/>
  <c r="AX285" i="70"/>
  <c r="AY306" i="70"/>
  <c r="AY302" i="69"/>
  <c r="AY310" i="69" s="1"/>
  <c r="AV307" i="70"/>
  <c r="AV303" i="69"/>
  <c r="AV311" i="69" s="1"/>
  <c r="AZ314" i="69"/>
  <c r="AZ279" i="69"/>
  <c r="AW293" i="69"/>
  <c r="AW291" i="69"/>
  <c r="AW315" i="69"/>
  <c r="AW290" i="69"/>
  <c r="AV294" i="69"/>
  <c r="AV295" i="69" s="1"/>
  <c r="BA286" i="69" a="1"/>
  <c r="BA286" i="69" s="1"/>
  <c r="AZ287" i="69"/>
  <c r="HZ57" i="69" s="1"/>
  <c r="AY282" i="69"/>
  <c r="AY283" i="69" s="1"/>
  <c r="AY288" i="69"/>
  <c r="HY56" i="70" s="1"/>
  <c r="AZ278" i="69" l="1"/>
  <c r="AZ281" i="69"/>
  <c r="AZ282" i="69" s="1"/>
  <c r="AZ283" i="69" s="1"/>
  <c r="IB57" i="69"/>
  <c r="IA57" i="69"/>
  <c r="HX58" i="69"/>
  <c r="HW58" i="69"/>
  <c r="BA276" i="69"/>
  <c r="HU58" i="70" s="1"/>
  <c r="BB261" i="70"/>
  <c r="E262" i="70" s="1" a="1"/>
  <c r="E262" i="70" s="1"/>
  <c r="BB265" i="69"/>
  <c r="HX59" i="69"/>
  <c r="HW59" i="69"/>
  <c r="HP56" i="69"/>
  <c r="HO56" i="69"/>
  <c r="AW312" i="69"/>
  <c r="AW299" i="69"/>
  <c r="AW254" i="69"/>
  <c r="AW257" i="69"/>
  <c r="AW258" i="69" s="1"/>
  <c r="AW259" i="69" s="1"/>
  <c r="AW255" i="69"/>
  <c r="BB276" i="69"/>
  <c r="HU59" i="70" s="1"/>
  <c r="AZ251" i="69"/>
  <c r="HN57" i="69" s="1"/>
  <c r="BA250" i="69" a="1"/>
  <c r="BA250" i="69" s="1"/>
  <c r="AY252" i="69"/>
  <c r="HM56" i="70" s="1"/>
  <c r="AX249" i="70"/>
  <c r="AX253" i="69"/>
  <c r="IE55" i="69" s="1"/>
  <c r="AV304" i="70"/>
  <c r="AV300" i="69"/>
  <c r="AV308" i="69" s="1"/>
  <c r="BB286" i="69" a="1"/>
  <c r="BB286" i="69" s="1"/>
  <c r="BB287" i="69" s="1"/>
  <c r="HZ59" i="69" s="1"/>
  <c r="BA287" i="69"/>
  <c r="HZ58" i="69" s="1"/>
  <c r="AW307" i="70"/>
  <c r="AW303" i="69"/>
  <c r="AW311" i="69" s="1"/>
  <c r="AZ306" i="70"/>
  <c r="AZ302" i="69"/>
  <c r="AZ310" i="69" s="1"/>
  <c r="AW294" i="69"/>
  <c r="AW295" i="69" s="1"/>
  <c r="AY289" i="69"/>
  <c r="IH56" i="69" s="1"/>
  <c r="AY285" i="70"/>
  <c r="AZ288" i="69"/>
  <c r="HY57" i="70" s="1"/>
  <c r="AX290" i="69"/>
  <c r="AX315" i="69"/>
  <c r="AX291" i="69"/>
  <c r="AX293" i="69"/>
  <c r="E263" i="70" l="1"/>
  <c r="HR10" i="70" s="1"/>
  <c r="E264" i="70" s="1"/>
  <c r="HQ10" i="71" s="1"/>
  <c r="HP57" i="69"/>
  <c r="HO57" i="69"/>
  <c r="IF59" i="69"/>
  <c r="BB267" i="69"/>
  <c r="BB269" i="69"/>
  <c r="BB270" i="69" s="1"/>
  <c r="BB271" i="69" s="1"/>
  <c r="BB266" i="69"/>
  <c r="BB313" i="69"/>
  <c r="BA277" i="69"/>
  <c r="BA273" i="70"/>
  <c r="IB59" i="69"/>
  <c r="IA59" i="69"/>
  <c r="IA58" i="69"/>
  <c r="IB58" i="69"/>
  <c r="F262" i="70" a="1"/>
  <c r="F262" i="70" s="1"/>
  <c r="BB273" i="70"/>
  <c r="BB277" i="69"/>
  <c r="IG59" i="69" s="1"/>
  <c r="AY253" i="69"/>
  <c r="IE56" i="69" s="1"/>
  <c r="AY249" i="70"/>
  <c r="AW304" i="70"/>
  <c r="AW300" i="69"/>
  <c r="AW308" i="69" s="1"/>
  <c r="BA251" i="69"/>
  <c r="HN58" i="69" s="1"/>
  <c r="BB250" i="69" a="1"/>
  <c r="BB250" i="69" s="1"/>
  <c r="BB251" i="69" s="1"/>
  <c r="HN59" i="69" s="1"/>
  <c r="AZ252" i="69"/>
  <c r="HM57" i="70" s="1"/>
  <c r="AX255" i="69"/>
  <c r="AX299" i="69"/>
  <c r="AX257" i="69"/>
  <c r="AX258" i="69" s="1"/>
  <c r="AX259" i="69" s="1"/>
  <c r="AX312" i="69"/>
  <c r="AX254" i="69"/>
  <c r="AX307" i="70"/>
  <c r="AX303" i="69"/>
  <c r="AX311" i="69" s="1"/>
  <c r="AZ289" i="69"/>
  <c r="IH57" i="69" s="1"/>
  <c r="AZ285" i="70"/>
  <c r="AX294" i="69"/>
  <c r="AX295" i="69" s="1"/>
  <c r="BA288" i="69"/>
  <c r="HY58" i="70" s="1"/>
  <c r="AY315" i="69"/>
  <c r="AY290" i="69"/>
  <c r="AY291" i="69"/>
  <c r="AY293" i="69"/>
  <c r="BB288" i="69"/>
  <c r="HY59" i="70" s="1"/>
  <c r="HT10" i="70" l="1"/>
  <c r="HS10" i="70"/>
  <c r="E274" i="70" a="1"/>
  <c r="E274" i="70" s="1"/>
  <c r="E275" i="70" s="1"/>
  <c r="HV10" i="70" s="1"/>
  <c r="IG58" i="69"/>
  <c r="BA279" i="69"/>
  <c r="BA281" i="69"/>
  <c r="BA282" i="69" s="1"/>
  <c r="BA283" i="69" s="1"/>
  <c r="BA278" i="69"/>
  <c r="BA314" i="69"/>
  <c r="G262" i="70" a="1"/>
  <c r="G262" i="70" s="1"/>
  <c r="F263" i="70"/>
  <c r="HR11" i="70" s="1"/>
  <c r="BB305" i="70"/>
  <c r="BB301" i="69"/>
  <c r="HP59" i="69"/>
  <c r="HO59" i="69"/>
  <c r="HP58" i="69"/>
  <c r="HO58" i="69"/>
  <c r="E297" i="69"/>
  <c r="Y107" i="72" s="1"/>
  <c r="Y108" i="72" s="1"/>
  <c r="U105" i="72" s="1"/>
  <c r="V106" i="72" s="1"/>
  <c r="E265" i="70"/>
  <c r="E261" i="71"/>
  <c r="BA252" i="69"/>
  <c r="HM58" i="70" s="1"/>
  <c r="AX300" i="69"/>
  <c r="AX308" i="69" s="1"/>
  <c r="AX304" i="70"/>
  <c r="AY299" i="69"/>
  <c r="AY255" i="69"/>
  <c r="AY257" i="69"/>
  <c r="AY258" i="69" s="1"/>
  <c r="AY259" i="69" s="1"/>
  <c r="AY254" i="69"/>
  <c r="AY312" i="69"/>
  <c r="AZ253" i="69"/>
  <c r="IE57" i="69" s="1"/>
  <c r="AZ249" i="70"/>
  <c r="BB279" i="69"/>
  <c r="BB278" i="69"/>
  <c r="BB314" i="69"/>
  <c r="BB281" i="69"/>
  <c r="BB282" i="69" s="1"/>
  <c r="BB283" i="69" s="1"/>
  <c r="AZ315" i="69"/>
  <c r="AZ290" i="69"/>
  <c r="AZ293" i="69"/>
  <c r="AZ291" i="69"/>
  <c r="AY303" i="69"/>
  <c r="AY311" i="69" s="1"/>
  <c r="AY307" i="70"/>
  <c r="BA289" i="69"/>
  <c r="IH58" i="69" s="1"/>
  <c r="BA285" i="70"/>
  <c r="AY294" i="69"/>
  <c r="AY295" i="69" s="1"/>
  <c r="BB289" i="69"/>
  <c r="IH59" i="69" s="1"/>
  <c r="BB285" i="70"/>
  <c r="HT11" i="70" l="1"/>
  <c r="HS11" i="70"/>
  <c r="HX10" i="70"/>
  <c r="HW10" i="70"/>
  <c r="F274" i="70" a="1"/>
  <c r="F274" i="70" s="1"/>
  <c r="F275" i="70" s="1"/>
  <c r="HV11" i="70" s="1"/>
  <c r="H262" i="70" a="1"/>
  <c r="H262" i="70" s="1"/>
  <c r="BB309" i="69"/>
  <c r="G297" i="69"/>
  <c r="G263" i="70"/>
  <c r="HR12" i="70" s="1"/>
  <c r="BA306" i="70"/>
  <c r="BA302" i="69"/>
  <c r="BA310" i="69" s="1"/>
  <c r="Y109" i="72"/>
  <c r="U107" i="72"/>
  <c r="U109" i="72" s="1"/>
  <c r="E266" i="70"/>
  <c r="E267" i="70"/>
  <c r="E269" i="70"/>
  <c r="E270" i="70" s="1"/>
  <c r="E271" i="70" s="1"/>
  <c r="E313" i="70"/>
  <c r="IF10" i="70"/>
  <c r="E286" i="70" a="1"/>
  <c r="E286" i="70" s="1"/>
  <c r="BB302" i="69"/>
  <c r="BB310" i="69" s="1"/>
  <c r="BB306" i="70"/>
  <c r="AZ257" i="69"/>
  <c r="AZ258" i="69" s="1"/>
  <c r="AZ259" i="69" s="1"/>
  <c r="AZ255" i="69"/>
  <c r="AZ254" i="69"/>
  <c r="AZ299" i="69"/>
  <c r="AZ312" i="69"/>
  <c r="BA253" i="69"/>
  <c r="IE58" i="69" s="1"/>
  <c r="BA249" i="70"/>
  <c r="AY304" i="70"/>
  <c r="AY300" i="69"/>
  <c r="AY308" i="69" s="1"/>
  <c r="BB252" i="69"/>
  <c r="HM59" i="70" s="1"/>
  <c r="AZ294" i="69"/>
  <c r="AZ295" i="69" s="1"/>
  <c r="BA290" i="69"/>
  <c r="BA293" i="69"/>
  <c r="BA291" i="69"/>
  <c r="BA315" i="69"/>
  <c r="AZ303" i="69"/>
  <c r="AZ311" i="69" s="1"/>
  <c r="AZ307" i="70"/>
  <c r="BB291" i="69"/>
  <c r="BB290" i="69"/>
  <c r="BB315" i="69"/>
  <c r="BB293" i="69"/>
  <c r="HT12" i="70" l="1"/>
  <c r="HS12" i="70"/>
  <c r="HX11" i="70"/>
  <c r="HW11" i="70"/>
  <c r="G274" i="70" a="1"/>
  <c r="G274" i="70" s="1"/>
  <c r="H274" i="70" s="1" a="1"/>
  <c r="H274" i="70" s="1"/>
  <c r="H275" i="70" s="1"/>
  <c r="I262" i="70" a="1"/>
  <c r="I262" i="70" s="1"/>
  <c r="E276" i="70"/>
  <c r="HU10" i="71" s="1"/>
  <c r="F264" i="70"/>
  <c r="HQ11" i="71" s="1"/>
  <c r="H263" i="70"/>
  <c r="HR13" i="70" s="1"/>
  <c r="Y102" i="72"/>
  <c r="I297" i="69"/>
  <c r="Y103" i="72" s="1"/>
  <c r="K297" i="69"/>
  <c r="Y104" i="72" s="1"/>
  <c r="Y105" i="72" s="1"/>
  <c r="F286" i="70" a="1"/>
  <c r="F286" i="70" s="1"/>
  <c r="F287" i="70" s="1"/>
  <c r="HZ11" i="70" s="1"/>
  <c r="E287" i="70"/>
  <c r="HZ10" i="70" s="1"/>
  <c r="E305" i="71"/>
  <c r="E301" i="70"/>
  <c r="E309" i="70" s="1"/>
  <c r="BA254" i="69"/>
  <c r="BA299" i="69"/>
  <c r="BA312" i="69"/>
  <c r="BA257" i="69"/>
  <c r="BA258" i="69" s="1"/>
  <c r="BA259" i="69" s="1"/>
  <c r="BA255" i="69"/>
  <c r="BB253" i="69"/>
  <c r="IE59" i="69" s="1"/>
  <c r="BB249" i="70"/>
  <c r="E250" i="70" s="1" a="1"/>
  <c r="E250" i="70" s="1"/>
  <c r="AZ300" i="69"/>
  <c r="AZ308" i="69" s="1"/>
  <c r="AZ304" i="70"/>
  <c r="BB294" i="69"/>
  <c r="BB295" i="69" s="1"/>
  <c r="BA307" i="70"/>
  <c r="BA303" i="69"/>
  <c r="BA311" i="69" s="1"/>
  <c r="BA294" i="69"/>
  <c r="BA295" i="69" s="1"/>
  <c r="BB303" i="69"/>
  <c r="BB307" i="70"/>
  <c r="HT13" i="70" l="1"/>
  <c r="HS13" i="70"/>
  <c r="IB10" i="70"/>
  <c r="IA10" i="70"/>
  <c r="IB11" i="70"/>
  <c r="IA11" i="70"/>
  <c r="G275" i="70"/>
  <c r="HV12" i="70" s="1"/>
  <c r="J262" i="70" a="1"/>
  <c r="J262" i="70" s="1"/>
  <c r="F265" i="70"/>
  <c r="IF11" i="70" s="1"/>
  <c r="F261" i="71"/>
  <c r="F276" i="70"/>
  <c r="HU11" i="71" s="1"/>
  <c r="E251" i="70"/>
  <c r="HN10" i="70" s="1"/>
  <c r="E277" i="70"/>
  <c r="IG10" i="70" s="1"/>
  <c r="E273" i="71"/>
  <c r="I263" i="70"/>
  <c r="HR14" i="70" s="1"/>
  <c r="G264" i="70"/>
  <c r="HQ12" i="71" s="1"/>
  <c r="F288" i="70"/>
  <c r="G286" i="70" a="1"/>
  <c r="G286" i="70" s="1"/>
  <c r="G287" i="70" s="1"/>
  <c r="HZ12" i="70" s="1"/>
  <c r="E288" i="70"/>
  <c r="HY10" i="71" s="1"/>
  <c r="I274" i="70" a="1"/>
  <c r="I274" i="70" s="1"/>
  <c r="I275" i="70" s="1"/>
  <c r="BB257" i="69"/>
  <c r="BB258" i="69" s="1"/>
  <c r="BB259" i="69" s="1"/>
  <c r="M297" i="69" s="1"/>
  <c r="U108" i="72" s="1"/>
  <c r="BB255" i="69"/>
  <c r="BB312" i="69"/>
  <c r="BB254" i="69"/>
  <c r="BB299" i="69"/>
  <c r="BA300" i="69"/>
  <c r="BA308" i="69" s="1"/>
  <c r="BA304" i="70"/>
  <c r="F250" i="70" a="1"/>
  <c r="F250" i="70" s="1"/>
  <c r="E296" i="69"/>
  <c r="Q107" i="72" s="1"/>
  <c r="Q109" i="72" s="1"/>
  <c r="BB311" i="69"/>
  <c r="G296" i="69"/>
  <c r="Q102" i="72" s="1"/>
  <c r="F289" i="70" l="1"/>
  <c r="F291" i="70" s="1"/>
  <c r="HY11" i="71"/>
  <c r="HX12" i="70"/>
  <c r="HW12" i="70"/>
  <c r="IA12" i="70"/>
  <c r="IB12" i="70"/>
  <c r="HT14" i="70"/>
  <c r="HS14" i="70"/>
  <c r="HV13" i="70"/>
  <c r="HP10" i="70"/>
  <c r="HO10" i="70"/>
  <c r="G276" i="70"/>
  <c r="HU12" i="71" s="1"/>
  <c r="H264" i="70"/>
  <c r="HQ13" i="71" s="1"/>
  <c r="J263" i="70"/>
  <c r="HR15" i="70" s="1"/>
  <c r="F273" i="71"/>
  <c r="F277" i="70"/>
  <c r="IG11" i="70" s="1"/>
  <c r="G261" i="71"/>
  <c r="G265" i="70"/>
  <c r="IF12" i="70" s="1"/>
  <c r="K262" i="70" a="1"/>
  <c r="K262" i="70" s="1"/>
  <c r="F266" i="70"/>
  <c r="F313" i="70"/>
  <c r="F269" i="70"/>
  <c r="F270" i="70" s="1"/>
  <c r="F271" i="70" s="1"/>
  <c r="F267" i="70"/>
  <c r="E252" i="70"/>
  <c r="E249" i="71" s="1"/>
  <c r="E278" i="70"/>
  <c r="E279" i="70"/>
  <c r="E281" i="70"/>
  <c r="E282" i="70" s="1"/>
  <c r="E283" i="70" s="1"/>
  <c r="E314" i="70"/>
  <c r="M296" i="69"/>
  <c r="M109" i="72" s="1"/>
  <c r="G288" i="70"/>
  <c r="F285" i="71"/>
  <c r="N106" i="72"/>
  <c r="M107" i="72"/>
  <c r="G250" i="70" a="1"/>
  <c r="G250" i="70" s="1"/>
  <c r="F251" i="70"/>
  <c r="HN11" i="70" s="1"/>
  <c r="H286" i="70" a="1"/>
  <c r="H286" i="70" s="1"/>
  <c r="E285" i="71"/>
  <c r="E289" i="70"/>
  <c r="J274" i="70" a="1"/>
  <c r="J274" i="70" s="1"/>
  <c r="J275" i="70" s="1"/>
  <c r="IH11" i="70"/>
  <c r="BB300" i="69"/>
  <c r="BB308" i="69" s="1"/>
  <c r="BB304" i="70"/>
  <c r="K296" i="69"/>
  <c r="Q104" i="72" s="1"/>
  <c r="Q105" i="72" s="1"/>
  <c r="I296" i="69"/>
  <c r="Q103" i="72" s="1"/>
  <c r="F293" i="70" l="1"/>
  <c r="F294" i="70" s="1"/>
  <c r="F295" i="70" s="1"/>
  <c r="F315" i="70"/>
  <c r="F290" i="70"/>
  <c r="G273" i="71"/>
  <c r="G277" i="70"/>
  <c r="IG12" i="70" s="1"/>
  <c r="E253" i="70"/>
  <c r="IE10" i="70" s="1"/>
  <c r="HM10" i="71"/>
  <c r="G285" i="71"/>
  <c r="HY12" i="71"/>
  <c r="HP11" i="70"/>
  <c r="HO11" i="70"/>
  <c r="HX13" i="70"/>
  <c r="HW13" i="70"/>
  <c r="HV14" i="70"/>
  <c r="I276" i="70" s="1"/>
  <c r="HU14" i="71" s="1"/>
  <c r="HS15" i="70"/>
  <c r="HT15" i="70"/>
  <c r="H276" i="70"/>
  <c r="HU13" i="71" s="1"/>
  <c r="H265" i="70"/>
  <c r="H261" i="71"/>
  <c r="L262" i="70" a="1"/>
  <c r="L262" i="70" s="1"/>
  <c r="G313" i="70"/>
  <c r="G267" i="70"/>
  <c r="G266" i="70"/>
  <c r="G269" i="70"/>
  <c r="G270" i="70" s="1"/>
  <c r="G271" i="70" s="1"/>
  <c r="E306" i="71"/>
  <c r="E302" i="70"/>
  <c r="E310" i="70" s="1"/>
  <c r="F314" i="70"/>
  <c r="F281" i="70"/>
  <c r="F282" i="70" s="1"/>
  <c r="F283" i="70" s="1"/>
  <c r="F279" i="70"/>
  <c r="F278" i="70"/>
  <c r="F305" i="71"/>
  <c r="F301" i="70"/>
  <c r="F309" i="70" s="1"/>
  <c r="K263" i="70"/>
  <c r="HR16" i="70" s="1"/>
  <c r="I264" i="70"/>
  <c r="HQ14" i="71" s="1"/>
  <c r="IH12" i="70"/>
  <c r="G289" i="70"/>
  <c r="G290" i="70" s="1"/>
  <c r="KY10" i="79"/>
  <c r="K274" i="70" a="1"/>
  <c r="K274" i="70" s="1"/>
  <c r="AD1" i="72"/>
  <c r="E257" i="70"/>
  <c r="E258" i="70" s="1"/>
  <c r="E259" i="70" s="1"/>
  <c r="E255" i="70"/>
  <c r="E312" i="70"/>
  <c r="E254" i="70"/>
  <c r="E299" i="70"/>
  <c r="E293" i="70"/>
  <c r="E294" i="70" s="1"/>
  <c r="E295" i="70" s="1"/>
  <c r="E291" i="70"/>
  <c r="E315" i="70"/>
  <c r="E290" i="70"/>
  <c r="IH10" i="70"/>
  <c r="F252" i="70"/>
  <c r="HM11" i="71" s="1"/>
  <c r="G278" i="70"/>
  <c r="G281" i="70"/>
  <c r="G282" i="70" s="1"/>
  <c r="G283" i="70" s="1"/>
  <c r="G314" i="70"/>
  <c r="G279" i="70"/>
  <c r="H250" i="70" a="1"/>
  <c r="H250" i="70" s="1"/>
  <c r="H251" i="70" s="1"/>
  <c r="HN13" i="70" s="1"/>
  <c r="G251" i="70"/>
  <c r="HN12" i="70" s="1"/>
  <c r="I286" i="70" a="1"/>
  <c r="I286" i="70" s="1"/>
  <c r="I287" i="70" s="1"/>
  <c r="HZ14" i="70" s="1"/>
  <c r="H287" i="70"/>
  <c r="HZ13" i="70" s="1"/>
  <c r="F307" i="71"/>
  <c r="F303" i="70"/>
  <c r="F311" i="70" s="1"/>
  <c r="HW14" i="70" l="1"/>
  <c r="HX14" i="70"/>
  <c r="IB13" i="70"/>
  <c r="IA13" i="70"/>
  <c r="HP13" i="70"/>
  <c r="HO13" i="70"/>
  <c r="IB14" i="70"/>
  <c r="IA14" i="70"/>
  <c r="HO12" i="70"/>
  <c r="HP12" i="70"/>
  <c r="HT16" i="70"/>
  <c r="HS16" i="70"/>
  <c r="HV15" i="70"/>
  <c r="IF13" i="70"/>
  <c r="H313" i="70"/>
  <c r="H267" i="70"/>
  <c r="H266" i="70"/>
  <c r="H269" i="70"/>
  <c r="H270" i="70" s="1"/>
  <c r="H271" i="70" s="1"/>
  <c r="H277" i="70"/>
  <c r="IG13" i="70" s="1"/>
  <c r="H273" i="71"/>
  <c r="F306" i="71"/>
  <c r="F302" i="70"/>
  <c r="F310" i="70" s="1"/>
  <c r="I261" i="71"/>
  <c r="I265" i="70"/>
  <c r="IF14" i="70" s="1"/>
  <c r="M262" i="70" a="1"/>
  <c r="M262" i="70" s="1"/>
  <c r="G301" i="70"/>
  <c r="G309" i="70" s="1"/>
  <c r="G305" i="71"/>
  <c r="L263" i="70"/>
  <c r="HR17" i="70" s="1"/>
  <c r="L264" i="70" s="1"/>
  <c r="HQ17" i="71" s="1"/>
  <c r="I277" i="70"/>
  <c r="I273" i="71"/>
  <c r="J264" i="70"/>
  <c r="HQ15" i="71" s="1"/>
  <c r="G293" i="70"/>
  <c r="G294" i="70" s="1"/>
  <c r="G295" i="70" s="1"/>
  <c r="G291" i="70"/>
  <c r="G303" i="70" s="1"/>
  <c r="G315" i="70"/>
  <c r="AD1" i="73"/>
  <c r="KT10" i="79"/>
  <c r="L274" i="70" a="1"/>
  <c r="L274" i="70" s="1"/>
  <c r="L275" i="70" s="1"/>
  <c r="K275" i="70"/>
  <c r="G252" i="70"/>
  <c r="HM12" i="71" s="1"/>
  <c r="F253" i="70"/>
  <c r="IE11" i="70" s="1"/>
  <c r="F249" i="71"/>
  <c r="E307" i="71"/>
  <c r="E303" i="70"/>
  <c r="E311" i="70" s="1"/>
  <c r="J286" i="70" a="1"/>
  <c r="J286" i="70" s="1"/>
  <c r="J287" i="70" s="1"/>
  <c r="HZ15" i="70" s="1"/>
  <c r="I250" i="70" a="1"/>
  <c r="I250" i="70" s="1"/>
  <c r="G306" i="71"/>
  <c r="G302" i="70"/>
  <c r="G310" i="70" s="1"/>
  <c r="H288" i="70"/>
  <c r="HY13" i="71" s="1"/>
  <c r="E300" i="70"/>
  <c r="E308" i="70" s="1"/>
  <c r="E304" i="71"/>
  <c r="QE10" i="79"/>
  <c r="HV16" i="70" l="1"/>
  <c r="HV17" i="70" s="1"/>
  <c r="IA15" i="70"/>
  <c r="IB15" i="70"/>
  <c r="HT17" i="70"/>
  <c r="HS17" i="70"/>
  <c r="HX15" i="70"/>
  <c r="HW15" i="70"/>
  <c r="H301" i="70"/>
  <c r="H309" i="70" s="1"/>
  <c r="H305" i="71"/>
  <c r="H281" i="70"/>
  <c r="H282" i="70" s="1"/>
  <c r="H283" i="70" s="1"/>
  <c r="H314" i="70"/>
  <c r="H279" i="70"/>
  <c r="H278" i="70"/>
  <c r="J276" i="70"/>
  <c r="J277" i="70" s="1"/>
  <c r="IG15" i="70" s="1"/>
  <c r="G311" i="70"/>
  <c r="N262" i="70" a="1"/>
  <c r="N262" i="70" s="1"/>
  <c r="K264" i="70"/>
  <c r="HQ16" i="71" s="1"/>
  <c r="IG14" i="70"/>
  <c r="I281" i="70"/>
  <c r="I282" i="70" s="1"/>
  <c r="I283" i="70" s="1"/>
  <c r="I314" i="70"/>
  <c r="I278" i="70"/>
  <c r="I279" i="70"/>
  <c r="M263" i="70"/>
  <c r="HR18" i="70" s="1"/>
  <c r="I313" i="70"/>
  <c r="I267" i="70"/>
  <c r="I266" i="70"/>
  <c r="I269" i="70"/>
  <c r="I270" i="70" s="1"/>
  <c r="I271" i="70" s="1"/>
  <c r="J265" i="70"/>
  <c r="IF15" i="70" s="1"/>
  <c r="J261" i="71"/>
  <c r="G307" i="71"/>
  <c r="I288" i="70"/>
  <c r="H252" i="70"/>
  <c r="K286" i="70" a="1"/>
  <c r="K286" i="70" s="1"/>
  <c r="H285" i="71"/>
  <c r="H289" i="70"/>
  <c r="IH13" i="70" s="1"/>
  <c r="L261" i="71"/>
  <c r="L265" i="70"/>
  <c r="IF17" i="70" s="1"/>
  <c r="J250" i="70" a="1"/>
  <c r="J250" i="70" s="1"/>
  <c r="J251" i="70" s="1"/>
  <c r="HN15" i="70" s="1"/>
  <c r="I251" i="70"/>
  <c r="HN14" i="70" s="1"/>
  <c r="J288" i="70"/>
  <c r="HY15" i="71" s="1"/>
  <c r="M274" i="70" a="1"/>
  <c r="M274" i="70" s="1"/>
  <c r="F255" i="70"/>
  <c r="F257" i="70"/>
  <c r="F258" i="70" s="1"/>
  <c r="F259" i="70" s="1"/>
  <c r="F254" i="70"/>
  <c r="AH1" i="72"/>
  <c r="F312" i="70"/>
  <c r="F299" i="70"/>
  <c r="G253" i="70"/>
  <c r="IE12" i="70" s="1"/>
  <c r="G249" i="71"/>
  <c r="K276" i="70"/>
  <c r="HU16" i="71" s="1"/>
  <c r="HX16" i="70" l="1"/>
  <c r="HW16" i="70"/>
  <c r="HW17" i="70"/>
  <c r="HX17" i="70"/>
  <c r="H253" i="70"/>
  <c r="IE13" i="70" s="1"/>
  <c r="HM13" i="71"/>
  <c r="I289" i="70"/>
  <c r="IH14" i="70" s="1"/>
  <c r="HY14" i="71"/>
  <c r="J273" i="71"/>
  <c r="HU15" i="71"/>
  <c r="HP14" i="70"/>
  <c r="HO14" i="70"/>
  <c r="HP15" i="70"/>
  <c r="HO15" i="70"/>
  <c r="HS18" i="70"/>
  <c r="HT18" i="70"/>
  <c r="H302" i="70"/>
  <c r="H310" i="70" s="1"/>
  <c r="H306" i="71"/>
  <c r="M264" i="70"/>
  <c r="M265" i="70" s="1"/>
  <c r="IF18" i="70" s="1"/>
  <c r="J269" i="70"/>
  <c r="J270" i="70" s="1"/>
  <c r="J271" i="70" s="1"/>
  <c r="J266" i="70"/>
  <c r="J313" i="70"/>
  <c r="J267" i="70"/>
  <c r="I305" i="71"/>
  <c r="I301" i="70"/>
  <c r="I309" i="70" s="1"/>
  <c r="N263" i="70"/>
  <c r="HR19" i="70" s="1"/>
  <c r="N264" i="70" s="1"/>
  <c r="HQ19" i="71" s="1"/>
  <c r="O262" i="70" a="1"/>
  <c r="O262" i="70" s="1"/>
  <c r="J279" i="70"/>
  <c r="J314" i="70"/>
  <c r="J281" i="70"/>
  <c r="J282" i="70" s="1"/>
  <c r="J283" i="70" s="1"/>
  <c r="J278" i="70"/>
  <c r="I306" i="71"/>
  <c r="I302" i="70"/>
  <c r="I310" i="70" s="1"/>
  <c r="K261" i="71"/>
  <c r="K265" i="70"/>
  <c r="IF16" i="70" s="1"/>
  <c r="I285" i="71"/>
  <c r="AH1" i="73"/>
  <c r="H249" i="71"/>
  <c r="H315" i="70"/>
  <c r="H290" i="70"/>
  <c r="H293" i="70"/>
  <c r="H294" i="70" s="1"/>
  <c r="H295" i="70" s="1"/>
  <c r="H291" i="70"/>
  <c r="F304" i="71"/>
  <c r="F300" i="70"/>
  <c r="F308" i="70" s="1"/>
  <c r="N274" i="70" a="1"/>
  <c r="N274" i="70" s="1"/>
  <c r="N275" i="70" s="1"/>
  <c r="HV19" i="70" s="1"/>
  <c r="M275" i="70"/>
  <c r="HV18" i="70" s="1"/>
  <c r="K277" i="70"/>
  <c r="IG16" i="70" s="1"/>
  <c r="K273" i="71"/>
  <c r="G254" i="70"/>
  <c r="G312" i="70"/>
  <c r="G255" i="70"/>
  <c r="G257" i="70"/>
  <c r="G258" i="70" s="1"/>
  <c r="G259" i="70" s="1"/>
  <c r="AL1" i="72"/>
  <c r="G299" i="70"/>
  <c r="K250" i="70" a="1"/>
  <c r="K250" i="70" s="1"/>
  <c r="L276" i="70"/>
  <c r="HU17" i="71" s="1"/>
  <c r="I252" i="70"/>
  <c r="HM14" i="71" s="1"/>
  <c r="L286" i="70" a="1"/>
  <c r="L286" i="70" s="1"/>
  <c r="L287" i="70" s="1"/>
  <c r="HZ17" i="70" s="1"/>
  <c r="K287" i="70"/>
  <c r="HZ16" i="70" s="1"/>
  <c r="J289" i="70"/>
  <c r="IH15" i="70" s="1"/>
  <c r="J285" i="71"/>
  <c r="H254" i="70"/>
  <c r="H312" i="70"/>
  <c r="H257" i="70"/>
  <c r="H258" i="70" s="1"/>
  <c r="H259" i="70" s="1"/>
  <c r="AP1" i="72"/>
  <c r="H255" i="70"/>
  <c r="H299" i="70"/>
  <c r="L267" i="70"/>
  <c r="L313" i="70"/>
  <c r="L266" i="70"/>
  <c r="L269" i="70"/>
  <c r="L270" i="70" s="1"/>
  <c r="L271" i="70" s="1"/>
  <c r="I293" i="70" l="1"/>
  <c r="I294" i="70" s="1"/>
  <c r="I295" i="70" s="1"/>
  <c r="I290" i="70"/>
  <c r="I315" i="70"/>
  <c r="I291" i="70"/>
  <c r="I303" i="70" s="1"/>
  <c r="I311" i="70" s="1"/>
  <c r="M261" i="71"/>
  <c r="HQ18" i="71"/>
  <c r="IB17" i="70"/>
  <c r="IA17" i="70"/>
  <c r="IA16" i="70"/>
  <c r="IB16" i="70"/>
  <c r="HT19" i="70"/>
  <c r="HS19" i="70"/>
  <c r="HX18" i="70"/>
  <c r="HW18" i="70"/>
  <c r="HX19" i="70"/>
  <c r="HW19" i="70"/>
  <c r="J306" i="71"/>
  <c r="J302" i="70"/>
  <c r="J310" i="70" s="1"/>
  <c r="P262" i="70" a="1"/>
  <c r="P262" i="70" s="1"/>
  <c r="K266" i="70"/>
  <c r="K313" i="70"/>
  <c r="K267" i="70"/>
  <c r="K269" i="70"/>
  <c r="K270" i="70" s="1"/>
  <c r="K271" i="70" s="1"/>
  <c r="J301" i="70"/>
  <c r="J309" i="70" s="1"/>
  <c r="J305" i="71"/>
  <c r="O263" i="70"/>
  <c r="HR20" i="70" s="1"/>
  <c r="AP1" i="73"/>
  <c r="AL1" i="73"/>
  <c r="N276" i="70"/>
  <c r="HU19" i="71" s="1"/>
  <c r="L288" i="70"/>
  <c r="HY17" i="71" s="1"/>
  <c r="J290" i="70"/>
  <c r="J291" i="70"/>
  <c r="J315" i="70"/>
  <c r="J293" i="70"/>
  <c r="J294" i="70" s="1"/>
  <c r="J295" i="70" s="1"/>
  <c r="K288" i="70"/>
  <c r="HY16" i="71" s="1"/>
  <c r="G304" i="71"/>
  <c r="G300" i="70"/>
  <c r="G308" i="70" s="1"/>
  <c r="N265" i="70"/>
  <c r="IF19" i="70" s="1"/>
  <c r="N261" i="71"/>
  <c r="H307" i="71"/>
  <c r="H303" i="70"/>
  <c r="H311" i="70" s="1"/>
  <c r="M276" i="70"/>
  <c r="HU18" i="71" s="1"/>
  <c r="I253" i="70"/>
  <c r="IE14" i="70" s="1"/>
  <c r="I249" i="71"/>
  <c r="L273" i="71"/>
  <c r="L277" i="70"/>
  <c r="IG17" i="70" s="1"/>
  <c r="L305" i="71"/>
  <c r="L301" i="70"/>
  <c r="L309" i="70" s="1"/>
  <c r="I307" i="71"/>
  <c r="L250" i="70" a="1"/>
  <c r="L250" i="70" s="1"/>
  <c r="K251" i="70"/>
  <c r="HN16" i="70" s="1"/>
  <c r="K314" i="70"/>
  <c r="K281" i="70"/>
  <c r="K282" i="70" s="1"/>
  <c r="K283" i="70" s="1"/>
  <c r="K279" i="70"/>
  <c r="K278" i="70"/>
  <c r="H304" i="71"/>
  <c r="H300" i="70"/>
  <c r="H308" i="70" s="1"/>
  <c r="AS317" i="71" s="1"/>
  <c r="J252" i="70"/>
  <c r="HM15" i="71" s="1"/>
  <c r="M269" i="70"/>
  <c r="M270" i="70" s="1"/>
  <c r="M271" i="70" s="1"/>
  <c r="M266" i="70"/>
  <c r="M267" i="70"/>
  <c r="M313" i="70"/>
  <c r="M286" i="70" a="1"/>
  <c r="M286" i="70" s="1"/>
  <c r="M287" i="70" s="1"/>
  <c r="HZ18" i="70" s="1"/>
  <c r="O274" i="70" a="1"/>
  <c r="O274" i="70" s="1"/>
  <c r="IB18" i="70" l="1"/>
  <c r="IA18" i="70"/>
  <c r="HO16" i="70"/>
  <c r="HP16" i="70"/>
  <c r="HT20" i="70"/>
  <c r="HS20" i="70"/>
  <c r="O264" i="70"/>
  <c r="HQ20" i="71" s="1"/>
  <c r="K301" i="70"/>
  <c r="K309" i="70" s="1"/>
  <c r="K305" i="71"/>
  <c r="Q262" i="70" a="1"/>
  <c r="Q262" i="70" s="1"/>
  <c r="P263" i="70"/>
  <c r="HR21" i="70" s="1"/>
  <c r="M288" i="70"/>
  <c r="HY18" i="71" s="1"/>
  <c r="M277" i="70"/>
  <c r="IG18" i="70" s="1"/>
  <c r="M273" i="71"/>
  <c r="L281" i="70"/>
  <c r="L282" i="70" s="1"/>
  <c r="L283" i="70" s="1"/>
  <c r="L314" i="70"/>
  <c r="L279" i="70"/>
  <c r="L278" i="70"/>
  <c r="M305" i="71"/>
  <c r="M301" i="70"/>
  <c r="M309" i="70" s="1"/>
  <c r="K252" i="70"/>
  <c r="HM16" i="71" s="1"/>
  <c r="L285" i="71"/>
  <c r="L289" i="70"/>
  <c r="IH17" i="70" s="1"/>
  <c r="M250" i="70" a="1"/>
  <c r="M250" i="70" s="1"/>
  <c r="L251" i="70"/>
  <c r="HN17" i="70" s="1"/>
  <c r="AT1" i="72"/>
  <c r="I255" i="70"/>
  <c r="I254" i="70"/>
  <c r="I257" i="70"/>
  <c r="I258" i="70" s="1"/>
  <c r="I259" i="70" s="1"/>
  <c r="I312" i="70"/>
  <c r="I299" i="70"/>
  <c r="K289" i="70"/>
  <c r="IH16" i="70" s="1"/>
  <c r="K285" i="71"/>
  <c r="N277" i="70"/>
  <c r="IG19" i="70" s="1"/>
  <c r="N273" i="71"/>
  <c r="P274" i="70" a="1"/>
  <c r="P274" i="70" s="1"/>
  <c r="P275" i="70" s="1"/>
  <c r="HV21" i="70" s="1"/>
  <c r="O275" i="70"/>
  <c r="HV20" i="70" s="1"/>
  <c r="N313" i="70"/>
  <c r="N266" i="70"/>
  <c r="N269" i="70"/>
  <c r="N270" i="70" s="1"/>
  <c r="N271" i="70" s="1"/>
  <c r="N267" i="70"/>
  <c r="N286" i="70" a="1"/>
  <c r="N286" i="70" s="1"/>
  <c r="N287" i="70" s="1"/>
  <c r="HZ19" i="70" s="1"/>
  <c r="J253" i="70"/>
  <c r="IE15" i="70" s="1"/>
  <c r="J249" i="71"/>
  <c r="K302" i="70"/>
  <c r="K310" i="70" s="1"/>
  <c r="K306" i="71"/>
  <c r="O261" i="71"/>
  <c r="O265" i="70"/>
  <c r="IF20" i="70" s="1"/>
  <c r="J303" i="70"/>
  <c r="J311" i="70" s="1"/>
  <c r="J307" i="71"/>
  <c r="HS21" i="70" l="1"/>
  <c r="HT21" i="70"/>
  <c r="HX21" i="70"/>
  <c r="HW21" i="70"/>
  <c r="IA19" i="70"/>
  <c r="IB19" i="70"/>
  <c r="HW20" i="70"/>
  <c r="HX20" i="70"/>
  <c r="HP17" i="70"/>
  <c r="HO17" i="70"/>
  <c r="R262" i="70" a="1"/>
  <c r="R262" i="70" s="1"/>
  <c r="P264" i="70"/>
  <c r="Q263" i="70"/>
  <c r="HR22" i="70" s="1"/>
  <c r="AT1" i="73"/>
  <c r="O286" i="70" a="1"/>
  <c r="O286" i="70" s="1"/>
  <c r="O287" i="70" s="1"/>
  <c r="HZ20" i="70" s="1"/>
  <c r="N288" i="70"/>
  <c r="HY19" i="71" s="1"/>
  <c r="M278" i="70"/>
  <c r="M279" i="70"/>
  <c r="M314" i="70"/>
  <c r="M281" i="70"/>
  <c r="M282" i="70" s="1"/>
  <c r="M283" i="70" s="1"/>
  <c r="AX1" i="72"/>
  <c r="J255" i="70"/>
  <c r="J312" i="70"/>
  <c r="J254" i="70"/>
  <c r="J257" i="70"/>
  <c r="J258" i="70" s="1"/>
  <c r="J259" i="70" s="1"/>
  <c r="J299" i="70"/>
  <c r="N301" i="70"/>
  <c r="N309" i="70" s="1"/>
  <c r="N305" i="71"/>
  <c r="N279" i="70"/>
  <c r="N278" i="70"/>
  <c r="N281" i="70"/>
  <c r="N282" i="70" s="1"/>
  <c r="N283" i="70" s="1"/>
  <c r="N314" i="70"/>
  <c r="O313" i="70"/>
  <c r="O267" i="70"/>
  <c r="O269" i="70"/>
  <c r="O270" i="70" s="1"/>
  <c r="O271" i="70" s="1"/>
  <c r="O266" i="70"/>
  <c r="Q264" i="70"/>
  <c r="HQ22" i="71" s="1"/>
  <c r="I300" i="70"/>
  <c r="I308" i="70" s="1"/>
  <c r="I304" i="71"/>
  <c r="K253" i="70"/>
  <c r="IE16" i="70" s="1"/>
  <c r="K249" i="71"/>
  <c r="K291" i="70"/>
  <c r="K315" i="70"/>
  <c r="K293" i="70"/>
  <c r="K294" i="70" s="1"/>
  <c r="K295" i="70" s="1"/>
  <c r="K290" i="70"/>
  <c r="L252" i="70"/>
  <c r="HM17" i="71" s="1"/>
  <c r="M289" i="70"/>
  <c r="IH18" i="70" s="1"/>
  <c r="M285" i="71"/>
  <c r="O276" i="70"/>
  <c r="HU20" i="71" s="1"/>
  <c r="M251" i="70"/>
  <c r="HN18" i="70" s="1"/>
  <c r="N250" i="70" a="1"/>
  <c r="N250" i="70" s="1"/>
  <c r="P276" i="70"/>
  <c r="HU21" i="71" s="1"/>
  <c r="L291" i="70"/>
  <c r="L293" i="70"/>
  <c r="L294" i="70" s="1"/>
  <c r="L295" i="70" s="1"/>
  <c r="L290" i="70"/>
  <c r="L315" i="70"/>
  <c r="L306" i="71"/>
  <c r="L302" i="70"/>
  <c r="L310" i="70" s="1"/>
  <c r="Q274" i="70" a="1"/>
  <c r="Q274" i="70" s="1"/>
  <c r="Q275" i="70" s="1"/>
  <c r="HV22" i="70" s="1"/>
  <c r="P261" i="71" l="1"/>
  <c r="HQ21" i="71"/>
  <c r="HX22" i="70"/>
  <c r="HW22" i="70"/>
  <c r="IB20" i="70"/>
  <c r="IA20" i="70"/>
  <c r="HO18" i="70"/>
  <c r="HP18" i="70"/>
  <c r="HT22" i="70"/>
  <c r="HS22" i="70"/>
  <c r="P265" i="70"/>
  <c r="IF21" i="70" s="1"/>
  <c r="S262" i="70" a="1"/>
  <c r="S262" i="70" s="1"/>
  <c r="R263" i="70"/>
  <c r="HR23" i="70" s="1"/>
  <c r="AX1" i="73"/>
  <c r="P286" i="70" a="1"/>
  <c r="P286" i="70" s="1"/>
  <c r="P287" i="70" s="1"/>
  <c r="HZ21" i="70" s="1"/>
  <c r="O250" i="70" a="1"/>
  <c r="O250" i="70" s="1"/>
  <c r="N251" i="70"/>
  <c r="HN19" i="70" s="1"/>
  <c r="M302" i="70"/>
  <c r="M310" i="70" s="1"/>
  <c r="M306" i="71"/>
  <c r="Q276" i="70"/>
  <c r="HU22" i="71" s="1"/>
  <c r="O277" i="70"/>
  <c r="IG20" i="70" s="1"/>
  <c r="O273" i="71"/>
  <c r="P273" i="71"/>
  <c r="P277" i="70"/>
  <c r="IG21" i="70" s="1"/>
  <c r="Q265" i="70"/>
  <c r="IF22" i="70" s="1"/>
  <c r="Q261" i="71"/>
  <c r="J300" i="70"/>
  <c r="J308" i="70" s="1"/>
  <c r="J304" i="71"/>
  <c r="K303" i="70"/>
  <c r="K311" i="70" s="1"/>
  <c r="K307" i="71"/>
  <c r="N306" i="71"/>
  <c r="N302" i="70"/>
  <c r="N310" i="70" s="1"/>
  <c r="M291" i="70"/>
  <c r="M293" i="70"/>
  <c r="M294" i="70" s="1"/>
  <c r="M295" i="70" s="1"/>
  <c r="M290" i="70"/>
  <c r="M315" i="70"/>
  <c r="R274" i="70" a="1"/>
  <c r="R274" i="70" s="1"/>
  <c r="R275" i="70" s="1"/>
  <c r="HV23" i="70" s="1"/>
  <c r="BB1" i="72"/>
  <c r="K254" i="70"/>
  <c r="K312" i="70"/>
  <c r="K257" i="70"/>
  <c r="K258" i="70" s="1"/>
  <c r="K259" i="70" s="1"/>
  <c r="K255" i="70"/>
  <c r="K299" i="70"/>
  <c r="L307" i="71"/>
  <c r="L303" i="70"/>
  <c r="L311" i="70" s="1"/>
  <c r="M252" i="70"/>
  <c r="HM18" i="71" s="1"/>
  <c r="O301" i="70"/>
  <c r="O309" i="70" s="1"/>
  <c r="O305" i="71"/>
  <c r="N289" i="70"/>
  <c r="IH19" i="70" s="1"/>
  <c r="N285" i="71"/>
  <c r="L253" i="70"/>
  <c r="IE17" i="70" s="1"/>
  <c r="L249" i="71"/>
  <c r="P266" i="70"/>
  <c r="P313" i="70" l="1"/>
  <c r="P269" i="70"/>
  <c r="P270" i="70" s="1"/>
  <c r="P271" i="70" s="1"/>
  <c r="P267" i="70"/>
  <c r="P301" i="70" s="1"/>
  <c r="P309" i="70" s="1"/>
  <c r="HW23" i="70"/>
  <c r="HX23" i="70"/>
  <c r="HT23" i="70"/>
  <c r="HS23" i="70"/>
  <c r="HO19" i="70"/>
  <c r="HP19" i="70"/>
  <c r="IB21" i="70"/>
  <c r="IA21" i="70"/>
  <c r="T262" i="70" a="1"/>
  <c r="T262" i="70" s="1"/>
  <c r="S263" i="70"/>
  <c r="HR24" i="70" s="1"/>
  <c r="O288" i="70"/>
  <c r="HY20" i="71" s="1"/>
  <c r="R264" i="70"/>
  <c r="BB1" i="73"/>
  <c r="Q286" i="70" a="1"/>
  <c r="Q286" i="70" s="1"/>
  <c r="Q287" i="70" s="1"/>
  <c r="HZ22" i="70" s="1"/>
  <c r="M253" i="70"/>
  <c r="IE18" i="70" s="1"/>
  <c r="M249" i="71"/>
  <c r="R276" i="70"/>
  <c r="HU23" i="71" s="1"/>
  <c r="M303" i="70"/>
  <c r="M311" i="70" s="1"/>
  <c r="M307" i="71"/>
  <c r="S274" i="70" a="1"/>
  <c r="S274" i="70" s="1"/>
  <c r="S275" i="70" s="1"/>
  <c r="HV24" i="70" s="1"/>
  <c r="O314" i="70"/>
  <c r="O279" i="70"/>
  <c r="O278" i="70"/>
  <c r="O281" i="70"/>
  <c r="O282" i="70" s="1"/>
  <c r="O283" i="70" s="1"/>
  <c r="N252" i="70"/>
  <c r="HM19" i="71" s="1"/>
  <c r="K304" i="71"/>
  <c r="K300" i="70"/>
  <c r="K308" i="70" s="1"/>
  <c r="P250" i="70" a="1"/>
  <c r="P250" i="70" s="1"/>
  <c r="O251" i="70"/>
  <c r="HN20" i="70" s="1"/>
  <c r="N293" i="70"/>
  <c r="N294" i="70" s="1"/>
  <c r="N295" i="70" s="1"/>
  <c r="N315" i="70"/>
  <c r="N291" i="70"/>
  <c r="N290" i="70"/>
  <c r="Q269" i="70"/>
  <c r="Q270" i="70" s="1"/>
  <c r="Q271" i="70" s="1"/>
  <c r="Q313" i="70"/>
  <c r="Q266" i="70"/>
  <c r="Q267" i="70"/>
  <c r="Q277" i="70"/>
  <c r="IG22" i="70" s="1"/>
  <c r="Q273" i="71"/>
  <c r="L255" i="70"/>
  <c r="BF1" i="72"/>
  <c r="L257" i="70"/>
  <c r="L258" i="70" s="1"/>
  <c r="L259" i="70" s="1"/>
  <c r="L254" i="70"/>
  <c r="L312" i="70"/>
  <c r="L299" i="70"/>
  <c r="P279" i="70"/>
  <c r="P278" i="70"/>
  <c r="P281" i="70"/>
  <c r="P282" i="70" s="1"/>
  <c r="P283" i="70" s="1"/>
  <c r="P314" i="70"/>
  <c r="P305" i="71" l="1"/>
  <c r="R265" i="70"/>
  <c r="IF23" i="70" s="1"/>
  <c r="HQ23" i="71"/>
  <c r="HS24" i="70"/>
  <c r="HT24" i="70"/>
  <c r="HX24" i="70"/>
  <c r="HW24" i="70"/>
  <c r="HP20" i="70"/>
  <c r="HO20" i="70"/>
  <c r="IA22" i="70"/>
  <c r="IB22" i="70"/>
  <c r="R261" i="71"/>
  <c r="O289" i="70"/>
  <c r="IH20" i="70" s="1"/>
  <c r="O285" i="71"/>
  <c r="T263" i="70"/>
  <c r="HR25" i="70" s="1"/>
  <c r="T264" i="70" s="1"/>
  <c r="HQ25" i="71" s="1"/>
  <c r="P288" i="70"/>
  <c r="HY21" i="71" s="1"/>
  <c r="U262" i="70" a="1"/>
  <c r="U262" i="70" s="1"/>
  <c r="BF1" i="73"/>
  <c r="R286" i="70" a="1"/>
  <c r="R286" i="70" s="1"/>
  <c r="R287" i="70" s="1"/>
  <c r="HZ23" i="70" s="1"/>
  <c r="S276" i="70"/>
  <c r="HU24" i="71" s="1"/>
  <c r="Q301" i="70"/>
  <c r="Q309" i="70" s="1"/>
  <c r="Q305" i="71"/>
  <c r="M255" i="70"/>
  <c r="M312" i="70"/>
  <c r="M254" i="70"/>
  <c r="BJ1" i="72"/>
  <c r="M257" i="70"/>
  <c r="M258" i="70" s="1"/>
  <c r="M259" i="70" s="1"/>
  <c r="M299" i="70"/>
  <c r="L300" i="70"/>
  <c r="L308" i="70" s="1"/>
  <c r="L304" i="71"/>
  <c r="R269" i="70"/>
  <c r="R270" i="70" s="1"/>
  <c r="R271" i="70" s="1"/>
  <c r="R267" i="70"/>
  <c r="R313" i="70"/>
  <c r="R266" i="70"/>
  <c r="T274" i="70" a="1"/>
  <c r="T274" i="70" s="1"/>
  <c r="T275" i="70" s="1"/>
  <c r="HV25" i="70" s="1"/>
  <c r="Q250" i="70" a="1"/>
  <c r="Q250" i="70" s="1"/>
  <c r="P251" i="70"/>
  <c r="HN21" i="70" s="1"/>
  <c r="P306" i="71"/>
  <c r="P302" i="70"/>
  <c r="P310" i="70" s="1"/>
  <c r="Q288" i="70"/>
  <c r="HY22" i="71" s="1"/>
  <c r="N307" i="71"/>
  <c r="N303" i="70"/>
  <c r="N311" i="70" s="1"/>
  <c r="O306" i="71"/>
  <c r="O302" i="70"/>
  <c r="O310" i="70" s="1"/>
  <c r="R277" i="70"/>
  <c r="IG23" i="70" s="1"/>
  <c r="R273" i="71"/>
  <c r="Q314" i="70"/>
  <c r="Q279" i="70"/>
  <c r="Q281" i="70"/>
  <c r="Q282" i="70" s="1"/>
  <c r="Q283" i="70" s="1"/>
  <c r="Q278" i="70"/>
  <c r="N253" i="70"/>
  <c r="IE19" i="70" s="1"/>
  <c r="N249" i="71"/>
  <c r="HT25" i="70" l="1"/>
  <c r="HS25" i="70"/>
  <c r="HP21" i="70"/>
  <c r="HO21" i="70"/>
  <c r="HX25" i="70"/>
  <c r="HW25" i="70"/>
  <c r="IB23" i="70"/>
  <c r="IA23" i="70"/>
  <c r="S264" i="70"/>
  <c r="HQ24" i="71" s="1"/>
  <c r="P285" i="71"/>
  <c r="P289" i="70"/>
  <c r="IH21" i="70" s="1"/>
  <c r="U263" i="70"/>
  <c r="HR26" i="70" s="1"/>
  <c r="V262" i="70" a="1"/>
  <c r="V262" i="70" s="1"/>
  <c r="P252" i="70"/>
  <c r="HM21" i="71" s="1"/>
  <c r="O290" i="70"/>
  <c r="O293" i="70"/>
  <c r="O294" i="70" s="1"/>
  <c r="O295" i="70" s="1"/>
  <c r="O291" i="70"/>
  <c r="O315" i="70"/>
  <c r="O252" i="70"/>
  <c r="HM20" i="71" s="1"/>
  <c r="BJ1" i="73"/>
  <c r="R288" i="70"/>
  <c r="HY23" i="71" s="1"/>
  <c r="S286" i="70" a="1"/>
  <c r="S286" i="70" s="1"/>
  <c r="S287" i="70" s="1"/>
  <c r="HZ24" i="70" s="1"/>
  <c r="BN1" i="72"/>
  <c r="N312" i="70"/>
  <c r="N255" i="70"/>
  <c r="N254" i="70"/>
  <c r="N257" i="70"/>
  <c r="N258" i="70" s="1"/>
  <c r="N259" i="70" s="1"/>
  <c r="N299" i="70"/>
  <c r="M300" i="70"/>
  <c r="M308" i="70" s="1"/>
  <c r="M304" i="71"/>
  <c r="T265" i="70"/>
  <c r="IF25" i="70" s="1"/>
  <c r="T261" i="71"/>
  <c r="Q251" i="70"/>
  <c r="HN22" i="70" s="1"/>
  <c r="R250" i="70" a="1"/>
  <c r="R250" i="70" s="1"/>
  <c r="T276" i="70"/>
  <c r="HU25" i="71" s="1"/>
  <c r="Q285" i="71"/>
  <c r="Q289" i="70"/>
  <c r="IH22" i="70" s="1"/>
  <c r="Q306" i="71"/>
  <c r="Q302" i="70"/>
  <c r="Q310" i="70" s="1"/>
  <c r="R281" i="70"/>
  <c r="R282" i="70" s="1"/>
  <c r="R283" i="70" s="1"/>
  <c r="R279" i="70"/>
  <c r="R314" i="70"/>
  <c r="R278" i="70"/>
  <c r="R305" i="71"/>
  <c r="R301" i="70"/>
  <c r="R309" i="70" s="1"/>
  <c r="S273" i="71"/>
  <c r="S277" i="70"/>
  <c r="IG24" i="70" s="1"/>
  <c r="U274" i="70" a="1"/>
  <c r="U274" i="70" s="1"/>
  <c r="U275" i="70" s="1"/>
  <c r="HV26" i="70" s="1"/>
  <c r="HW26" i="70" l="1"/>
  <c r="HX26" i="70"/>
  <c r="HT26" i="70"/>
  <c r="HS26" i="70"/>
  <c r="IB24" i="70"/>
  <c r="IA24" i="70"/>
  <c r="HO22" i="70"/>
  <c r="HP22" i="70"/>
  <c r="S265" i="70"/>
  <c r="S261" i="71"/>
  <c r="P253" i="70"/>
  <c r="P254" i="70" s="1"/>
  <c r="P249" i="71"/>
  <c r="O249" i="71"/>
  <c r="O253" i="70"/>
  <c r="IE20" i="70" s="1"/>
  <c r="O303" i="70"/>
  <c r="O311" i="70" s="1"/>
  <c r="O307" i="71"/>
  <c r="P315" i="70"/>
  <c r="P290" i="70"/>
  <c r="P293" i="70"/>
  <c r="P294" i="70" s="1"/>
  <c r="P295" i="70" s="1"/>
  <c r="P291" i="70"/>
  <c r="W262" i="70" a="1"/>
  <c r="W262" i="70" s="1"/>
  <c r="V263" i="70"/>
  <c r="HR27" i="70" s="1"/>
  <c r="V264" i="70" s="1"/>
  <c r="HQ27" i="71" s="1"/>
  <c r="BN1" i="73"/>
  <c r="T286" i="70" a="1"/>
  <c r="T286" i="70" s="1"/>
  <c r="U286" i="70" s="1" a="1"/>
  <c r="U286" i="70" s="1"/>
  <c r="U287" i="70" s="1"/>
  <c r="R289" i="70"/>
  <c r="IH23" i="70" s="1"/>
  <c r="R285" i="71"/>
  <c r="V274" i="70" a="1"/>
  <c r="V274" i="70" s="1"/>
  <c r="V275" i="70" s="1"/>
  <c r="HV27" i="70" s="1"/>
  <c r="IE21" i="70"/>
  <c r="Q291" i="70"/>
  <c r="Q315" i="70"/>
  <c r="Q290" i="70"/>
  <c r="Q293" i="70"/>
  <c r="Q294" i="70" s="1"/>
  <c r="Q295" i="70" s="1"/>
  <c r="U276" i="70"/>
  <c r="HU26" i="71" s="1"/>
  <c r="S250" i="70" a="1"/>
  <c r="S250" i="70" s="1"/>
  <c r="R251" i="70"/>
  <c r="HN23" i="70" s="1"/>
  <c r="S288" i="70"/>
  <c r="HY24" i="71" s="1"/>
  <c r="Q252" i="70"/>
  <c r="HM22" i="71" s="1"/>
  <c r="T269" i="70"/>
  <c r="T270" i="70" s="1"/>
  <c r="T271" i="70" s="1"/>
  <c r="T266" i="70"/>
  <c r="T267" i="70"/>
  <c r="T313" i="70"/>
  <c r="N304" i="71"/>
  <c r="N300" i="70"/>
  <c r="N308" i="70" s="1"/>
  <c r="S278" i="70"/>
  <c r="S314" i="70"/>
  <c r="S281" i="70"/>
  <c r="S282" i="70" s="1"/>
  <c r="S283" i="70" s="1"/>
  <c r="S279" i="70"/>
  <c r="R302" i="70"/>
  <c r="R310" i="70" s="1"/>
  <c r="R306" i="71"/>
  <c r="T277" i="70"/>
  <c r="IG25" i="70" s="1"/>
  <c r="T273" i="71"/>
  <c r="P299" i="70" l="1"/>
  <c r="P312" i="70"/>
  <c r="P257" i="70"/>
  <c r="P258" i="70" s="1"/>
  <c r="P259" i="70" s="1"/>
  <c r="P255" i="70"/>
  <c r="HS27" i="70"/>
  <c r="HT27" i="70"/>
  <c r="HP23" i="70"/>
  <c r="HO23" i="70"/>
  <c r="HX27" i="70"/>
  <c r="HW27" i="70"/>
  <c r="U264" i="70"/>
  <c r="HQ26" i="71" s="1"/>
  <c r="IF24" i="70"/>
  <c r="S313" i="70"/>
  <c r="S267" i="70"/>
  <c r="S269" i="70"/>
  <c r="S270" i="70" s="1"/>
  <c r="S271" i="70" s="1"/>
  <c r="S266" i="70"/>
  <c r="P303" i="70"/>
  <c r="P311" i="70" s="1"/>
  <c r="P307" i="71"/>
  <c r="O255" i="70"/>
  <c r="O257" i="70"/>
  <c r="O258" i="70" s="1"/>
  <c r="O259" i="70" s="1"/>
  <c r="O254" i="70"/>
  <c r="O299" i="70"/>
  <c r="O312" i="70"/>
  <c r="W263" i="70"/>
  <c r="HR28" i="70" s="1"/>
  <c r="X262" i="70" a="1"/>
  <c r="X262" i="70" s="1"/>
  <c r="T287" i="70"/>
  <c r="HZ25" i="70" s="1"/>
  <c r="W274" i="70" a="1"/>
  <c r="W274" i="70" s="1"/>
  <c r="W275" i="70" s="1"/>
  <c r="HV28" i="70" s="1"/>
  <c r="R315" i="70"/>
  <c r="R293" i="70"/>
  <c r="R294" i="70" s="1"/>
  <c r="R295" i="70" s="1"/>
  <c r="R290" i="70"/>
  <c r="R291" i="70"/>
  <c r="U277" i="70"/>
  <c r="IG26" i="70" s="1"/>
  <c r="U273" i="71"/>
  <c r="S302" i="70"/>
  <c r="S310" i="70" s="1"/>
  <c r="S306" i="71"/>
  <c r="S289" i="70"/>
  <c r="IH24" i="70" s="1"/>
  <c r="S285" i="71"/>
  <c r="V265" i="70"/>
  <c r="IF27" i="70" s="1"/>
  <c r="V261" i="71"/>
  <c r="P300" i="70"/>
  <c r="P308" i="70" s="1"/>
  <c r="P304" i="71"/>
  <c r="Q253" i="70"/>
  <c r="IE22" i="70" s="1"/>
  <c r="Q249" i="71"/>
  <c r="T279" i="70"/>
  <c r="T278" i="70"/>
  <c r="T314" i="70"/>
  <c r="T281" i="70"/>
  <c r="T282" i="70" s="1"/>
  <c r="T283" i="70" s="1"/>
  <c r="R252" i="70"/>
  <c r="HM23" i="71" s="1"/>
  <c r="T250" i="70" a="1"/>
  <c r="T250" i="70" s="1"/>
  <c r="S251" i="70"/>
  <c r="HN24" i="70" s="1"/>
  <c r="Q307" i="71"/>
  <c r="Q303" i="70"/>
  <c r="Q311" i="70" s="1"/>
  <c r="V276" i="70"/>
  <c r="HU27" i="71" s="1"/>
  <c r="T305" i="71"/>
  <c r="T301" i="70"/>
  <c r="T309" i="70" s="1"/>
  <c r="V286" i="70" a="1"/>
  <c r="V286" i="70" s="1"/>
  <c r="V287" i="70" s="1"/>
  <c r="HX28" i="70" l="1"/>
  <c r="HW28" i="70"/>
  <c r="HP24" i="70"/>
  <c r="HO24" i="70"/>
  <c r="IA25" i="70"/>
  <c r="IB25" i="70"/>
  <c r="HT28" i="70"/>
  <c r="HS28" i="70"/>
  <c r="HZ26" i="70"/>
  <c r="HZ27" i="70" s="1"/>
  <c r="S305" i="71"/>
  <c r="S301" i="70"/>
  <c r="S309" i="70" s="1"/>
  <c r="U261" i="71"/>
  <c r="U265" i="70"/>
  <c r="Y262" i="70" a="1"/>
  <c r="Y262" i="70" s="1"/>
  <c r="W264" i="70"/>
  <c r="O300" i="70"/>
  <c r="O308" i="70" s="1"/>
  <c r="O304" i="71"/>
  <c r="X263" i="70"/>
  <c r="T288" i="70"/>
  <c r="R303" i="70"/>
  <c r="R311" i="70" s="1"/>
  <c r="R307" i="71"/>
  <c r="X274" i="70" a="1"/>
  <c r="X274" i="70" s="1"/>
  <c r="X275" i="70" s="1"/>
  <c r="HV29" i="70" s="1"/>
  <c r="W276" i="70"/>
  <c r="V273" i="71"/>
  <c r="V277" i="70"/>
  <c r="IG27" i="70" s="1"/>
  <c r="Q299" i="70"/>
  <c r="Q257" i="70"/>
  <c r="Q258" i="70" s="1"/>
  <c r="Q259" i="70" s="1"/>
  <c r="Q312" i="70"/>
  <c r="Q255" i="70"/>
  <c r="Q254" i="70"/>
  <c r="R253" i="70"/>
  <c r="IE23" i="70" s="1"/>
  <c r="R249" i="71"/>
  <c r="W286" i="70" a="1"/>
  <c r="W286" i="70" s="1"/>
  <c r="W287" i="70" s="1"/>
  <c r="S293" i="70"/>
  <c r="S294" i="70" s="1"/>
  <c r="S295" i="70" s="1"/>
  <c r="S290" i="70"/>
  <c r="S315" i="70"/>
  <c r="S291" i="70"/>
  <c r="U314" i="70"/>
  <c r="U279" i="70"/>
  <c r="U278" i="70"/>
  <c r="U281" i="70"/>
  <c r="U282" i="70" s="1"/>
  <c r="U283" i="70" s="1"/>
  <c r="S252" i="70"/>
  <c r="HM24" i="71" s="1"/>
  <c r="U250" i="70" a="1"/>
  <c r="U250" i="70" s="1"/>
  <c r="T251" i="70"/>
  <c r="HN25" i="70" s="1"/>
  <c r="T302" i="70"/>
  <c r="T310" i="70" s="1"/>
  <c r="T306" i="71"/>
  <c r="V267" i="70"/>
  <c r="V313" i="70"/>
  <c r="V269" i="70"/>
  <c r="V270" i="70" s="1"/>
  <c r="V271" i="70" s="1"/>
  <c r="V266" i="70"/>
  <c r="W265" i="70"/>
  <c r="IF28" i="70" s="1"/>
  <c r="W277" i="70" l="1"/>
  <c r="IG28" i="70" s="1"/>
  <c r="HU28" i="71"/>
  <c r="T289" i="70"/>
  <c r="IH25" i="70" s="1"/>
  <c r="HY25" i="71"/>
  <c r="W261" i="71"/>
  <c r="HQ28" i="71"/>
  <c r="HZ28" i="70"/>
  <c r="IA28" i="70" s="1"/>
  <c r="U288" i="70"/>
  <c r="HY26" i="71" s="1"/>
  <c r="HW29" i="70"/>
  <c r="HX29" i="70"/>
  <c r="HO25" i="70"/>
  <c r="HP25" i="70"/>
  <c r="IB26" i="70"/>
  <c r="IA26" i="70"/>
  <c r="IB27" i="70"/>
  <c r="IA27" i="70"/>
  <c r="HR29" i="70"/>
  <c r="IF26" i="70"/>
  <c r="U266" i="70"/>
  <c r="U267" i="70"/>
  <c r="U269" i="70"/>
  <c r="U270" i="70" s="1"/>
  <c r="U271" i="70" s="1"/>
  <c r="U313" i="70"/>
  <c r="Y263" i="70"/>
  <c r="Z262" i="70" a="1"/>
  <c r="Z262" i="70" s="1"/>
  <c r="T285" i="71"/>
  <c r="W273" i="71"/>
  <c r="X276" i="70"/>
  <c r="Y274" i="70" a="1"/>
  <c r="Y274" i="70" s="1"/>
  <c r="Y275" i="70" s="1"/>
  <c r="HV30" i="70" s="1"/>
  <c r="V305" i="71"/>
  <c r="V301" i="70"/>
  <c r="V309" i="70" s="1"/>
  <c r="T315" i="70"/>
  <c r="T290" i="70"/>
  <c r="T293" i="70"/>
  <c r="T294" i="70" s="1"/>
  <c r="T295" i="70" s="1"/>
  <c r="T291" i="70"/>
  <c r="S249" i="71"/>
  <c r="S253" i="70"/>
  <c r="IE24" i="70" s="1"/>
  <c r="S303" i="70"/>
  <c r="S311" i="70" s="1"/>
  <c r="S307" i="71"/>
  <c r="Q300" i="70"/>
  <c r="Q308" i="70" s="1"/>
  <c r="Q304" i="71"/>
  <c r="V250" i="70" a="1"/>
  <c r="V250" i="70" s="1"/>
  <c r="U251" i="70"/>
  <c r="HN26" i="70" s="1"/>
  <c r="V281" i="70"/>
  <c r="V282" i="70" s="1"/>
  <c r="V283" i="70" s="1"/>
  <c r="V279" i="70"/>
  <c r="V314" i="70"/>
  <c r="V278" i="70"/>
  <c r="T252" i="70"/>
  <c r="HM25" i="71" s="1"/>
  <c r="W267" i="70"/>
  <c r="W266" i="70"/>
  <c r="W313" i="70"/>
  <c r="W269" i="70"/>
  <c r="W270" i="70" s="1"/>
  <c r="W271" i="70" s="1"/>
  <c r="U306" i="71"/>
  <c r="U302" i="70"/>
  <c r="U310" i="70" s="1"/>
  <c r="W281" i="70"/>
  <c r="W282" i="70" s="1"/>
  <c r="W283" i="70" s="1"/>
  <c r="W279" i="70"/>
  <c r="W314" i="70"/>
  <c r="W278" i="70"/>
  <c r="X286" i="70" a="1"/>
  <c r="X286" i="70" s="1"/>
  <c r="X287" i="70" s="1"/>
  <c r="HZ29" i="70" s="1"/>
  <c r="R254" i="70"/>
  <c r="R257" i="70"/>
  <c r="R258" i="70" s="1"/>
  <c r="R259" i="70" s="1"/>
  <c r="R255" i="70"/>
  <c r="R299" i="70"/>
  <c r="R312" i="70"/>
  <c r="U285" i="71" l="1"/>
  <c r="U289" i="70"/>
  <c r="IH26" i="70" s="1"/>
  <c r="X273" i="71"/>
  <c r="HU29" i="71"/>
  <c r="HR30" i="70"/>
  <c r="Y264" i="70" s="1"/>
  <c r="HQ30" i="71" s="1"/>
  <c r="IB28" i="70"/>
  <c r="HT29" i="70"/>
  <c r="HS29" i="70"/>
  <c r="HX30" i="70"/>
  <c r="HW30" i="70"/>
  <c r="X264" i="70"/>
  <c r="HQ29" i="71" s="1"/>
  <c r="IB29" i="70"/>
  <c r="IA29" i="70"/>
  <c r="HP26" i="70"/>
  <c r="HO26" i="70"/>
  <c r="U305" i="71"/>
  <c r="U301" i="70"/>
  <c r="U309" i="70" s="1"/>
  <c r="Z263" i="70"/>
  <c r="V288" i="70"/>
  <c r="HY27" i="71" s="1"/>
  <c r="AA262" i="70" a="1"/>
  <c r="AA262" i="70" s="1"/>
  <c r="X277" i="70"/>
  <c r="U291" i="70"/>
  <c r="U290" i="70"/>
  <c r="U315" i="70"/>
  <c r="Z274" i="70" a="1"/>
  <c r="Z274" i="70" s="1"/>
  <c r="Z275" i="70" s="1"/>
  <c r="HV31" i="70" s="1"/>
  <c r="Y276" i="70"/>
  <c r="W301" i="70"/>
  <c r="W309" i="70" s="1"/>
  <c r="W305" i="71"/>
  <c r="W306" i="71"/>
  <c r="W302" i="70"/>
  <c r="W310" i="70" s="1"/>
  <c r="V306" i="71"/>
  <c r="V302" i="70"/>
  <c r="V310" i="70" s="1"/>
  <c r="U252" i="70"/>
  <c r="HM26" i="71" s="1"/>
  <c r="S299" i="70"/>
  <c r="S257" i="70"/>
  <c r="S258" i="70" s="1"/>
  <c r="S259" i="70" s="1"/>
  <c r="S254" i="70"/>
  <c r="S312" i="70"/>
  <c r="S255" i="70"/>
  <c r="R304" i="71"/>
  <c r="R300" i="70"/>
  <c r="R308" i="70" s="1"/>
  <c r="W250" i="70" a="1"/>
  <c r="W250" i="70" s="1"/>
  <c r="V251" i="70"/>
  <c r="HN27" i="70" s="1"/>
  <c r="T303" i="70"/>
  <c r="T311" i="70" s="1"/>
  <c r="T307" i="71"/>
  <c r="Y286" i="70" a="1"/>
  <c r="Y286" i="70" s="1"/>
  <c r="T253" i="70"/>
  <c r="IE25" i="70" s="1"/>
  <c r="T249" i="71"/>
  <c r="HR31" i="70" l="1"/>
  <c r="Z264" i="70" s="1"/>
  <c r="HQ31" i="71" s="1"/>
  <c r="U293" i="70"/>
  <c r="U294" i="70" s="1"/>
  <c r="U295" i="70" s="1"/>
  <c r="Y261" i="71"/>
  <c r="Y265" i="70"/>
  <c r="IF30" i="70" s="1"/>
  <c r="HS30" i="70"/>
  <c r="Y277" i="70"/>
  <c r="Y278" i="70" s="1"/>
  <c r="HU30" i="71"/>
  <c r="HT30" i="70"/>
  <c r="HX31" i="70"/>
  <c r="HW31" i="70"/>
  <c r="HP27" i="70"/>
  <c r="HO27" i="70"/>
  <c r="X265" i="70"/>
  <c r="X261" i="71"/>
  <c r="X278" i="70"/>
  <c r="IG29" i="70"/>
  <c r="W288" i="70"/>
  <c r="HY28" i="71" s="1"/>
  <c r="AB262" i="70" a="1"/>
  <c r="AB262" i="70" s="1"/>
  <c r="AA263" i="70"/>
  <c r="HR32" i="70" s="1"/>
  <c r="IG30" i="70"/>
  <c r="V289" i="70"/>
  <c r="IH27" i="70" s="1"/>
  <c r="V285" i="71"/>
  <c r="X279" i="70"/>
  <c r="X302" i="70" s="1"/>
  <c r="X310" i="70" s="1"/>
  <c r="X314" i="70"/>
  <c r="X281" i="70"/>
  <c r="X282" i="70" s="1"/>
  <c r="X283" i="70" s="1"/>
  <c r="Y273" i="71"/>
  <c r="Z276" i="70"/>
  <c r="HU31" i="71" s="1"/>
  <c r="U307" i="71"/>
  <c r="U303" i="70"/>
  <c r="U311" i="70" s="1"/>
  <c r="AA274" i="70" a="1"/>
  <c r="AA274" i="70" s="1"/>
  <c r="AA275" i="70" s="1"/>
  <c r="HV32" i="70" s="1"/>
  <c r="Z265" i="70"/>
  <c r="IF31" i="70" s="1"/>
  <c r="S304" i="71"/>
  <c r="S300" i="70"/>
  <c r="S308" i="70" s="1"/>
  <c r="T255" i="70"/>
  <c r="T312" i="70"/>
  <c r="T299" i="70"/>
  <c r="T254" i="70"/>
  <c r="T257" i="70"/>
  <c r="T258" i="70" s="1"/>
  <c r="T259" i="70" s="1"/>
  <c r="V252" i="70"/>
  <c r="HM27" i="71" s="1"/>
  <c r="Z286" i="70" a="1"/>
  <c r="Z286" i="70" s="1"/>
  <c r="Z287" i="70" s="1"/>
  <c r="HZ31" i="70" s="1"/>
  <c r="Y287" i="70"/>
  <c r="HZ30" i="70" s="1"/>
  <c r="X250" i="70" a="1"/>
  <c r="X250" i="70" s="1"/>
  <c r="W251" i="70"/>
  <c r="HN28" i="70" s="1"/>
  <c r="U253" i="70"/>
  <c r="IE26" i="70" s="1"/>
  <c r="U249" i="71"/>
  <c r="Y267" i="70"/>
  <c r="Y269" i="70"/>
  <c r="Y270" i="70" s="1"/>
  <c r="Y271" i="70" s="1"/>
  <c r="Y313" i="70"/>
  <c r="Y266" i="70"/>
  <c r="Z261" i="71" l="1"/>
  <c r="HS31" i="70"/>
  <c r="HT31" i="70"/>
  <c r="Y281" i="70"/>
  <c r="Y282" i="70" s="1"/>
  <c r="Y283" i="70" s="1"/>
  <c r="Y314" i="70"/>
  <c r="Y279" i="70"/>
  <c r="Y306" i="71" s="1"/>
  <c r="IA31" i="70"/>
  <c r="IB31" i="70"/>
  <c r="HW32" i="70"/>
  <c r="HX32" i="70"/>
  <c r="IF29" i="70"/>
  <c r="X267" i="70"/>
  <c r="X313" i="70"/>
  <c r="X266" i="70"/>
  <c r="X269" i="70"/>
  <c r="X270" i="70" s="1"/>
  <c r="X271" i="70" s="1"/>
  <c r="IB30" i="70"/>
  <c r="IA30" i="70"/>
  <c r="HO28" i="70"/>
  <c r="HP28" i="70"/>
  <c r="HT32" i="70"/>
  <c r="HS32" i="70"/>
  <c r="AA264" i="70"/>
  <c r="X288" i="70"/>
  <c r="HY29" i="71" s="1"/>
  <c r="AC262" i="70" a="1"/>
  <c r="AC262" i="70" s="1"/>
  <c r="AB263" i="70"/>
  <c r="HR33" i="70" s="1"/>
  <c r="W289" i="70"/>
  <c r="IH28" i="70" s="1"/>
  <c r="W285" i="71"/>
  <c r="V293" i="70"/>
  <c r="V294" i="70" s="1"/>
  <c r="V295" i="70" s="1"/>
  <c r="V291" i="70"/>
  <c r="V290" i="70"/>
  <c r="V315" i="70"/>
  <c r="X306" i="71"/>
  <c r="AA276" i="70"/>
  <c r="HU32" i="71" s="1"/>
  <c r="AB274" i="70" a="1"/>
  <c r="AB274" i="70" s="1"/>
  <c r="AB275" i="70" s="1"/>
  <c r="HV33" i="70" s="1"/>
  <c r="Z288" i="70"/>
  <c r="Z277" i="70"/>
  <c r="IG31" i="70" s="1"/>
  <c r="Z273" i="71"/>
  <c r="U257" i="70"/>
  <c r="U258" i="70" s="1"/>
  <c r="U259" i="70" s="1"/>
  <c r="U299" i="70"/>
  <c r="U255" i="70"/>
  <c r="U312" i="70"/>
  <c r="U254" i="70"/>
  <c r="AA286" i="70" a="1"/>
  <c r="AA286" i="70" s="1"/>
  <c r="AA287" i="70" s="1"/>
  <c r="HZ32" i="70" s="1"/>
  <c r="W252" i="70"/>
  <c r="HM28" i="71" s="1"/>
  <c r="X251" i="70"/>
  <c r="HN29" i="70" s="1"/>
  <c r="Y250" i="70" a="1"/>
  <c r="Y250" i="70" s="1"/>
  <c r="Y288" i="70"/>
  <c r="HY30" i="71" s="1"/>
  <c r="Z313" i="70"/>
  <c r="Z269" i="70"/>
  <c r="Z270" i="70" s="1"/>
  <c r="Z271" i="70" s="1"/>
  <c r="Z267" i="70"/>
  <c r="Z266" i="70"/>
  <c r="Y305" i="71"/>
  <c r="Y301" i="70"/>
  <c r="Y309" i="70" s="1"/>
  <c r="T304" i="71"/>
  <c r="T300" i="70"/>
  <c r="T308" i="70" s="1"/>
  <c r="V253" i="70"/>
  <c r="IE27" i="70" s="1"/>
  <c r="V249" i="71"/>
  <c r="Y302" i="70" l="1"/>
  <c r="Y310" i="70" s="1"/>
  <c r="Z285" i="71"/>
  <c r="HY31" i="71"/>
  <c r="AA265" i="70"/>
  <c r="IF32" i="70" s="1"/>
  <c r="HQ32" i="71"/>
  <c r="AA261" i="71"/>
  <c r="HS33" i="70"/>
  <c r="HT33" i="70"/>
  <c r="X301" i="70"/>
  <c r="X309" i="70" s="1"/>
  <c r="X305" i="71"/>
  <c r="HP29" i="70"/>
  <c r="HO29" i="70"/>
  <c r="HX33" i="70"/>
  <c r="HW33" i="70"/>
  <c r="IB32" i="70"/>
  <c r="IA32" i="70"/>
  <c r="AB264" i="70"/>
  <c r="HQ33" i="71" s="1"/>
  <c r="AD262" i="70" a="1"/>
  <c r="AD262" i="70" s="1"/>
  <c r="W293" i="70"/>
  <c r="W294" i="70" s="1"/>
  <c r="W295" i="70" s="1"/>
  <c r="W290" i="70"/>
  <c r="W291" i="70"/>
  <c r="W315" i="70"/>
  <c r="AC263" i="70"/>
  <c r="HR34" i="70" s="1"/>
  <c r="V307" i="71"/>
  <c r="V303" i="70"/>
  <c r="V311" i="70" s="1"/>
  <c r="X289" i="70"/>
  <c r="IH29" i="70" s="1"/>
  <c r="X285" i="71"/>
  <c r="Z289" i="70"/>
  <c r="Z293" i="70" s="1"/>
  <c r="AB276" i="70"/>
  <c r="HU33" i="71" s="1"/>
  <c r="AA277" i="70"/>
  <c r="IG32" i="70" s="1"/>
  <c r="AA273" i="71"/>
  <c r="Z279" i="70"/>
  <c r="Z314" i="70"/>
  <c r="Z278" i="70"/>
  <c r="Z281" i="70"/>
  <c r="Z282" i="70" s="1"/>
  <c r="Z283" i="70" s="1"/>
  <c r="AC274" i="70" a="1"/>
  <c r="AC274" i="70" s="1"/>
  <c r="AC275" i="70" s="1"/>
  <c r="HV34" i="70" s="1"/>
  <c r="X252" i="70"/>
  <c r="HM29" i="71" s="1"/>
  <c r="AA288" i="70"/>
  <c r="Y289" i="70"/>
  <c r="IH30" i="70" s="1"/>
  <c r="Y285" i="71"/>
  <c r="Y251" i="70"/>
  <c r="HN30" i="70" s="1"/>
  <c r="Z250" i="70" a="1"/>
  <c r="Z250" i="70" s="1"/>
  <c r="U300" i="70"/>
  <c r="U308" i="70" s="1"/>
  <c r="U304" i="71"/>
  <c r="AB286" i="70" a="1"/>
  <c r="AB286" i="70" s="1"/>
  <c r="AB287" i="70" s="1"/>
  <c r="HZ33" i="70" s="1"/>
  <c r="W249" i="71"/>
  <c r="W253" i="70"/>
  <c r="IE28" i="70" s="1"/>
  <c r="Z305" i="71"/>
  <c r="Z301" i="70"/>
  <c r="Z309" i="70" s="1"/>
  <c r="V257" i="70"/>
  <c r="V258" i="70" s="1"/>
  <c r="V259" i="70" s="1"/>
  <c r="V254" i="70"/>
  <c r="V312" i="70"/>
  <c r="V255" i="70"/>
  <c r="V299" i="70"/>
  <c r="AA267" i="70"/>
  <c r="AA266" i="70"/>
  <c r="AA313" i="70"/>
  <c r="AA269" i="70"/>
  <c r="AA270" i="70" s="1"/>
  <c r="AA271" i="70" s="1"/>
  <c r="AB265" i="70"/>
  <c r="IF33" i="70" s="1"/>
  <c r="AB261" i="71"/>
  <c r="Z290" i="70" l="1"/>
  <c r="AA285" i="71"/>
  <c r="HY32" i="71"/>
  <c r="HP30" i="70"/>
  <c r="HO30" i="70"/>
  <c r="HX34" i="70"/>
  <c r="HW34" i="70"/>
  <c r="HT34" i="70"/>
  <c r="HS34" i="70"/>
  <c r="IB33" i="70"/>
  <c r="IA33" i="70"/>
  <c r="AC264" i="70"/>
  <c r="HQ34" i="71" s="1"/>
  <c r="IH31" i="70"/>
  <c r="X315" i="70"/>
  <c r="X293" i="70"/>
  <c r="X294" i="70" s="1"/>
  <c r="X295" i="70" s="1"/>
  <c r="X290" i="70"/>
  <c r="X291" i="70"/>
  <c r="AD263" i="70"/>
  <c r="W307" i="71"/>
  <c r="W303" i="70"/>
  <c r="W311" i="70" s="1"/>
  <c r="AE262" i="70" a="1"/>
  <c r="AE262" i="70" s="1"/>
  <c r="Z291" i="70"/>
  <c r="Z307" i="71" s="1"/>
  <c r="Z315" i="70"/>
  <c r="AA289" i="70"/>
  <c r="Z306" i="71"/>
  <c r="Z302" i="70"/>
  <c r="Z310" i="70" s="1"/>
  <c r="AA279" i="70"/>
  <c r="AA278" i="70"/>
  <c r="AA314" i="70"/>
  <c r="AA281" i="70"/>
  <c r="AA282" i="70" s="1"/>
  <c r="AA283" i="70" s="1"/>
  <c r="AD274" i="70" a="1"/>
  <c r="AD274" i="70" s="1"/>
  <c r="AD275" i="70" s="1"/>
  <c r="HV35" i="70" s="1"/>
  <c r="AC276" i="70"/>
  <c r="HU34" i="71" s="1"/>
  <c r="AB277" i="70"/>
  <c r="IG33" i="70" s="1"/>
  <c r="AB273" i="71"/>
  <c r="V304" i="71"/>
  <c r="V300" i="70"/>
  <c r="V308" i="70" s="1"/>
  <c r="Y290" i="70"/>
  <c r="Y291" i="70"/>
  <c r="Y315" i="70"/>
  <c r="Y293" i="70"/>
  <c r="Y294" i="70" s="1"/>
  <c r="Y295" i="70" s="1"/>
  <c r="AA301" i="70"/>
  <c r="AA309" i="70" s="1"/>
  <c r="AA305" i="71"/>
  <c r="AB288" i="70"/>
  <c r="AB267" i="70"/>
  <c r="AB269" i="70"/>
  <c r="AB270" i="70" s="1"/>
  <c r="AB271" i="70" s="1"/>
  <c r="AB266" i="70"/>
  <c r="AB313" i="70"/>
  <c r="W255" i="70"/>
  <c r="W257" i="70"/>
  <c r="W258" i="70" s="1"/>
  <c r="W259" i="70" s="1"/>
  <c r="W312" i="70"/>
  <c r="W299" i="70"/>
  <c r="W254" i="70"/>
  <c r="Z251" i="70"/>
  <c r="HN31" i="70" s="1"/>
  <c r="AA250" i="70" a="1"/>
  <c r="AA250" i="70" s="1"/>
  <c r="Y252" i="70"/>
  <c r="HM30" i="71" s="1"/>
  <c r="X253" i="70"/>
  <c r="IE29" i="70" s="1"/>
  <c r="X249" i="71"/>
  <c r="AC286" i="70" a="1"/>
  <c r="AC286" i="70" s="1"/>
  <c r="AC287" i="70" s="1"/>
  <c r="HZ34" i="70" s="1"/>
  <c r="Z294" i="70"/>
  <c r="Z295" i="70" s="1"/>
  <c r="AC261" i="71" l="1"/>
  <c r="AC265" i="70"/>
  <c r="IF34" i="70" s="1"/>
  <c r="AB289" i="70"/>
  <c r="IH33" i="70" s="1"/>
  <c r="HY33" i="71"/>
  <c r="IA34" i="70"/>
  <c r="IB34" i="70"/>
  <c r="HW35" i="70"/>
  <c r="HX35" i="70"/>
  <c r="HR35" i="70"/>
  <c r="HO31" i="70"/>
  <c r="HP31" i="70"/>
  <c r="AA290" i="70"/>
  <c r="IH32" i="70"/>
  <c r="X303" i="70"/>
  <c r="X311" i="70" s="1"/>
  <c r="X307" i="71"/>
  <c r="AE263" i="70"/>
  <c r="AF262" i="70" a="1"/>
  <c r="AF262" i="70" s="1"/>
  <c r="Z303" i="70"/>
  <c r="Z311" i="70" s="1"/>
  <c r="AA291" i="70"/>
  <c r="AA303" i="70" s="1"/>
  <c r="AA315" i="70"/>
  <c r="AA293" i="70"/>
  <c r="AA294" i="70" s="1"/>
  <c r="AA295" i="70" s="1"/>
  <c r="AB285" i="71"/>
  <c r="AD276" i="70"/>
  <c r="HU35" i="71" s="1"/>
  <c r="AB279" i="70"/>
  <c r="AB281" i="70"/>
  <c r="AB282" i="70" s="1"/>
  <c r="AB283" i="70" s="1"/>
  <c r="AB278" i="70"/>
  <c r="AB314" i="70"/>
  <c r="AE274" i="70" a="1"/>
  <c r="AE274" i="70" s="1"/>
  <c r="AE275" i="70" s="1"/>
  <c r="HV36" i="70" s="1"/>
  <c r="AA306" i="71"/>
  <c r="AA302" i="70"/>
  <c r="AA310" i="70" s="1"/>
  <c r="AC277" i="70"/>
  <c r="IG34" i="70" s="1"/>
  <c r="AC273" i="71"/>
  <c r="AA251" i="70"/>
  <c r="HN32" i="70" s="1"/>
  <c r="AB250" i="70" a="1"/>
  <c r="AB250" i="70" s="1"/>
  <c r="Y303" i="70"/>
  <c r="Y311" i="70" s="1"/>
  <c r="Y307" i="71"/>
  <c r="X257" i="70"/>
  <c r="X258" i="70" s="1"/>
  <c r="X259" i="70" s="1"/>
  <c r="X255" i="70"/>
  <c r="X254" i="70"/>
  <c r="X312" i="70"/>
  <c r="X299" i="70"/>
  <c r="Z252" i="70"/>
  <c r="HM31" i="71" s="1"/>
  <c r="AD286" i="70" a="1"/>
  <c r="AD286" i="70" s="1"/>
  <c r="AD287" i="70" s="1"/>
  <c r="HZ35" i="70" s="1"/>
  <c r="W300" i="70"/>
  <c r="W308" i="70" s="1"/>
  <c r="W304" i="71"/>
  <c r="Y253" i="70"/>
  <c r="IE30" i="70" s="1"/>
  <c r="Y249" i="71"/>
  <c r="AC266" i="70"/>
  <c r="AC313" i="70"/>
  <c r="AC267" i="70"/>
  <c r="AC269" i="70"/>
  <c r="AC270" i="70" s="1"/>
  <c r="AC271" i="70" s="1"/>
  <c r="AB301" i="70"/>
  <c r="AB309" i="70" s="1"/>
  <c r="AB305" i="71"/>
  <c r="AC288" i="70"/>
  <c r="AB293" i="70"/>
  <c r="AB315" i="70"/>
  <c r="AB291" i="70"/>
  <c r="AB290" i="70"/>
  <c r="AC285" i="71" l="1"/>
  <c r="HY34" i="71"/>
  <c r="HT35" i="70"/>
  <c r="HS35" i="70"/>
  <c r="AD264" i="70"/>
  <c r="HQ35" i="71" s="1"/>
  <c r="IB35" i="70"/>
  <c r="IA35" i="70"/>
  <c r="HP32" i="70"/>
  <c r="HO32" i="70"/>
  <c r="HX36" i="70"/>
  <c r="HW36" i="70"/>
  <c r="HR36" i="70"/>
  <c r="AA311" i="70"/>
  <c r="AF263" i="70"/>
  <c r="AG262" i="70" a="1"/>
  <c r="AG262" i="70" s="1"/>
  <c r="AA307" i="71"/>
  <c r="AC289" i="70"/>
  <c r="AC278" i="70"/>
  <c r="AC279" i="70"/>
  <c r="AC281" i="70"/>
  <c r="AC282" i="70" s="1"/>
  <c r="AC283" i="70" s="1"/>
  <c r="AC314" i="70"/>
  <c r="AB302" i="70"/>
  <c r="AB310" i="70" s="1"/>
  <c r="AB306" i="71"/>
  <c r="AF274" i="70" a="1"/>
  <c r="AF274" i="70" s="1"/>
  <c r="AF275" i="70" s="1"/>
  <c r="HV37" i="70" s="1"/>
  <c r="AE276" i="70"/>
  <c r="HU36" i="71" s="1"/>
  <c r="AD277" i="70"/>
  <c r="IG35" i="70" s="1"/>
  <c r="AD273" i="71"/>
  <c r="Z253" i="70"/>
  <c r="IE31" i="70" s="1"/>
  <c r="Z249" i="71"/>
  <c r="AE286" i="70" a="1"/>
  <c r="AE286" i="70" s="1"/>
  <c r="AE287" i="70" s="1"/>
  <c r="HZ36" i="70" s="1"/>
  <c r="AC305" i="71"/>
  <c r="AC301" i="70"/>
  <c r="AC309" i="70" s="1"/>
  <c r="AD288" i="70"/>
  <c r="Y255" i="70"/>
  <c r="Y257" i="70"/>
  <c r="Y258" i="70" s="1"/>
  <c r="Y259" i="70" s="1"/>
  <c r="Y312" i="70"/>
  <c r="Y299" i="70"/>
  <c r="Y254" i="70"/>
  <c r="AC250" i="70" a="1"/>
  <c r="AC250" i="70" s="1"/>
  <c r="AB251" i="70"/>
  <c r="HN33" i="70" s="1"/>
  <c r="X304" i="71"/>
  <c r="X300" i="70"/>
  <c r="X308" i="70" s="1"/>
  <c r="AA252" i="70"/>
  <c r="HM32" i="71" s="1"/>
  <c r="AB294" i="70"/>
  <c r="AB295" i="70" s="1"/>
  <c r="AB307" i="71"/>
  <c r="AB303" i="70"/>
  <c r="AB311" i="70" s="1"/>
  <c r="HR37" i="70" l="1"/>
  <c r="HT37" i="70" s="1"/>
  <c r="AD289" i="70"/>
  <c r="IH35" i="70" s="1"/>
  <c r="HY35" i="71"/>
  <c r="HX37" i="70"/>
  <c r="HW37" i="70"/>
  <c r="HS36" i="70"/>
  <c r="HT36" i="70"/>
  <c r="AE264" i="70"/>
  <c r="HQ36" i="71" s="1"/>
  <c r="HP33" i="70"/>
  <c r="HO33" i="70"/>
  <c r="IB36" i="70"/>
  <c r="IA36" i="70"/>
  <c r="AD265" i="70"/>
  <c r="AD261" i="71"/>
  <c r="AC290" i="70"/>
  <c r="IH34" i="70"/>
  <c r="AG263" i="70"/>
  <c r="HR38" i="70" s="1"/>
  <c r="AH262" i="70" a="1"/>
  <c r="AH262" i="70" s="1"/>
  <c r="AC315" i="70"/>
  <c r="AC291" i="70"/>
  <c r="AC303" i="70" s="1"/>
  <c r="AC311" i="70" s="1"/>
  <c r="AC293" i="70"/>
  <c r="AC294" i="70" s="1"/>
  <c r="AC295" i="70" s="1"/>
  <c r="AD285" i="71"/>
  <c r="AF276" i="70"/>
  <c r="HU37" i="71" s="1"/>
  <c r="AG274" i="70" a="1"/>
  <c r="AG274" i="70" s="1"/>
  <c r="AG275" i="70" s="1"/>
  <c r="HV38" i="70" s="1"/>
  <c r="AD278" i="70"/>
  <c r="AD314" i="70"/>
  <c r="AD279" i="70"/>
  <c r="AD281" i="70"/>
  <c r="AD282" i="70" s="1"/>
  <c r="AD283" i="70" s="1"/>
  <c r="AE277" i="70"/>
  <c r="IG36" i="70" s="1"/>
  <c r="AE273" i="71"/>
  <c r="AC302" i="70"/>
  <c r="AC310" i="70" s="1"/>
  <c r="AC306" i="71"/>
  <c r="AF286" i="70" a="1"/>
  <c r="AF286" i="70" s="1"/>
  <c r="AF287" i="70" s="1"/>
  <c r="HZ37" i="70" s="1"/>
  <c r="AA249" i="71"/>
  <c r="AA253" i="70"/>
  <c r="IE32" i="70" s="1"/>
  <c r="Y300" i="70"/>
  <c r="Y308" i="70" s="1"/>
  <c r="Y304" i="71"/>
  <c r="AB252" i="70"/>
  <c r="HM33" i="71" s="1"/>
  <c r="AC251" i="70"/>
  <c r="HN34" i="70" s="1"/>
  <c r="AD250" i="70" a="1"/>
  <c r="AD250" i="70" s="1"/>
  <c r="AE288" i="70"/>
  <c r="Z312" i="70"/>
  <c r="Z254" i="70"/>
  <c r="Z257" i="70"/>
  <c r="Z258" i="70" s="1"/>
  <c r="Z259" i="70" s="1"/>
  <c r="Z255" i="70"/>
  <c r="Z299" i="70"/>
  <c r="AD315" i="70"/>
  <c r="AD293" i="70"/>
  <c r="AD291" i="70" l="1"/>
  <c r="AD290" i="70"/>
  <c r="AF264" i="70"/>
  <c r="HQ37" i="71" s="1"/>
  <c r="HS37" i="70"/>
  <c r="AE289" i="70"/>
  <c r="HY36" i="71"/>
  <c r="HW38" i="70"/>
  <c r="HX38" i="70"/>
  <c r="IF35" i="70"/>
  <c r="AD313" i="70"/>
  <c r="AD266" i="70"/>
  <c r="AD269" i="70"/>
  <c r="AD270" i="70" s="1"/>
  <c r="AD271" i="70" s="1"/>
  <c r="AD267" i="70"/>
  <c r="IA37" i="70"/>
  <c r="IB37" i="70"/>
  <c r="AE261" i="71"/>
  <c r="AE265" i="70"/>
  <c r="HT38" i="70"/>
  <c r="HS38" i="70"/>
  <c r="HO34" i="70"/>
  <c r="HP34" i="70"/>
  <c r="IH36" i="70"/>
  <c r="AI262" i="70" a="1"/>
  <c r="AI262" i="70" s="1"/>
  <c r="AG264" i="70"/>
  <c r="AH263" i="70"/>
  <c r="HR39" i="70" s="1"/>
  <c r="AC307" i="71"/>
  <c r="AD302" i="70"/>
  <c r="AD310" i="70" s="1"/>
  <c r="AD306" i="71"/>
  <c r="AH274" i="70" a="1"/>
  <c r="AH274" i="70" s="1"/>
  <c r="AG276" i="70"/>
  <c r="HU38" i="71" s="1"/>
  <c r="AE279" i="70"/>
  <c r="AE281" i="70"/>
  <c r="AE282" i="70" s="1"/>
  <c r="AE283" i="70" s="1"/>
  <c r="AE314" i="70"/>
  <c r="AE278" i="70"/>
  <c r="AF277" i="70"/>
  <c r="IG37" i="70" s="1"/>
  <c r="AF273" i="71"/>
  <c r="AG286" i="70" a="1"/>
  <c r="AG286" i="70" s="1"/>
  <c r="AD251" i="70"/>
  <c r="HN35" i="70" s="1"/>
  <c r="AE250" i="70" a="1"/>
  <c r="AE250" i="70" s="1"/>
  <c r="AC252" i="70"/>
  <c r="HM34" i="71" s="1"/>
  <c r="AF288" i="70"/>
  <c r="AE285" i="71"/>
  <c r="Z300" i="70"/>
  <c r="Z308" i="70" s="1"/>
  <c r="Z304" i="71"/>
  <c r="AB253" i="70"/>
  <c r="IE33" i="70" s="1"/>
  <c r="AB249" i="71"/>
  <c r="AA257" i="70"/>
  <c r="AA258" i="70" s="1"/>
  <c r="AA259" i="70" s="1"/>
  <c r="AA255" i="70"/>
  <c r="AA254" i="70"/>
  <c r="AA312" i="70"/>
  <c r="AA299" i="70"/>
  <c r="AD294" i="70"/>
  <c r="AD295" i="70" s="1"/>
  <c r="AD307" i="71"/>
  <c r="AD303" i="70"/>
  <c r="AD311" i="70" s="1"/>
  <c r="AE293" i="70"/>
  <c r="AE290" i="70"/>
  <c r="AE291" i="70"/>
  <c r="AE315" i="70"/>
  <c r="AF261" i="71" l="1"/>
  <c r="AF265" i="70"/>
  <c r="AG265" i="70"/>
  <c r="IF38" i="70" s="1"/>
  <c r="HQ38" i="71"/>
  <c r="AF289" i="70"/>
  <c r="HY37" i="71"/>
  <c r="IF36" i="70"/>
  <c r="AE266" i="70"/>
  <c r="AE313" i="70"/>
  <c r="AE267" i="70"/>
  <c r="AE269" i="70"/>
  <c r="AE270" i="70" s="1"/>
  <c r="AE271" i="70" s="1"/>
  <c r="HP35" i="70"/>
  <c r="HO35" i="70"/>
  <c r="HS39" i="70"/>
  <c r="HT39" i="70"/>
  <c r="AD301" i="70"/>
  <c r="AD309" i="70" s="1"/>
  <c r="AD305" i="71"/>
  <c r="AH264" i="70"/>
  <c r="AG261" i="71"/>
  <c r="IH37" i="70"/>
  <c r="AJ262" i="70" a="1"/>
  <c r="AJ262" i="70" s="1"/>
  <c r="AI263" i="70"/>
  <c r="HR40" i="70" s="1"/>
  <c r="AI264" i="70" s="1"/>
  <c r="HQ40" i="71" s="1"/>
  <c r="AF285" i="71"/>
  <c r="AF278" i="70"/>
  <c r="AF279" i="70"/>
  <c r="AF281" i="70"/>
  <c r="AF282" i="70" s="1"/>
  <c r="AF283" i="70" s="1"/>
  <c r="AF314" i="70"/>
  <c r="AG273" i="71"/>
  <c r="AG277" i="70"/>
  <c r="IG38" i="70" s="1"/>
  <c r="AI274" i="70" a="1"/>
  <c r="AI274" i="70" s="1"/>
  <c r="AI275" i="70" s="1"/>
  <c r="HV40" i="70" s="1"/>
  <c r="AH275" i="70"/>
  <c r="HV39" i="70" s="1"/>
  <c r="AE306" i="71"/>
  <c r="AE302" i="70"/>
  <c r="AE310" i="70" s="1"/>
  <c r="AA304" i="71"/>
  <c r="AA300" i="70"/>
  <c r="AA308" i="70" s="1"/>
  <c r="AC253" i="70"/>
  <c r="IE34" i="70" s="1"/>
  <c r="AC249" i="71"/>
  <c r="AG266" i="70"/>
  <c r="AG269" i="70"/>
  <c r="AG270" i="70" s="1"/>
  <c r="AG271" i="70" s="1"/>
  <c r="AG267" i="70"/>
  <c r="AG313" i="70"/>
  <c r="AE251" i="70"/>
  <c r="HN36" i="70" s="1"/>
  <c r="AF250" i="70" a="1"/>
  <c r="AF250" i="70" s="1"/>
  <c r="AB312" i="70"/>
  <c r="AB255" i="70"/>
  <c r="AB254" i="70"/>
  <c r="AB257" i="70"/>
  <c r="AB258" i="70" s="1"/>
  <c r="AB259" i="70" s="1"/>
  <c r="AB299" i="70"/>
  <c r="AD252" i="70"/>
  <c r="HM35" i="71" s="1"/>
  <c r="AG287" i="70"/>
  <c r="HZ38" i="70" s="1"/>
  <c r="AH286" i="70" a="1"/>
  <c r="AH286" i="70" s="1"/>
  <c r="AH287" i="70" s="1"/>
  <c r="HZ39" i="70" s="1"/>
  <c r="AE294" i="70"/>
  <c r="AE295" i="70" s="1"/>
  <c r="AE307" i="71"/>
  <c r="AE303" i="70"/>
  <c r="AE311" i="70" s="1"/>
  <c r="AF315" i="70"/>
  <c r="AF290" i="70"/>
  <c r="AF293" i="70"/>
  <c r="AF291" i="70"/>
  <c r="IF37" i="70" l="1"/>
  <c r="AF313" i="70"/>
  <c r="AF269" i="70"/>
  <c r="AF270" i="70" s="1"/>
  <c r="AF271" i="70" s="1"/>
  <c r="AF267" i="70"/>
  <c r="AF266" i="70"/>
  <c r="AH265" i="70"/>
  <c r="IF39" i="70" s="1"/>
  <c r="HQ39" i="71"/>
  <c r="AH261" i="71"/>
  <c r="HX40" i="70"/>
  <c r="HW40" i="70"/>
  <c r="HP36" i="70"/>
  <c r="HO36" i="70"/>
  <c r="HT40" i="70"/>
  <c r="HS40" i="70"/>
  <c r="AE305" i="71"/>
  <c r="AE301" i="70"/>
  <c r="AE309" i="70" s="1"/>
  <c r="IB39" i="70"/>
  <c r="IA39" i="70"/>
  <c r="IB38" i="70"/>
  <c r="IA38" i="70"/>
  <c r="HX39" i="70"/>
  <c r="HW39" i="70"/>
  <c r="AK262" i="70" a="1"/>
  <c r="AK262" i="70" s="1"/>
  <c r="AJ263" i="70"/>
  <c r="HR41" i="70" s="1"/>
  <c r="AI276" i="70"/>
  <c r="HU40" i="71" s="1"/>
  <c r="AG279" i="70"/>
  <c r="AG281" i="70"/>
  <c r="AG282" i="70" s="1"/>
  <c r="AG283" i="70" s="1"/>
  <c r="AG278" i="70"/>
  <c r="AG314" i="70"/>
  <c r="AF306" i="71"/>
  <c r="AF302" i="70"/>
  <c r="AF310" i="70" s="1"/>
  <c r="AH276" i="70"/>
  <c r="HU39" i="71" s="1"/>
  <c r="AJ274" i="70" a="1"/>
  <c r="AJ274" i="70" s="1"/>
  <c r="AJ275" i="70" s="1"/>
  <c r="HV41" i="70" s="1"/>
  <c r="AE252" i="70"/>
  <c r="HM36" i="71" s="1"/>
  <c r="AH288" i="70"/>
  <c r="AG305" i="71"/>
  <c r="AG301" i="70"/>
  <c r="AG309" i="70" s="1"/>
  <c r="AI265" i="70"/>
  <c r="IF40" i="70" s="1"/>
  <c r="AI261" i="71"/>
  <c r="AD253" i="70"/>
  <c r="IE35" i="70" s="1"/>
  <c r="AD249" i="71"/>
  <c r="AG288" i="70"/>
  <c r="HY38" i="71" s="1"/>
  <c r="AB300" i="70"/>
  <c r="AB308" i="70" s="1"/>
  <c r="AB304" i="71"/>
  <c r="AC255" i="70"/>
  <c r="AC299" i="70"/>
  <c r="AC254" i="70"/>
  <c r="AC312" i="70"/>
  <c r="AC257" i="70"/>
  <c r="AC258" i="70" s="1"/>
  <c r="AC259" i="70" s="1"/>
  <c r="AI286" i="70" a="1"/>
  <c r="AI286" i="70" s="1"/>
  <c r="AI287" i="70" s="1"/>
  <c r="HZ40" i="70" s="1"/>
  <c r="AG250" i="70" a="1"/>
  <c r="AG250" i="70" s="1"/>
  <c r="AF251" i="70"/>
  <c r="HN37" i="70" s="1"/>
  <c r="AH267" i="70"/>
  <c r="AH269" i="70"/>
  <c r="AH270" i="70" s="1"/>
  <c r="AH271" i="70" s="1"/>
  <c r="AF294" i="70"/>
  <c r="AF295" i="70" s="1"/>
  <c r="AF307" i="71"/>
  <c r="AF303" i="70"/>
  <c r="AF311" i="70" s="1"/>
  <c r="AH266" i="70" l="1"/>
  <c r="AH313" i="70"/>
  <c r="AF301" i="70"/>
  <c r="AF309" i="70" s="1"/>
  <c r="AF305" i="71"/>
  <c r="AH289" i="70"/>
  <c r="IH39" i="70" s="1"/>
  <c r="HY39" i="71"/>
  <c r="HO37" i="70"/>
  <c r="HP37" i="70"/>
  <c r="IA40" i="70"/>
  <c r="IB40" i="70"/>
  <c r="HT41" i="70"/>
  <c r="HS41" i="70"/>
  <c r="HW41" i="70"/>
  <c r="HX41" i="70"/>
  <c r="AK263" i="70"/>
  <c r="HR42" i="70" s="1"/>
  <c r="AJ264" i="70"/>
  <c r="AL262" i="70" a="1"/>
  <c r="AL262" i="70" s="1"/>
  <c r="AH285" i="71"/>
  <c r="AH273" i="71"/>
  <c r="AH277" i="70"/>
  <c r="IG39" i="70" s="1"/>
  <c r="AG306" i="71"/>
  <c r="AG302" i="70"/>
  <c r="AG310" i="70" s="1"/>
  <c r="AJ276" i="70"/>
  <c r="HU41" i="71" s="1"/>
  <c r="AK274" i="70" a="1"/>
  <c r="AK274" i="70" s="1"/>
  <c r="AK275" i="70" s="1"/>
  <c r="HV42" i="70" s="1"/>
  <c r="AI277" i="70"/>
  <c r="IG40" i="70" s="1"/>
  <c r="AI273" i="71"/>
  <c r="AI267" i="70"/>
  <c r="AI266" i="70"/>
  <c r="AI313" i="70"/>
  <c r="AI269" i="70"/>
  <c r="AI270" i="70" s="1"/>
  <c r="AI271" i="70" s="1"/>
  <c r="AH305" i="71"/>
  <c r="AH301" i="70"/>
  <c r="AH309" i="70" s="1"/>
  <c r="AG285" i="71"/>
  <c r="AG289" i="70"/>
  <c r="IH38" i="70" s="1"/>
  <c r="AJ286" i="70" a="1"/>
  <c r="AJ286" i="70" s="1"/>
  <c r="AJ287" i="70" s="1"/>
  <c r="HZ41" i="70" s="1"/>
  <c r="AF252" i="70"/>
  <c r="HM37" i="71" s="1"/>
  <c r="AC304" i="71"/>
  <c r="AC300" i="70"/>
  <c r="AC308" i="70" s="1"/>
  <c r="AG251" i="70"/>
  <c r="HN38" i="70" s="1"/>
  <c r="AH250" i="70" a="1"/>
  <c r="AH250" i="70" s="1"/>
  <c r="AE253" i="70"/>
  <c r="IE36" i="70" s="1"/>
  <c r="AE249" i="71"/>
  <c r="AD254" i="70"/>
  <c r="AD312" i="70"/>
  <c r="AD299" i="70"/>
  <c r="AD257" i="70"/>
  <c r="AD258" i="70" s="1"/>
  <c r="AD259" i="70" s="1"/>
  <c r="AD255" i="70"/>
  <c r="AH293" i="70"/>
  <c r="AH290" i="70" l="1"/>
  <c r="AH291" i="70"/>
  <c r="AH315" i="70"/>
  <c r="AJ265" i="70"/>
  <c r="IF41" i="70" s="1"/>
  <c r="HQ41" i="71"/>
  <c r="HS42" i="70"/>
  <c r="HT42" i="70"/>
  <c r="HX42" i="70"/>
  <c r="HW42" i="70"/>
  <c r="IB41" i="70"/>
  <c r="IA41" i="70"/>
  <c r="HP38" i="70"/>
  <c r="HO38" i="70"/>
  <c r="AK264" i="70"/>
  <c r="AJ261" i="71"/>
  <c r="AI288" i="70"/>
  <c r="HY40" i="71" s="1"/>
  <c r="AM262" i="70" a="1"/>
  <c r="AM262" i="70" s="1"/>
  <c r="AL263" i="70"/>
  <c r="HR43" i="70" s="1"/>
  <c r="AL264" i="70" s="1"/>
  <c r="HQ43" i="71" s="1"/>
  <c r="AJ277" i="70"/>
  <c r="IG41" i="70" s="1"/>
  <c r="AJ273" i="71"/>
  <c r="AI278" i="70"/>
  <c r="AI279" i="70"/>
  <c r="AI281" i="70"/>
  <c r="AI282" i="70" s="1"/>
  <c r="AI283" i="70" s="1"/>
  <c r="AI314" i="70"/>
  <c r="AK276" i="70"/>
  <c r="HU42" i="71" s="1"/>
  <c r="AH278" i="70"/>
  <c r="AH281" i="70"/>
  <c r="AH282" i="70" s="1"/>
  <c r="AH283" i="70" s="1"/>
  <c r="AH279" i="70"/>
  <c r="AH314" i="70"/>
  <c r="AL274" i="70" a="1"/>
  <c r="AL274" i="70" s="1"/>
  <c r="AL275" i="70" s="1"/>
  <c r="HV43" i="70" s="1"/>
  <c r="AF253" i="70"/>
  <c r="IE37" i="70" s="1"/>
  <c r="AF249" i="71"/>
  <c r="AJ266" i="70"/>
  <c r="AJ269" i="70"/>
  <c r="AJ270" i="70" s="1"/>
  <c r="AJ271" i="70" s="1"/>
  <c r="AJ267" i="70"/>
  <c r="AJ313" i="70"/>
  <c r="AJ288" i="70"/>
  <c r="IH41" i="70"/>
  <c r="AE255" i="70"/>
  <c r="AE254" i="70"/>
  <c r="AE257" i="70"/>
  <c r="AE258" i="70" s="1"/>
  <c r="AE259" i="70" s="1"/>
  <c r="AE299" i="70"/>
  <c r="AE312" i="70"/>
  <c r="AH251" i="70"/>
  <c r="HN39" i="70" s="1"/>
  <c r="AI250" i="70" a="1"/>
  <c r="AI250" i="70" s="1"/>
  <c r="AG293" i="70"/>
  <c r="AG294" i="70" s="1"/>
  <c r="AG295" i="70" s="1"/>
  <c r="AG291" i="70"/>
  <c r="AG315" i="70"/>
  <c r="AG290" i="70"/>
  <c r="AD300" i="70"/>
  <c r="AD308" i="70" s="1"/>
  <c r="AD304" i="71"/>
  <c r="AG252" i="70"/>
  <c r="HM38" i="71" s="1"/>
  <c r="AI305" i="71"/>
  <c r="AI301" i="70"/>
  <c r="AI309" i="70" s="1"/>
  <c r="AK286" i="70" a="1"/>
  <c r="AK286" i="70" s="1"/>
  <c r="AK287" i="70" s="1"/>
  <c r="HZ42" i="70" s="1"/>
  <c r="AH307" i="71"/>
  <c r="AH303" i="70"/>
  <c r="AH311" i="70" s="1"/>
  <c r="AH294" i="70"/>
  <c r="AH295" i="70" s="1"/>
  <c r="AK265" i="70" l="1"/>
  <c r="IF42" i="70" s="1"/>
  <c r="HQ42" i="71"/>
  <c r="AJ289" i="70"/>
  <c r="HY41" i="71"/>
  <c r="HP39" i="70"/>
  <c r="HO39" i="70"/>
  <c r="IB42" i="70"/>
  <c r="IA42" i="70"/>
  <c r="AK261" i="71"/>
  <c r="HX43" i="70"/>
  <c r="HW43" i="70"/>
  <c r="HT43" i="70"/>
  <c r="HS43" i="70"/>
  <c r="AI285" i="71"/>
  <c r="AI289" i="70"/>
  <c r="IH40" i="70" s="1"/>
  <c r="AM263" i="70"/>
  <c r="HR44" i="70" s="1"/>
  <c r="AM264" i="70" s="1"/>
  <c r="HQ44" i="71" s="1"/>
  <c r="AN262" i="70" a="1"/>
  <c r="AN262" i="70" s="1"/>
  <c r="AJ285" i="71"/>
  <c r="AH302" i="70"/>
  <c r="AH310" i="70" s="1"/>
  <c r="AH306" i="71"/>
  <c r="AI306" i="71"/>
  <c r="AI302" i="70"/>
  <c r="AI310" i="70" s="1"/>
  <c r="AM274" i="70" a="1"/>
  <c r="AM274" i="70" s="1"/>
  <c r="AM275" i="70" s="1"/>
  <c r="HV44" i="70" s="1"/>
  <c r="AL276" i="70"/>
  <c r="HU43" i="71" s="1"/>
  <c r="AK277" i="70"/>
  <c r="IG42" i="70" s="1"/>
  <c r="AK273" i="71"/>
  <c r="AJ279" i="70"/>
  <c r="AJ278" i="70"/>
  <c r="AJ281" i="70"/>
  <c r="AJ282" i="70" s="1"/>
  <c r="AJ283" i="70" s="1"/>
  <c r="AJ314" i="70"/>
  <c r="AH252" i="70"/>
  <c r="HM39" i="71" s="1"/>
  <c r="AL261" i="71"/>
  <c r="AL265" i="70"/>
  <c r="IF43" i="70" s="1"/>
  <c r="AJ250" i="70" a="1"/>
  <c r="AJ250" i="70" s="1"/>
  <c r="AI251" i="70"/>
  <c r="HN40" i="70" s="1"/>
  <c r="AG307" i="71"/>
  <c r="AG303" i="70"/>
  <c r="AG311" i="70" s="1"/>
  <c r="AF312" i="70"/>
  <c r="AF255" i="70"/>
  <c r="AF254" i="70"/>
  <c r="AF257" i="70"/>
  <c r="AF258" i="70" s="1"/>
  <c r="AF259" i="70" s="1"/>
  <c r="AF299" i="70"/>
  <c r="AK288" i="70"/>
  <c r="AG253" i="70"/>
  <c r="IE38" i="70" s="1"/>
  <c r="AG249" i="71"/>
  <c r="AE304" i="71"/>
  <c r="AE300" i="70"/>
  <c r="AE308" i="70" s="1"/>
  <c r="AJ301" i="70"/>
  <c r="AJ309" i="70" s="1"/>
  <c r="AJ305" i="71"/>
  <c r="AK267" i="70"/>
  <c r="AK313" i="70"/>
  <c r="AK266" i="70"/>
  <c r="AK269" i="70"/>
  <c r="AK270" i="70" s="1"/>
  <c r="AK271" i="70" s="1"/>
  <c r="AL286" i="70" a="1"/>
  <c r="AL286" i="70" s="1"/>
  <c r="AL287" i="70" s="1"/>
  <c r="HZ43" i="70" s="1"/>
  <c r="AJ290" i="70"/>
  <c r="AJ291" i="70"/>
  <c r="AJ315" i="70"/>
  <c r="AJ293" i="70"/>
  <c r="AK289" i="70" l="1"/>
  <c r="IH42" i="70" s="1"/>
  <c r="HY42" i="71"/>
  <c r="HT44" i="70"/>
  <c r="HS44" i="70"/>
  <c r="HW44" i="70"/>
  <c r="HX44" i="70"/>
  <c r="HO40" i="70"/>
  <c r="HP40" i="70"/>
  <c r="IA43" i="70"/>
  <c r="IB43" i="70"/>
  <c r="AO262" i="70" a="1"/>
  <c r="AO262" i="70" s="1"/>
  <c r="AN263" i="70"/>
  <c r="HR45" i="70" s="1"/>
  <c r="AN264" i="70" s="1"/>
  <c r="HQ45" i="71" s="1"/>
  <c r="AI315" i="70"/>
  <c r="AI293" i="70"/>
  <c r="AI294" i="70" s="1"/>
  <c r="AI295" i="70" s="1"/>
  <c r="AI290" i="70"/>
  <c r="AI291" i="70"/>
  <c r="AK285" i="71"/>
  <c r="AL277" i="70"/>
  <c r="IG43" i="70" s="1"/>
  <c r="AL273" i="71"/>
  <c r="AM276" i="70"/>
  <c r="HU44" i="71" s="1"/>
  <c r="AK278" i="70"/>
  <c r="AK281" i="70"/>
  <c r="AK282" i="70" s="1"/>
  <c r="AK283" i="70" s="1"/>
  <c r="AK279" i="70"/>
  <c r="AK314" i="70"/>
  <c r="AN274" i="70" a="1"/>
  <c r="AN274" i="70" s="1"/>
  <c r="AN275" i="70" s="1"/>
  <c r="HV45" i="70" s="1"/>
  <c r="AJ306" i="71"/>
  <c r="AJ302" i="70"/>
  <c r="AJ310" i="70" s="1"/>
  <c r="AJ251" i="70"/>
  <c r="HN41" i="70" s="1"/>
  <c r="AK250" i="70" a="1"/>
  <c r="AK250" i="70" s="1"/>
  <c r="AM286" i="70" a="1"/>
  <c r="AM286" i="70" s="1"/>
  <c r="AM287" i="70" s="1"/>
  <c r="HZ44" i="70" s="1"/>
  <c r="AL269" i="70"/>
  <c r="AL270" i="70" s="1"/>
  <c r="AL271" i="70" s="1"/>
  <c r="AL266" i="70"/>
  <c r="AL313" i="70"/>
  <c r="AL267" i="70"/>
  <c r="AK305" i="71"/>
  <c r="AK301" i="70"/>
  <c r="AK309" i="70" s="1"/>
  <c r="AM265" i="70"/>
  <c r="IF44" i="70" s="1"/>
  <c r="AM261" i="71"/>
  <c r="AF304" i="71"/>
  <c r="AF300" i="70"/>
  <c r="AF308" i="70" s="1"/>
  <c r="AG299" i="70"/>
  <c r="AG257" i="70"/>
  <c r="AG258" i="70" s="1"/>
  <c r="AG259" i="70" s="1"/>
  <c r="AG255" i="70"/>
  <c r="AG254" i="70"/>
  <c r="AG312" i="70"/>
  <c r="AH253" i="70"/>
  <c r="IE39" i="70" s="1"/>
  <c r="AH249" i="71"/>
  <c r="AI252" i="70"/>
  <c r="HM40" i="71" s="1"/>
  <c r="AK291" i="70"/>
  <c r="AK290" i="70"/>
  <c r="AK293" i="70"/>
  <c r="AK315" i="70"/>
  <c r="AJ307" i="71"/>
  <c r="AJ303" i="70"/>
  <c r="AJ311" i="70" s="1"/>
  <c r="AJ294" i="70"/>
  <c r="AJ295" i="70" s="1"/>
  <c r="HX45" i="70" l="1"/>
  <c r="HW45" i="70"/>
  <c r="HS45" i="70"/>
  <c r="HT45" i="70"/>
  <c r="IB44" i="70"/>
  <c r="IA44" i="70"/>
  <c r="HP41" i="70"/>
  <c r="HO41" i="70"/>
  <c r="AO263" i="70"/>
  <c r="HR46" i="70" s="1"/>
  <c r="AO264" i="70" s="1"/>
  <c r="HQ46" i="71" s="1"/>
  <c r="AP262" i="70" a="1"/>
  <c r="AP262" i="70" s="1"/>
  <c r="AL288" i="70"/>
  <c r="AI307" i="71"/>
  <c r="AI303" i="70"/>
  <c r="AI311" i="70" s="1"/>
  <c r="AO274" i="70" a="1"/>
  <c r="AO274" i="70" s="1"/>
  <c r="AO275" i="70" s="1"/>
  <c r="HV46" i="70" s="1"/>
  <c r="AM273" i="71"/>
  <c r="AM277" i="70"/>
  <c r="IG44" i="70" s="1"/>
  <c r="AN276" i="70"/>
  <c r="HU45" i="71" s="1"/>
  <c r="AK306" i="71"/>
  <c r="AK302" i="70"/>
  <c r="AK310" i="70" s="1"/>
  <c r="AL314" i="70"/>
  <c r="AL279" i="70"/>
  <c r="AL281" i="70"/>
  <c r="AL282" i="70" s="1"/>
  <c r="AL283" i="70" s="1"/>
  <c r="AL278" i="70"/>
  <c r="AM288" i="70"/>
  <c r="AI253" i="70"/>
  <c r="IE40" i="70" s="1"/>
  <c r="AI249" i="71"/>
  <c r="AH257" i="70"/>
  <c r="AH258" i="70" s="1"/>
  <c r="AH259" i="70" s="1"/>
  <c r="AH299" i="70"/>
  <c r="AH312" i="70"/>
  <c r="AH255" i="70"/>
  <c r="AH254" i="70"/>
  <c r="AN261" i="71"/>
  <c r="AN265" i="70"/>
  <c r="IF45" i="70" s="1"/>
  <c r="AN286" i="70" a="1"/>
  <c r="AN286" i="70" s="1"/>
  <c r="AN287" i="70" s="1"/>
  <c r="HZ45" i="70" s="1"/>
  <c r="AG304" i="71"/>
  <c r="AG300" i="70"/>
  <c r="AG308" i="70" s="1"/>
  <c r="AL250" i="70" a="1"/>
  <c r="AL250" i="70" s="1"/>
  <c r="AK251" i="70"/>
  <c r="HN42" i="70" s="1"/>
  <c r="AJ252" i="70"/>
  <c r="HM41" i="71" s="1"/>
  <c r="AM267" i="70"/>
  <c r="AM313" i="70"/>
  <c r="AM266" i="70"/>
  <c r="AM269" i="70"/>
  <c r="AM270" i="70" s="1"/>
  <c r="AM271" i="70" s="1"/>
  <c r="AL301" i="70"/>
  <c r="AL309" i="70" s="1"/>
  <c r="AL305" i="71"/>
  <c r="AK294" i="70"/>
  <c r="AK295" i="70" s="1"/>
  <c r="AK307" i="71"/>
  <c r="AK303" i="70"/>
  <c r="AK311" i="70" s="1"/>
  <c r="AM289" i="70" l="1"/>
  <c r="HY44" i="71"/>
  <c r="AL289" i="70"/>
  <c r="AL293" i="70" s="1"/>
  <c r="AL294" i="70" s="1"/>
  <c r="AL295" i="70" s="1"/>
  <c r="HY43" i="71"/>
  <c r="HP42" i="70"/>
  <c r="HO42" i="70"/>
  <c r="HT46" i="70"/>
  <c r="HS46" i="70"/>
  <c r="IB45" i="70"/>
  <c r="IA45" i="70"/>
  <c r="HX46" i="70"/>
  <c r="HW46" i="70"/>
  <c r="IH43" i="70"/>
  <c r="IH44" i="70"/>
  <c r="AP263" i="70"/>
  <c r="HR47" i="70" s="1"/>
  <c r="AP264" i="70" s="1"/>
  <c r="HQ47" i="71" s="1"/>
  <c r="AL285" i="71"/>
  <c r="AQ262" i="70" a="1"/>
  <c r="AQ262" i="70" s="1"/>
  <c r="AM285" i="71"/>
  <c r="AL306" i="71"/>
  <c r="AL302" i="70"/>
  <c r="AL310" i="70" s="1"/>
  <c r="AM281" i="70"/>
  <c r="AM282" i="70" s="1"/>
  <c r="AM283" i="70" s="1"/>
  <c r="AM279" i="70"/>
  <c r="AM314" i="70"/>
  <c r="AM278" i="70"/>
  <c r="AN277" i="70"/>
  <c r="IG45" i="70" s="1"/>
  <c r="AN273" i="71"/>
  <c r="AP274" i="70" a="1"/>
  <c r="AP274" i="70" s="1"/>
  <c r="AP275" i="70" s="1"/>
  <c r="HV47" i="70" s="1"/>
  <c r="AO276" i="70"/>
  <c r="HU46" i="71" s="1"/>
  <c r="AO286" i="70" a="1"/>
  <c r="AO286" i="70" s="1"/>
  <c r="AO287" i="70" s="1"/>
  <c r="HZ46" i="70" s="1"/>
  <c r="AN288" i="70"/>
  <c r="AN267" i="70"/>
  <c r="AN266" i="70"/>
  <c r="AN313" i="70"/>
  <c r="AN269" i="70"/>
  <c r="AN270" i="70" s="1"/>
  <c r="AN271" i="70" s="1"/>
  <c r="AM301" i="70"/>
  <c r="AM309" i="70" s="1"/>
  <c r="AM305" i="71"/>
  <c r="AI255" i="70"/>
  <c r="AI312" i="70"/>
  <c r="AI257" i="70"/>
  <c r="AI258" i="70" s="1"/>
  <c r="AI259" i="70" s="1"/>
  <c r="AI254" i="70"/>
  <c r="AI299" i="70"/>
  <c r="AO265" i="70"/>
  <c r="IF46" i="70" s="1"/>
  <c r="AO261" i="71"/>
  <c r="AK252" i="70"/>
  <c r="HM42" i="71" s="1"/>
  <c r="AL251" i="70"/>
  <c r="HN43" i="70" s="1"/>
  <c r="AM250" i="70" a="1"/>
  <c r="AM250" i="70" s="1"/>
  <c r="AH304" i="71"/>
  <c r="AH300" i="70"/>
  <c r="AH308" i="70" s="1"/>
  <c r="AJ253" i="70"/>
  <c r="IE41" i="70" s="1"/>
  <c r="AJ249" i="71"/>
  <c r="AM290" i="70"/>
  <c r="AM315" i="70"/>
  <c r="AM293" i="70"/>
  <c r="AM291" i="70"/>
  <c r="AL315" i="70" l="1"/>
  <c r="AN289" i="70"/>
  <c r="IH45" i="70" s="1"/>
  <c r="HY45" i="71"/>
  <c r="AL290" i="70"/>
  <c r="AL291" i="70"/>
  <c r="IA46" i="70"/>
  <c r="IB46" i="70"/>
  <c r="HO43" i="70"/>
  <c r="HP43" i="70"/>
  <c r="HW47" i="70"/>
  <c r="HX47" i="70"/>
  <c r="HT47" i="70"/>
  <c r="HS47" i="70"/>
  <c r="AR262" i="70" a="1"/>
  <c r="AR262" i="70" s="1"/>
  <c r="AQ263" i="70"/>
  <c r="HR48" i="70" s="1"/>
  <c r="AQ264" i="70" s="1"/>
  <c r="HQ48" i="71" s="1"/>
  <c r="AN285" i="71"/>
  <c r="AN278" i="70"/>
  <c r="AN279" i="70"/>
  <c r="AN281" i="70"/>
  <c r="AN282" i="70" s="1"/>
  <c r="AN283" i="70" s="1"/>
  <c r="AN314" i="70"/>
  <c r="AO277" i="70"/>
  <c r="IG46" i="70" s="1"/>
  <c r="AO273" i="71"/>
  <c r="AM302" i="70"/>
  <c r="AM310" i="70" s="1"/>
  <c r="AM306" i="71"/>
  <c r="AQ274" i="70" a="1"/>
  <c r="AQ274" i="70" s="1"/>
  <c r="AQ275" i="70" s="1"/>
  <c r="HV48" i="70" s="1"/>
  <c r="AP276" i="70"/>
  <c r="HU47" i="71" s="1"/>
  <c r="AN250" i="70" a="1"/>
  <c r="AN250" i="70" s="1"/>
  <c r="AM251" i="70"/>
  <c r="HN44" i="70" s="1"/>
  <c r="AL252" i="70"/>
  <c r="HM43" i="71" s="1"/>
  <c r="AO288" i="70"/>
  <c r="AO266" i="70"/>
  <c r="AO269" i="70"/>
  <c r="AO270" i="70" s="1"/>
  <c r="AO271" i="70" s="1"/>
  <c r="AO313" i="70"/>
  <c r="AO267" i="70"/>
  <c r="AP265" i="70"/>
  <c r="IF47" i="70" s="1"/>
  <c r="AP261" i="71"/>
  <c r="AP286" i="70" a="1"/>
  <c r="AP286" i="70" s="1"/>
  <c r="AP287" i="70" s="1"/>
  <c r="HZ47" i="70" s="1"/>
  <c r="AK253" i="70"/>
  <c r="IE42" i="70" s="1"/>
  <c r="AK249" i="71"/>
  <c r="AN301" i="70"/>
  <c r="AN309" i="70" s="1"/>
  <c r="AN305" i="71"/>
  <c r="AJ312" i="70"/>
  <c r="AJ255" i="70"/>
  <c r="AJ257" i="70"/>
  <c r="AJ258" i="70" s="1"/>
  <c r="AJ259" i="70" s="1"/>
  <c r="AJ254" i="70"/>
  <c r="AJ299" i="70"/>
  <c r="AI300" i="70"/>
  <c r="AI308" i="70" s="1"/>
  <c r="AI304" i="71"/>
  <c r="AM307" i="71"/>
  <c r="AM303" i="70"/>
  <c r="AM311" i="70" s="1"/>
  <c r="AM294" i="70"/>
  <c r="AM295" i="70" s="1"/>
  <c r="AN291" i="70"/>
  <c r="AN290" i="70"/>
  <c r="AN293" i="70"/>
  <c r="AN315" i="70"/>
  <c r="AO289" i="70" l="1"/>
  <c r="IH46" i="70" s="1"/>
  <c r="HY46" i="71"/>
  <c r="AL303" i="70"/>
  <c r="AL311" i="70" s="1"/>
  <c r="AL307" i="71"/>
  <c r="HP44" i="70"/>
  <c r="HO44" i="70"/>
  <c r="HS48" i="70"/>
  <c r="HT48" i="70"/>
  <c r="HX48" i="70"/>
  <c r="HW48" i="70"/>
  <c r="IB47" i="70"/>
  <c r="IA47" i="70"/>
  <c r="AS262" i="70" a="1"/>
  <c r="AS262" i="70" s="1"/>
  <c r="AR263" i="70"/>
  <c r="HR49" i="70" s="1"/>
  <c r="AO285" i="71"/>
  <c r="AO281" i="70"/>
  <c r="AO282" i="70" s="1"/>
  <c r="AO283" i="70" s="1"/>
  <c r="AO279" i="70"/>
  <c r="AO278" i="70"/>
  <c r="AO314" i="70"/>
  <c r="AP277" i="70"/>
  <c r="IG47" i="70" s="1"/>
  <c r="AP273" i="71"/>
  <c r="AQ276" i="70"/>
  <c r="HU48" i="71" s="1"/>
  <c r="AN302" i="70"/>
  <c r="AN310" i="70" s="1"/>
  <c r="AN306" i="71"/>
  <c r="AR274" i="70" a="1"/>
  <c r="AR274" i="70" s="1"/>
  <c r="AR275" i="70" s="1"/>
  <c r="HV49" i="70" s="1"/>
  <c r="AQ286" i="70" a="1"/>
  <c r="AQ286" i="70" s="1"/>
  <c r="AQ287" i="70" s="1"/>
  <c r="HZ48" i="70" s="1"/>
  <c r="AK257" i="70"/>
  <c r="AK258" i="70" s="1"/>
  <c r="AK259" i="70" s="1"/>
  <c r="AK254" i="70"/>
  <c r="AK299" i="70"/>
  <c r="AK255" i="70"/>
  <c r="AK312" i="70"/>
  <c r="AJ304" i="71"/>
  <c r="AJ300" i="70"/>
  <c r="AJ308" i="70" s="1"/>
  <c r="AP266" i="70"/>
  <c r="AP313" i="70"/>
  <c r="AP267" i="70"/>
  <c r="AP269" i="70"/>
  <c r="AP270" i="70" s="1"/>
  <c r="AP271" i="70" s="1"/>
  <c r="AL253" i="70"/>
  <c r="IE43" i="70" s="1"/>
  <c r="AL249" i="71"/>
  <c r="AO301" i="70"/>
  <c r="AO309" i="70" s="1"/>
  <c r="AO305" i="71"/>
  <c r="AQ261" i="71"/>
  <c r="AQ265" i="70"/>
  <c r="IF48" i="70" s="1"/>
  <c r="AM252" i="70"/>
  <c r="HM44" i="71" s="1"/>
  <c r="AN251" i="70"/>
  <c r="HN45" i="70" s="1"/>
  <c r="AO250" i="70" a="1"/>
  <c r="AO250" i="70" s="1"/>
  <c r="AO290" i="70"/>
  <c r="AO315" i="70"/>
  <c r="AO293" i="70"/>
  <c r="AO291" i="70"/>
  <c r="AN303" i="70"/>
  <c r="AN311" i="70" s="1"/>
  <c r="AN307" i="71"/>
  <c r="AN294" i="70"/>
  <c r="AN295" i="70" s="1"/>
  <c r="IB48" i="70" l="1"/>
  <c r="IA48" i="70"/>
  <c r="HT49" i="70"/>
  <c r="HS49" i="70"/>
  <c r="HX49" i="70"/>
  <c r="HW49" i="70"/>
  <c r="HP45" i="70"/>
  <c r="HO45" i="70"/>
  <c r="AR264" i="70"/>
  <c r="HQ49" i="71" s="1"/>
  <c r="AS263" i="70"/>
  <c r="HR50" i="70" s="1"/>
  <c r="AT262" i="70" a="1"/>
  <c r="AT262" i="70" s="1"/>
  <c r="AP288" i="70"/>
  <c r="HY47" i="71" s="1"/>
  <c r="AR276" i="70"/>
  <c r="HU49" i="71" s="1"/>
  <c r="AP314" i="70"/>
  <c r="AP279" i="70"/>
  <c r="AP281" i="70"/>
  <c r="AP282" i="70" s="1"/>
  <c r="AP283" i="70" s="1"/>
  <c r="AP278" i="70"/>
  <c r="AS274" i="70" a="1"/>
  <c r="AS274" i="70" s="1"/>
  <c r="AS275" i="70" s="1"/>
  <c r="HV50" i="70" s="1"/>
  <c r="AQ277" i="70"/>
  <c r="IG48" i="70" s="1"/>
  <c r="AQ273" i="71"/>
  <c r="AO302" i="70"/>
  <c r="AO310" i="70" s="1"/>
  <c r="AO306" i="71"/>
  <c r="AQ288" i="70"/>
  <c r="AN252" i="70"/>
  <c r="HM45" i="71" s="1"/>
  <c r="AM249" i="71"/>
  <c r="AM253" i="70"/>
  <c r="IE44" i="70" s="1"/>
  <c r="AK304" i="71"/>
  <c r="AK300" i="70"/>
  <c r="AK308" i="70" s="1"/>
  <c r="AR286" i="70" a="1"/>
  <c r="AR286" i="70" s="1"/>
  <c r="AR287" i="70" s="1"/>
  <c r="HZ49" i="70" s="1"/>
  <c r="AQ266" i="70"/>
  <c r="AQ267" i="70"/>
  <c r="AQ269" i="70"/>
  <c r="AQ270" i="70" s="1"/>
  <c r="AQ271" i="70" s="1"/>
  <c r="AQ313" i="70"/>
  <c r="AL255" i="70"/>
  <c r="AL257" i="70"/>
  <c r="AL258" i="70" s="1"/>
  <c r="AL259" i="70" s="1"/>
  <c r="AL312" i="70"/>
  <c r="AL254" i="70"/>
  <c r="AL299" i="70"/>
  <c r="AO251" i="70"/>
  <c r="HN46" i="70" s="1"/>
  <c r="AP250" i="70" a="1"/>
  <c r="AP250" i="70" s="1"/>
  <c r="AP301" i="70"/>
  <c r="AP309" i="70" s="1"/>
  <c r="AP305" i="71"/>
  <c r="AR265" i="70"/>
  <c r="IF49" i="70" s="1"/>
  <c r="AR261" i="71"/>
  <c r="AO303" i="70"/>
  <c r="AO311" i="70" s="1"/>
  <c r="AO307" i="71"/>
  <c r="AO294" i="70"/>
  <c r="AO295" i="70" s="1"/>
  <c r="AQ285" i="71" l="1"/>
  <c r="HY48" i="71"/>
  <c r="HT50" i="70"/>
  <c r="HS50" i="70"/>
  <c r="HW50" i="70"/>
  <c r="HX50" i="70"/>
  <c r="IA49" i="70"/>
  <c r="IB49" i="70"/>
  <c r="HO46" i="70"/>
  <c r="HP46" i="70"/>
  <c r="AT263" i="70"/>
  <c r="HR51" i="70" s="1"/>
  <c r="AT264" i="70" s="1"/>
  <c r="HQ51" i="71" s="1"/>
  <c r="AU262" i="70" a="1"/>
  <c r="AU262" i="70" s="1"/>
  <c r="AS264" i="70"/>
  <c r="AP285" i="71"/>
  <c r="AP289" i="70"/>
  <c r="IH47" i="70" s="1"/>
  <c r="AQ289" i="70"/>
  <c r="AP306" i="71"/>
  <c r="AP302" i="70"/>
  <c r="AP310" i="70" s="1"/>
  <c r="AQ281" i="70"/>
  <c r="AQ282" i="70" s="1"/>
  <c r="AQ283" i="70" s="1"/>
  <c r="AQ314" i="70"/>
  <c r="AQ279" i="70"/>
  <c r="AQ278" i="70"/>
  <c r="AT274" i="70" a="1"/>
  <c r="AT274" i="70" s="1"/>
  <c r="AT275" i="70" s="1"/>
  <c r="HV51" i="70" s="1"/>
  <c r="AS276" i="70"/>
  <c r="HU50" i="71" s="1"/>
  <c r="AR273" i="71"/>
  <c r="AR277" i="70"/>
  <c r="IG49" i="70" s="1"/>
  <c r="AS286" i="70" a="1"/>
  <c r="AS286" i="70" s="1"/>
  <c r="AS287" i="70" s="1"/>
  <c r="HZ50" i="70" s="1"/>
  <c r="AP251" i="70"/>
  <c r="HN47" i="70" s="1"/>
  <c r="AQ250" i="70" a="1"/>
  <c r="AQ250" i="70" s="1"/>
  <c r="AL300" i="70"/>
  <c r="AL308" i="70" s="1"/>
  <c r="AL304" i="71"/>
  <c r="AM299" i="70"/>
  <c r="AM312" i="70"/>
  <c r="AM255" i="70"/>
  <c r="AM257" i="70"/>
  <c r="AM258" i="70" s="1"/>
  <c r="AM259" i="70" s="1"/>
  <c r="AM254" i="70"/>
  <c r="AO252" i="70"/>
  <c r="HM46" i="71" s="1"/>
  <c r="AR266" i="70"/>
  <c r="AR269" i="70"/>
  <c r="AR270" i="70" s="1"/>
  <c r="AR271" i="70" s="1"/>
  <c r="AR313" i="70"/>
  <c r="AR267" i="70"/>
  <c r="AR288" i="70"/>
  <c r="AQ305" i="71"/>
  <c r="AQ301" i="70"/>
  <c r="AQ309" i="70" s="1"/>
  <c r="AN249" i="71"/>
  <c r="AN253" i="70"/>
  <c r="IE45" i="70" s="1"/>
  <c r="AR285" i="71" l="1"/>
  <c r="HY49" i="71"/>
  <c r="AS265" i="70"/>
  <c r="IF50" i="70" s="1"/>
  <c r="HQ50" i="71"/>
  <c r="HX51" i="70"/>
  <c r="HW51" i="70"/>
  <c r="HS51" i="70"/>
  <c r="HT51" i="70"/>
  <c r="HP47" i="70"/>
  <c r="HO47" i="70"/>
  <c r="IB50" i="70"/>
  <c r="IA50" i="70"/>
  <c r="AQ290" i="70"/>
  <c r="IH48" i="70"/>
  <c r="AU263" i="70"/>
  <c r="HR52" i="70" s="1"/>
  <c r="AU264" i="70" s="1"/>
  <c r="HQ52" i="71" s="1"/>
  <c r="AS261" i="71"/>
  <c r="AV262" i="70" a="1"/>
  <c r="AV262" i="70" s="1"/>
  <c r="AP291" i="70"/>
  <c r="AP315" i="70"/>
  <c r="AP290" i="70"/>
  <c r="AP293" i="70"/>
  <c r="AP294" i="70" s="1"/>
  <c r="AP295" i="70" s="1"/>
  <c r="AQ291" i="70"/>
  <c r="AQ303" i="70" s="1"/>
  <c r="AQ311" i="70" s="1"/>
  <c r="AQ315" i="70"/>
  <c r="AQ293" i="70"/>
  <c r="AQ294" i="70" s="1"/>
  <c r="AQ295" i="70" s="1"/>
  <c r="AR289" i="70"/>
  <c r="AR293" i="70" s="1"/>
  <c r="AU274" i="70" a="1"/>
  <c r="AU274" i="70" s="1"/>
  <c r="AU275" i="70" s="1"/>
  <c r="HV52" i="70" s="1"/>
  <c r="AR278" i="70"/>
  <c r="AR279" i="70"/>
  <c r="AR281" i="70"/>
  <c r="AR282" i="70" s="1"/>
  <c r="AR283" i="70" s="1"/>
  <c r="AR314" i="70"/>
  <c r="AS277" i="70"/>
  <c r="IG50" i="70" s="1"/>
  <c r="AS273" i="71"/>
  <c r="AQ306" i="71"/>
  <c r="AQ302" i="70"/>
  <c r="AQ310" i="70" s="1"/>
  <c r="AT276" i="70"/>
  <c r="HU51" i="71" s="1"/>
  <c r="AS266" i="70"/>
  <c r="AT261" i="71"/>
  <c r="AT265" i="70"/>
  <c r="IF51" i="70" s="1"/>
  <c r="AM304" i="71"/>
  <c r="AM300" i="70"/>
  <c r="AM308" i="70" s="1"/>
  <c r="AN299" i="70"/>
  <c r="AN257" i="70"/>
  <c r="AN258" i="70" s="1"/>
  <c r="AN259" i="70" s="1"/>
  <c r="AN312" i="70"/>
  <c r="AN255" i="70"/>
  <c r="AN254" i="70"/>
  <c r="AS288" i="70"/>
  <c r="AO249" i="71"/>
  <c r="AO253" i="70"/>
  <c r="IE46" i="70" s="1"/>
  <c r="AR305" i="71"/>
  <c r="AR301" i="70"/>
  <c r="AR309" i="70" s="1"/>
  <c r="AQ251" i="70"/>
  <c r="HN48" i="70" s="1"/>
  <c r="AR250" i="70" a="1"/>
  <c r="AR250" i="70" s="1"/>
  <c r="AT286" i="70" a="1"/>
  <c r="AT286" i="70" s="1"/>
  <c r="AT287" i="70" s="1"/>
  <c r="HZ51" i="70" s="1"/>
  <c r="AP252" i="70"/>
  <c r="HM47" i="71" s="1"/>
  <c r="AS313" i="70" l="1"/>
  <c r="AS269" i="70"/>
  <c r="AS270" i="70" s="1"/>
  <c r="AS271" i="70" s="1"/>
  <c r="AS267" i="70"/>
  <c r="AS289" i="70"/>
  <c r="IH50" i="70" s="1"/>
  <c r="HY50" i="71"/>
  <c r="HT52" i="70"/>
  <c r="HS52" i="70"/>
  <c r="HX52" i="70"/>
  <c r="HW52" i="70"/>
  <c r="IB51" i="70"/>
  <c r="IA51" i="70"/>
  <c r="HP48" i="70"/>
  <c r="HO48" i="70"/>
  <c r="AR315" i="70"/>
  <c r="IH49" i="70"/>
  <c r="AW262" i="70" a="1"/>
  <c r="AW262" i="70" s="1"/>
  <c r="AP307" i="71"/>
  <c r="AP303" i="70"/>
  <c r="AP311" i="70" s="1"/>
  <c r="AV263" i="70"/>
  <c r="AQ307" i="71"/>
  <c r="AR291" i="70"/>
  <c r="AR307" i="71" s="1"/>
  <c r="AR290" i="70"/>
  <c r="AS314" i="70"/>
  <c r="AS281" i="70"/>
  <c r="AS282" i="70" s="1"/>
  <c r="AS283" i="70" s="1"/>
  <c r="AS279" i="70"/>
  <c r="AS278" i="70"/>
  <c r="AS285" i="71"/>
  <c r="AT273" i="71"/>
  <c r="AT277" i="70"/>
  <c r="IG51" i="70" s="1"/>
  <c r="AR302" i="70"/>
  <c r="AR310" i="70" s="1"/>
  <c r="AR306" i="71"/>
  <c r="AU276" i="70"/>
  <c r="HU52" i="71" s="1"/>
  <c r="AV274" i="70" a="1"/>
  <c r="AV274" i="70" s="1"/>
  <c r="AV275" i="70" s="1"/>
  <c r="HV53" i="70" s="1"/>
  <c r="AO255" i="70"/>
  <c r="AO312" i="70"/>
  <c r="AO299" i="70"/>
  <c r="AO254" i="70"/>
  <c r="AO257" i="70"/>
  <c r="AO258" i="70" s="1"/>
  <c r="AO259" i="70" s="1"/>
  <c r="AP253" i="70"/>
  <c r="IE47" i="70" s="1"/>
  <c r="AP249" i="71"/>
  <c r="AT288" i="70"/>
  <c r="AN304" i="71"/>
  <c r="AN300" i="70"/>
  <c r="AN308" i="70" s="1"/>
  <c r="AS305" i="71"/>
  <c r="AS301" i="70"/>
  <c r="AS309" i="70" s="1"/>
  <c r="AR251" i="70"/>
  <c r="HN49" i="70" s="1"/>
  <c r="AS250" i="70" a="1"/>
  <c r="AS250" i="70" s="1"/>
  <c r="AQ252" i="70"/>
  <c r="HM48" i="71" s="1"/>
  <c r="AU265" i="70"/>
  <c r="IF52" i="70" s="1"/>
  <c r="AU261" i="71"/>
  <c r="AT266" i="70"/>
  <c r="AT267" i="70"/>
  <c r="AT269" i="70"/>
  <c r="AT270" i="70" s="1"/>
  <c r="AT271" i="70" s="1"/>
  <c r="AT313" i="70"/>
  <c r="AU286" i="70" a="1"/>
  <c r="AU286" i="70" s="1"/>
  <c r="AU287" i="70" s="1"/>
  <c r="HZ52" i="70" s="1"/>
  <c r="AR294" i="70"/>
  <c r="AR295" i="70" s="1"/>
  <c r="AS315" i="70"/>
  <c r="AS291" i="70"/>
  <c r="AS290" i="70"/>
  <c r="AS293" i="70"/>
  <c r="AT289" i="70" l="1"/>
  <c r="IH51" i="70" s="1"/>
  <c r="HY51" i="71"/>
  <c r="HO49" i="70"/>
  <c r="HP49" i="70"/>
  <c r="HW53" i="70"/>
  <c r="HX53" i="70"/>
  <c r="HR53" i="70"/>
  <c r="IA52" i="70"/>
  <c r="IB52" i="70"/>
  <c r="AW263" i="70"/>
  <c r="AX262" i="70" a="1"/>
  <c r="AX262" i="70" s="1"/>
  <c r="AR303" i="70"/>
  <c r="AR311" i="70" s="1"/>
  <c r="AV276" i="70"/>
  <c r="HU53" i="71" s="1"/>
  <c r="AT279" i="70"/>
  <c r="AT314" i="70"/>
  <c r="AT281" i="70"/>
  <c r="AT282" i="70" s="1"/>
  <c r="AT283" i="70" s="1"/>
  <c r="AT278" i="70"/>
  <c r="AT285" i="71"/>
  <c r="AU273" i="71"/>
  <c r="AU277" i="70"/>
  <c r="IG52" i="70" s="1"/>
  <c r="AS302" i="70"/>
  <c r="AS310" i="70" s="1"/>
  <c r="AS306" i="71"/>
  <c r="AW274" i="70" a="1"/>
  <c r="AW274" i="70" s="1"/>
  <c r="AW275" i="70" s="1"/>
  <c r="HV54" i="70" s="1"/>
  <c r="AU313" i="70"/>
  <c r="AU267" i="70"/>
  <c r="AU269" i="70"/>
  <c r="AU270" i="70" s="1"/>
  <c r="AU271" i="70" s="1"/>
  <c r="AU266" i="70"/>
  <c r="AU288" i="70"/>
  <c r="AP255" i="70"/>
  <c r="AP299" i="70"/>
  <c r="AP312" i="70"/>
  <c r="AP254" i="70"/>
  <c r="AP257" i="70"/>
  <c r="AP258" i="70" s="1"/>
  <c r="AP259" i="70" s="1"/>
  <c r="AT305" i="71"/>
  <c r="AT301" i="70"/>
  <c r="AT309" i="70" s="1"/>
  <c r="AQ253" i="70"/>
  <c r="IE48" i="70" s="1"/>
  <c r="AQ249" i="71"/>
  <c r="AS251" i="70"/>
  <c r="HN50" i="70" s="1"/>
  <c r="AT250" i="70" a="1"/>
  <c r="AT250" i="70" s="1"/>
  <c r="AR252" i="70"/>
  <c r="HM49" i="71" s="1"/>
  <c r="AO300" i="70"/>
  <c r="AO308" i="70" s="1"/>
  <c r="AO304" i="71"/>
  <c r="AV286" i="70" a="1"/>
  <c r="AV286" i="70" s="1"/>
  <c r="AV287" i="70" s="1"/>
  <c r="HZ53" i="70" s="1"/>
  <c r="AT290" i="70"/>
  <c r="AT293" i="70"/>
  <c r="AT291" i="70"/>
  <c r="AT315" i="70"/>
  <c r="AS303" i="70"/>
  <c r="AS311" i="70" s="1"/>
  <c r="AS307" i="71"/>
  <c r="AS294" i="70"/>
  <c r="AS295" i="70" s="1"/>
  <c r="HR54" i="70" l="1"/>
  <c r="AW264" i="70" s="1"/>
  <c r="HQ54" i="71" s="1"/>
  <c r="AU285" i="71"/>
  <c r="HY52" i="71"/>
  <c r="IB53" i="70"/>
  <c r="IA53" i="70"/>
  <c r="HT53" i="70"/>
  <c r="HS53" i="70"/>
  <c r="AV264" i="70"/>
  <c r="HQ53" i="71" s="1"/>
  <c r="HP50" i="70"/>
  <c r="HO50" i="70"/>
  <c r="HX54" i="70"/>
  <c r="HW54" i="70"/>
  <c r="AX263" i="70"/>
  <c r="HR55" i="70" s="1"/>
  <c r="AY262" i="70" a="1"/>
  <c r="AY262" i="70" s="1"/>
  <c r="AU289" i="70"/>
  <c r="AW276" i="70"/>
  <c r="HU54" i="71" s="1"/>
  <c r="AT302" i="70"/>
  <c r="AT310" i="70" s="1"/>
  <c r="AT306" i="71"/>
  <c r="AU279" i="70"/>
  <c r="AU314" i="70"/>
  <c r="AU281" i="70"/>
  <c r="AU282" i="70" s="1"/>
  <c r="AU283" i="70" s="1"/>
  <c r="AU278" i="70"/>
  <c r="AV277" i="70"/>
  <c r="IG53" i="70" s="1"/>
  <c r="AV273" i="71"/>
  <c r="AX274" i="70" a="1"/>
  <c r="AX274" i="70" s="1"/>
  <c r="AX275" i="70" s="1"/>
  <c r="HV55" i="70" s="1"/>
  <c r="AQ257" i="70"/>
  <c r="AQ258" i="70" s="1"/>
  <c r="AQ259" i="70" s="1"/>
  <c r="AQ254" i="70"/>
  <c r="AQ255" i="70"/>
  <c r="AQ312" i="70"/>
  <c r="AQ299" i="70"/>
  <c r="AP300" i="70"/>
  <c r="AP308" i="70" s="1"/>
  <c r="AP304" i="71"/>
  <c r="AW261" i="71"/>
  <c r="AR253" i="70"/>
  <c r="IE49" i="70" s="1"/>
  <c r="AR249" i="71"/>
  <c r="AT251" i="70"/>
  <c r="HN51" i="70" s="1"/>
  <c r="AU250" i="70" a="1"/>
  <c r="AU250" i="70" s="1"/>
  <c r="AU301" i="70"/>
  <c r="AU309" i="70" s="1"/>
  <c r="AU305" i="71"/>
  <c r="AS252" i="70"/>
  <c r="HM50" i="71" s="1"/>
  <c r="AW286" i="70" a="1"/>
  <c r="AW286" i="70" s="1"/>
  <c r="AW287" i="70" s="1"/>
  <c r="HZ54" i="70" s="1"/>
  <c r="AT294" i="70"/>
  <c r="AT295" i="70" s="1"/>
  <c r="AT307" i="71"/>
  <c r="AT303" i="70"/>
  <c r="AT311" i="70" s="1"/>
  <c r="AW265" i="70" l="1"/>
  <c r="IF54" i="70" s="1"/>
  <c r="HT54" i="70"/>
  <c r="HS54" i="70"/>
  <c r="HX55" i="70"/>
  <c r="HW55" i="70"/>
  <c r="HT55" i="70"/>
  <c r="HS55" i="70"/>
  <c r="IB54" i="70"/>
  <c r="IA54" i="70"/>
  <c r="AV265" i="70"/>
  <c r="AV261" i="71"/>
  <c r="HP51" i="70"/>
  <c r="HO51" i="70"/>
  <c r="AX264" i="70"/>
  <c r="HQ55" i="71" s="1"/>
  <c r="AU291" i="70"/>
  <c r="AU307" i="71" s="1"/>
  <c r="IH52" i="70"/>
  <c r="AV288" i="70"/>
  <c r="AV285" i="71" s="1"/>
  <c r="AZ262" i="70" a="1"/>
  <c r="AZ262" i="70" s="1"/>
  <c r="AY263" i="70"/>
  <c r="HR56" i="70" s="1"/>
  <c r="AY264" i="70" s="1"/>
  <c r="HQ56" i="71" s="1"/>
  <c r="AU290" i="70"/>
  <c r="AU315" i="70"/>
  <c r="AU293" i="70"/>
  <c r="AU294" i="70" s="1"/>
  <c r="AU295" i="70" s="1"/>
  <c r="AY274" i="70" a="1"/>
  <c r="AY274" i="70" s="1"/>
  <c r="AY275" i="70" s="1"/>
  <c r="HV56" i="70" s="1"/>
  <c r="AV314" i="70"/>
  <c r="AV278" i="70"/>
  <c r="AV279" i="70"/>
  <c r="AV281" i="70"/>
  <c r="AV282" i="70" s="1"/>
  <c r="AV283" i="70" s="1"/>
  <c r="AX276" i="70"/>
  <c r="HU55" i="71" s="1"/>
  <c r="AU302" i="70"/>
  <c r="AU310" i="70" s="1"/>
  <c r="AU306" i="71"/>
  <c r="AW277" i="70"/>
  <c r="IG54" i="70" s="1"/>
  <c r="AW273" i="71"/>
  <c r="AX265" i="70"/>
  <c r="IF55" i="70" s="1"/>
  <c r="AX261" i="71"/>
  <c r="AS253" i="70"/>
  <c r="IE50" i="70" s="1"/>
  <c r="AS249" i="71"/>
  <c r="AW313" i="70"/>
  <c r="AW266" i="70"/>
  <c r="AW269" i="70"/>
  <c r="AW270" i="70" s="1"/>
  <c r="AW271" i="70" s="1"/>
  <c r="AW267" i="70"/>
  <c r="AR255" i="70"/>
  <c r="AR299" i="70"/>
  <c r="AR254" i="70"/>
  <c r="AR312" i="70"/>
  <c r="AR257" i="70"/>
  <c r="AR258" i="70" s="1"/>
  <c r="AR259" i="70" s="1"/>
  <c r="AQ300" i="70"/>
  <c r="AQ308" i="70" s="1"/>
  <c r="AQ304" i="71"/>
  <c r="AU251" i="70"/>
  <c r="HN52" i="70" s="1"/>
  <c r="AV250" i="70" a="1"/>
  <c r="AV250" i="70" s="1"/>
  <c r="AT252" i="70"/>
  <c r="HM51" i="71" s="1"/>
  <c r="AX286" i="70" a="1"/>
  <c r="AX286" i="70" s="1"/>
  <c r="AX287" i="70" s="1"/>
  <c r="HZ55" i="70" s="1"/>
  <c r="AV289" i="70" l="1"/>
  <c r="HY53" i="71"/>
  <c r="AU303" i="70"/>
  <c r="AU311" i="70" s="1"/>
  <c r="HO52" i="70"/>
  <c r="HP52" i="70"/>
  <c r="IA55" i="70"/>
  <c r="IB55" i="70"/>
  <c r="HW56" i="70"/>
  <c r="HX56" i="70"/>
  <c r="IF53" i="70"/>
  <c r="AV313" i="70"/>
  <c r="AV267" i="70"/>
  <c r="AV266" i="70"/>
  <c r="AV269" i="70"/>
  <c r="AV270" i="70" s="1"/>
  <c r="AV271" i="70" s="1"/>
  <c r="HT56" i="70"/>
  <c r="HS56" i="70"/>
  <c r="AV291" i="70"/>
  <c r="BA262" i="70" a="1"/>
  <c r="BA262" i="70" s="1"/>
  <c r="AZ263" i="70"/>
  <c r="HR57" i="70" s="1"/>
  <c r="AW288" i="70"/>
  <c r="HY54" i="71" s="1"/>
  <c r="AZ274" i="70" a="1"/>
  <c r="AZ274" i="70" s="1"/>
  <c r="AZ275" i="70" s="1"/>
  <c r="HV57" i="70" s="1"/>
  <c r="AV306" i="71"/>
  <c r="AV302" i="70"/>
  <c r="AV310" i="70" s="1"/>
  <c r="AW279" i="70"/>
  <c r="AW314" i="70"/>
  <c r="AW281" i="70"/>
  <c r="AW282" i="70" s="1"/>
  <c r="AW283" i="70" s="1"/>
  <c r="AW278" i="70"/>
  <c r="AX277" i="70"/>
  <c r="IG55" i="70" s="1"/>
  <c r="AX273" i="71"/>
  <c r="AY276" i="70"/>
  <c r="HU56" i="71" s="1"/>
  <c r="AS312" i="70"/>
  <c r="AS299" i="70"/>
  <c r="AS257" i="70"/>
  <c r="AS258" i="70" s="1"/>
  <c r="AS259" i="70" s="1"/>
  <c r="AS255" i="70"/>
  <c r="AS254" i="70"/>
  <c r="AX288" i="70"/>
  <c r="AY286" i="70" a="1"/>
  <c r="AY286" i="70" s="1"/>
  <c r="AY287" i="70" s="1"/>
  <c r="HZ56" i="70" s="1"/>
  <c r="AY265" i="70"/>
  <c r="IF56" i="70" s="1"/>
  <c r="AY261" i="71"/>
  <c r="AX313" i="70"/>
  <c r="AX269" i="70"/>
  <c r="AX270" i="70" s="1"/>
  <c r="AX271" i="70" s="1"/>
  <c r="AX267" i="70"/>
  <c r="AX266" i="70"/>
  <c r="AV251" i="70"/>
  <c r="HN53" i="70" s="1"/>
  <c r="AW250" i="70" a="1"/>
  <c r="AW250" i="70" s="1"/>
  <c r="AR304" i="71"/>
  <c r="AR300" i="70"/>
  <c r="AR308" i="70" s="1"/>
  <c r="AT253" i="70"/>
  <c r="IE51" i="70" s="1"/>
  <c r="AT249" i="71"/>
  <c r="AU252" i="70"/>
  <c r="HM52" i="71" s="1"/>
  <c r="AW305" i="71"/>
  <c r="AW301" i="70"/>
  <c r="AW309" i="70" s="1"/>
  <c r="AV307" i="71"/>
  <c r="AV303" i="70"/>
  <c r="AV311" i="70" s="1"/>
  <c r="AX289" i="70" l="1"/>
  <c r="HY55" i="71"/>
  <c r="IH53" i="70"/>
  <c r="AV315" i="70"/>
  <c r="AV290" i="70"/>
  <c r="AV293" i="70"/>
  <c r="AV294" i="70" s="1"/>
  <c r="AV295" i="70" s="1"/>
  <c r="IB56" i="70"/>
  <c r="IA56" i="70"/>
  <c r="AV301" i="70"/>
  <c r="AV309" i="70" s="1"/>
  <c r="AV305" i="71"/>
  <c r="HX57" i="70"/>
  <c r="HW57" i="70"/>
  <c r="HP53" i="70"/>
  <c r="HO53" i="70"/>
  <c r="HS57" i="70"/>
  <c r="HT57" i="70"/>
  <c r="AZ264" i="70"/>
  <c r="BB262" i="70" a="1"/>
  <c r="BB262" i="70" s="1"/>
  <c r="AW289" i="70"/>
  <c r="IH54" i="70" s="1"/>
  <c r="AW285" i="71"/>
  <c r="BA263" i="70"/>
  <c r="HR58" i="70" s="1"/>
  <c r="IH55" i="70"/>
  <c r="AX285" i="71"/>
  <c r="BA274" i="70" a="1"/>
  <c r="BA274" i="70" s="1"/>
  <c r="BA275" i="70" s="1"/>
  <c r="HV58" i="70" s="1"/>
  <c r="AW302" i="70"/>
  <c r="AW310" i="70" s="1"/>
  <c r="AW306" i="71"/>
  <c r="AY277" i="70"/>
  <c r="IG56" i="70" s="1"/>
  <c r="AY273" i="71"/>
  <c r="AX278" i="70"/>
  <c r="AX314" i="70"/>
  <c r="AX279" i="70"/>
  <c r="AX281" i="70"/>
  <c r="AX282" i="70" s="1"/>
  <c r="AX283" i="70" s="1"/>
  <c r="AZ276" i="70"/>
  <c r="HU57" i="71" s="1"/>
  <c r="AX301" i="70"/>
  <c r="AX309" i="70" s="1"/>
  <c r="AX305" i="71"/>
  <c r="AT255" i="70"/>
  <c r="AT254" i="70"/>
  <c r="AT312" i="70"/>
  <c r="AT257" i="70"/>
  <c r="AT258" i="70" s="1"/>
  <c r="AT259" i="70" s="1"/>
  <c r="AT299" i="70"/>
  <c r="AU253" i="70"/>
  <c r="IE52" i="70" s="1"/>
  <c r="AU249" i="71"/>
  <c r="AY266" i="70"/>
  <c r="AY267" i="70"/>
  <c r="AY313" i="70"/>
  <c r="AY269" i="70"/>
  <c r="AY270" i="70" s="1"/>
  <c r="AY271" i="70" s="1"/>
  <c r="AS304" i="71"/>
  <c r="AS300" i="70"/>
  <c r="AS308" i="70" s="1"/>
  <c r="AW251" i="70"/>
  <c r="HN54" i="70" s="1"/>
  <c r="AX250" i="70" a="1"/>
  <c r="AX250" i="70" s="1"/>
  <c r="AZ286" i="70" a="1"/>
  <c r="AZ286" i="70" s="1"/>
  <c r="AZ287" i="70" s="1"/>
  <c r="HZ57" i="70" s="1"/>
  <c r="AV252" i="70"/>
  <c r="HM53" i="71" s="1"/>
  <c r="AX290" i="70"/>
  <c r="AX293" i="70"/>
  <c r="AX291" i="70"/>
  <c r="AX315" i="70"/>
  <c r="AZ261" i="71" l="1"/>
  <c r="HQ57" i="71"/>
  <c r="IB57" i="70"/>
  <c r="IA57" i="70"/>
  <c r="HX58" i="70"/>
  <c r="HW58" i="70"/>
  <c r="HT58" i="70"/>
  <c r="HS58" i="70"/>
  <c r="HP54" i="70"/>
  <c r="HO54" i="70"/>
  <c r="AZ265" i="70"/>
  <c r="IF57" i="70" s="1"/>
  <c r="BB263" i="70"/>
  <c r="HR59" i="70" s="1"/>
  <c r="AY288" i="70"/>
  <c r="HY56" i="71" s="1"/>
  <c r="BA264" i="70"/>
  <c r="AW290" i="70"/>
  <c r="AW291" i="70"/>
  <c r="AW315" i="70"/>
  <c r="AW293" i="70"/>
  <c r="AW294" i="70" s="1"/>
  <c r="AW295" i="70" s="1"/>
  <c r="AX306" i="71"/>
  <c r="AX302" i="70"/>
  <c r="AX310" i="70" s="1"/>
  <c r="BB274" i="70" a="1"/>
  <c r="BB274" i="70" s="1"/>
  <c r="BB275" i="70" s="1"/>
  <c r="HV59" i="70" s="1"/>
  <c r="AY314" i="70"/>
  <c r="AY278" i="70"/>
  <c r="AY279" i="70"/>
  <c r="AY281" i="70"/>
  <c r="AY282" i="70" s="1"/>
  <c r="AY283" i="70" s="1"/>
  <c r="AZ277" i="70"/>
  <c r="IG57" i="70" s="1"/>
  <c r="AZ273" i="71"/>
  <c r="BA276" i="70"/>
  <c r="HU58" i="71" s="1"/>
  <c r="AV253" i="70"/>
  <c r="IE53" i="70" s="1"/>
  <c r="AV249" i="71"/>
  <c r="AT300" i="70"/>
  <c r="AT308" i="70" s="1"/>
  <c r="AT304" i="71"/>
  <c r="AX251" i="70"/>
  <c r="HN55" i="70" s="1"/>
  <c r="AY250" i="70" a="1"/>
  <c r="AY250" i="70" s="1"/>
  <c r="AU257" i="70"/>
  <c r="AU258" i="70" s="1"/>
  <c r="AU259" i="70" s="1"/>
  <c r="AU254" i="70"/>
  <c r="AU255" i="70"/>
  <c r="AU312" i="70"/>
  <c r="AU299" i="70"/>
  <c r="AY301" i="70"/>
  <c r="AY305" i="71"/>
  <c r="BA286" i="70" a="1"/>
  <c r="BA286" i="70" s="1"/>
  <c r="BA287" i="70" s="1"/>
  <c r="HZ58" i="70" s="1"/>
  <c r="AW252" i="70"/>
  <c r="HM54" i="71" s="1"/>
  <c r="AX294" i="70"/>
  <c r="AX295" i="70" s="1"/>
  <c r="AX307" i="71"/>
  <c r="AX303" i="70"/>
  <c r="AX311" i="70" s="1"/>
  <c r="AZ266" i="70" l="1"/>
  <c r="AZ267" i="70"/>
  <c r="AZ305" i="71" s="1"/>
  <c r="AZ269" i="70"/>
  <c r="AZ270" i="70" s="1"/>
  <c r="AZ271" i="70" s="1"/>
  <c r="AZ313" i="70"/>
  <c r="BA265" i="70"/>
  <c r="IF58" i="70" s="1"/>
  <c r="HQ58" i="71"/>
  <c r="BA261" i="71"/>
  <c r="HT59" i="70"/>
  <c r="HS59" i="70"/>
  <c r="HW59" i="70"/>
  <c r="HX59" i="70"/>
  <c r="HO55" i="70"/>
  <c r="HP55" i="70"/>
  <c r="IA58" i="70"/>
  <c r="IB58" i="70"/>
  <c r="BB264" i="70"/>
  <c r="BB265" i="70" s="1"/>
  <c r="IF59" i="70" s="1"/>
  <c r="AY289" i="70"/>
  <c r="IH56" i="70" s="1"/>
  <c r="AY285" i="71"/>
  <c r="AZ288" i="70"/>
  <c r="AW307" i="71"/>
  <c r="AW303" i="70"/>
  <c r="AW311" i="70" s="1"/>
  <c r="AZ281" i="70"/>
  <c r="AZ282" i="70" s="1"/>
  <c r="AZ283" i="70" s="1"/>
  <c r="AZ314" i="70"/>
  <c r="AZ279" i="70"/>
  <c r="AZ278" i="70"/>
  <c r="AY302" i="70"/>
  <c r="AY310" i="70" s="1"/>
  <c r="AY306" i="71"/>
  <c r="BB276" i="70"/>
  <c r="HU59" i="71" s="1"/>
  <c r="BA277" i="70"/>
  <c r="IG58" i="70" s="1"/>
  <c r="BA273" i="71"/>
  <c r="AY251" i="70"/>
  <c r="HN56" i="70" s="1"/>
  <c r="AZ250" i="70" a="1"/>
  <c r="AZ250" i="70" s="1"/>
  <c r="AY309" i="70"/>
  <c r="AX252" i="70"/>
  <c r="HM55" i="71" s="1"/>
  <c r="AW253" i="70"/>
  <c r="IE54" i="70" s="1"/>
  <c r="AW249" i="71"/>
  <c r="BA288" i="70"/>
  <c r="BA313" i="70"/>
  <c r="BA267" i="70"/>
  <c r="BA269" i="70"/>
  <c r="BA270" i="70" s="1"/>
  <c r="BA271" i="70" s="1"/>
  <c r="AU300" i="70"/>
  <c r="AU308" i="70" s="1"/>
  <c r="AU304" i="71"/>
  <c r="AV312" i="70"/>
  <c r="AV299" i="70"/>
  <c r="AV257" i="70"/>
  <c r="AV258" i="70" s="1"/>
  <c r="AV259" i="70" s="1"/>
  <c r="AV254" i="70"/>
  <c r="AV255" i="70"/>
  <c r="BB286" i="70" a="1"/>
  <c r="BB286" i="70" s="1"/>
  <c r="BB287" i="70" s="1"/>
  <c r="HZ59" i="70" s="1"/>
  <c r="BA266" i="70" l="1"/>
  <c r="AZ301" i="70"/>
  <c r="AZ309" i="70" s="1"/>
  <c r="BA289" i="70"/>
  <c r="IH58" i="70" s="1"/>
  <c r="HY58" i="71"/>
  <c r="BB261" i="71"/>
  <c r="E262" i="71" s="1" a="1"/>
  <c r="E262" i="71" s="1"/>
  <c r="HQ59" i="71"/>
  <c r="AZ289" i="70"/>
  <c r="AZ293" i="70" s="1"/>
  <c r="AZ294" i="70" s="1"/>
  <c r="AZ295" i="70" s="1"/>
  <c r="HY57" i="71"/>
  <c r="HP56" i="70"/>
  <c r="HO56" i="70"/>
  <c r="IB59" i="70"/>
  <c r="IA59" i="70"/>
  <c r="AY315" i="70"/>
  <c r="AY291" i="70"/>
  <c r="AY290" i="70"/>
  <c r="AY293" i="70"/>
  <c r="AY294" i="70" s="1"/>
  <c r="AY295" i="70" s="1"/>
  <c r="AZ285" i="71"/>
  <c r="BA285" i="71"/>
  <c r="BA278" i="70"/>
  <c r="BA314" i="70"/>
  <c r="BA281" i="70"/>
  <c r="BA282" i="70" s="1"/>
  <c r="BA283" i="70" s="1"/>
  <c r="BA279" i="70"/>
  <c r="AZ306" i="71"/>
  <c r="AZ302" i="70"/>
  <c r="AZ310" i="70" s="1"/>
  <c r="BB273" i="71"/>
  <c r="BB277" i="70"/>
  <c r="IG59" i="70" s="1"/>
  <c r="AX253" i="70"/>
  <c r="IE55" i="70" s="1"/>
  <c r="AX249" i="71"/>
  <c r="BB288" i="70"/>
  <c r="HY59" i="71" s="1"/>
  <c r="AV304" i="71"/>
  <c r="AV300" i="70"/>
  <c r="AV308" i="70" s="1"/>
  <c r="BA301" i="70"/>
  <c r="BA305" i="71"/>
  <c r="BB313" i="70"/>
  <c r="BB266" i="70"/>
  <c r="BB267" i="70"/>
  <c r="BB269" i="70"/>
  <c r="BB270" i="70" s="1"/>
  <c r="AW255" i="70"/>
  <c r="AW312" i="70"/>
  <c r="AW257" i="70"/>
  <c r="AW258" i="70" s="1"/>
  <c r="AW259" i="70" s="1"/>
  <c r="AW299" i="70"/>
  <c r="AW254" i="70"/>
  <c r="AZ251" i="70"/>
  <c r="HN57" i="70" s="1"/>
  <c r="BA250" i="70" a="1"/>
  <c r="BA250" i="70" s="1"/>
  <c r="AY252" i="70"/>
  <c r="HM56" i="71" s="1"/>
  <c r="BA315" i="70"/>
  <c r="BA290" i="70"/>
  <c r="BA291" i="70"/>
  <c r="BA293" i="70"/>
  <c r="AZ315" i="70" l="1"/>
  <c r="IH57" i="70"/>
  <c r="AZ290" i="70"/>
  <c r="AZ291" i="70"/>
  <c r="HP57" i="70"/>
  <c r="HO57" i="70"/>
  <c r="AY303" i="70"/>
  <c r="AY311" i="70" s="1"/>
  <c r="AY307" i="71"/>
  <c r="BB271" i="70"/>
  <c r="E263" i="71"/>
  <c r="HR10" i="71" s="1"/>
  <c r="F262" i="71" a="1"/>
  <c r="F262" i="71" s="1"/>
  <c r="E274" i="71" a="1"/>
  <c r="E274" i="71" s="1"/>
  <c r="E275" i="71" s="1"/>
  <c r="HV10" i="71" s="1"/>
  <c r="BB278" i="70"/>
  <c r="BB314" i="70"/>
  <c r="BB279" i="70"/>
  <c r="BB281" i="70"/>
  <c r="BB282" i="70" s="1"/>
  <c r="BB283" i="70" s="1"/>
  <c r="BA302" i="70"/>
  <c r="BA310" i="70" s="1"/>
  <c r="BA306" i="71"/>
  <c r="AW304" i="71"/>
  <c r="AW300" i="70"/>
  <c r="AW308" i="70" s="1"/>
  <c r="BA251" i="70"/>
  <c r="HN58" i="70" s="1"/>
  <c r="BB250" i="70" a="1"/>
  <c r="BB250" i="70" s="1"/>
  <c r="BB251" i="70" s="1"/>
  <c r="HN59" i="70" s="1"/>
  <c r="BB305" i="71"/>
  <c r="BB301" i="70"/>
  <c r="BB309" i="70" s="1"/>
  <c r="AY249" i="71"/>
  <c r="AY253" i="70"/>
  <c r="IE56" i="70" s="1"/>
  <c r="AZ252" i="70"/>
  <c r="HM57" i="71" s="1"/>
  <c r="BB289" i="70"/>
  <c r="IH59" i="70" s="1"/>
  <c r="BB285" i="71"/>
  <c r="BA309" i="70"/>
  <c r="AX254" i="70"/>
  <c r="AX312" i="70"/>
  <c r="AX257" i="70"/>
  <c r="AX258" i="70" s="1"/>
  <c r="AX259" i="70" s="1"/>
  <c r="AX255" i="70"/>
  <c r="AX299" i="70"/>
  <c r="BA294" i="70"/>
  <c r="BA295" i="70" s="1"/>
  <c r="BA303" i="70"/>
  <c r="BA311" i="70" s="1"/>
  <c r="BA307" i="71"/>
  <c r="HW10" i="71" l="1"/>
  <c r="HX10" i="71"/>
  <c r="HT10" i="71"/>
  <c r="HS10" i="71"/>
  <c r="AZ307" i="71"/>
  <c r="AZ303" i="70"/>
  <c r="AZ311" i="70" s="1"/>
  <c r="E286" i="71" a="1"/>
  <c r="E286" i="71" s="1"/>
  <c r="E287" i="71" s="1"/>
  <c r="HZ10" i="71" s="1"/>
  <c r="HP59" i="70"/>
  <c r="HO59" i="70"/>
  <c r="HO58" i="70"/>
  <c r="HP58" i="70"/>
  <c r="E297" i="70"/>
  <c r="Z107" i="72" s="1"/>
  <c r="Z108" i="72" s="1"/>
  <c r="V105" i="72" s="1"/>
  <c r="W106" i="72" s="1"/>
  <c r="F263" i="71"/>
  <c r="HR11" i="71" s="1"/>
  <c r="E264" i="71"/>
  <c r="E265" i="71" s="1"/>
  <c r="IF10" i="71" s="1"/>
  <c r="G262" i="71" a="1"/>
  <c r="G262" i="71" s="1"/>
  <c r="E276" i="71"/>
  <c r="E277" i="71" s="1"/>
  <c r="IG10" i="71"/>
  <c r="F274" i="71" a="1"/>
  <c r="F274" i="71" s="1"/>
  <c r="F275" i="71" s="1"/>
  <c r="HV11" i="71" s="1"/>
  <c r="BB306" i="71"/>
  <c r="BB302" i="70"/>
  <c r="BB310" i="70" s="1"/>
  <c r="G297" i="70"/>
  <c r="Z102" i="72" s="1"/>
  <c r="AY312" i="70"/>
  <c r="AY257" i="70"/>
  <c r="AY258" i="70" s="1"/>
  <c r="AY259" i="70" s="1"/>
  <c r="AY255" i="70"/>
  <c r="AY254" i="70"/>
  <c r="AY299" i="70"/>
  <c r="AX304" i="71"/>
  <c r="AX300" i="70"/>
  <c r="AX308" i="70" s="1"/>
  <c r="BB293" i="70"/>
  <c r="BB294" i="70" s="1"/>
  <c r="BB295" i="70" s="1"/>
  <c r="BB290" i="70"/>
  <c r="BB315" i="70"/>
  <c r="BB291" i="70"/>
  <c r="BB252" i="70"/>
  <c r="HM59" i="71" s="1"/>
  <c r="BA252" i="70"/>
  <c r="HM58" i="71" s="1"/>
  <c r="AZ253" i="70"/>
  <c r="IE57" i="70" s="1"/>
  <c r="AZ249" i="71"/>
  <c r="IA10" i="71" l="1"/>
  <c r="IB10" i="71"/>
  <c r="HW11" i="71"/>
  <c r="HX11" i="71"/>
  <c r="HS11" i="71"/>
  <c r="HT11" i="71"/>
  <c r="F286" i="71" a="1"/>
  <c r="F286" i="71" s="1"/>
  <c r="F287" i="71" s="1"/>
  <c r="HZ11" i="71" s="1"/>
  <c r="E288" i="71"/>
  <c r="E289" i="71" s="1"/>
  <c r="E315" i="71" s="1"/>
  <c r="Z109" i="72"/>
  <c r="V107" i="72"/>
  <c r="V109" i="72" s="1"/>
  <c r="G263" i="71"/>
  <c r="HR12" i="71" s="1"/>
  <c r="E313" i="71"/>
  <c r="E266" i="71"/>
  <c r="E267" i="71"/>
  <c r="E301" i="71" s="1"/>
  <c r="E309" i="71" s="1"/>
  <c r="E269" i="71"/>
  <c r="E270" i="71" s="1"/>
  <c r="E271" i="71" s="1"/>
  <c r="F264" i="71"/>
  <c r="F265" i="71" s="1"/>
  <c r="IF11" i="71" s="1"/>
  <c r="H262" i="71" a="1"/>
  <c r="H262" i="71" s="1"/>
  <c r="F276" i="71"/>
  <c r="F277" i="71" s="1"/>
  <c r="IG11" i="71" s="1"/>
  <c r="E281" i="71"/>
  <c r="E282" i="71" s="1"/>
  <c r="E283" i="71" s="1"/>
  <c r="E278" i="71"/>
  <c r="E314" i="71"/>
  <c r="E279" i="71"/>
  <c r="E302" i="71" s="1"/>
  <c r="E310" i="71" s="1"/>
  <c r="G274" i="71" a="1"/>
  <c r="G274" i="71" s="1"/>
  <c r="G275" i="71" s="1"/>
  <c r="HV12" i="71" s="1"/>
  <c r="BA253" i="70"/>
  <c r="IE58" i="70" s="1"/>
  <c r="BA249" i="71"/>
  <c r="BB307" i="71"/>
  <c r="BB303" i="70"/>
  <c r="AY304" i="71"/>
  <c r="AY300" i="70"/>
  <c r="AY308" i="70" s="1"/>
  <c r="AZ254" i="70"/>
  <c r="AZ312" i="70"/>
  <c r="AZ257" i="70"/>
  <c r="AZ258" i="70" s="1"/>
  <c r="AZ259" i="70" s="1"/>
  <c r="AZ255" i="70"/>
  <c r="AZ299" i="70"/>
  <c r="BB249" i="71"/>
  <c r="BB253" i="70"/>
  <c r="IE59" i="70" s="1"/>
  <c r="I297" i="70"/>
  <c r="Z103" i="72" s="1"/>
  <c r="K297" i="70"/>
  <c r="Z104" i="72" s="1"/>
  <c r="Z105" i="72" s="1"/>
  <c r="E296" i="70"/>
  <c r="R107" i="72" s="1"/>
  <c r="R109" i="72" s="1"/>
  <c r="N105" i="72" s="1"/>
  <c r="HX12" i="71" l="1"/>
  <c r="HW12" i="71"/>
  <c r="HS12" i="71"/>
  <c r="HT12" i="71"/>
  <c r="IB11" i="71"/>
  <c r="IA11" i="71"/>
  <c r="E293" i="71"/>
  <c r="E294" i="71" s="1"/>
  <c r="E295" i="71" s="1"/>
  <c r="IH10" i="71"/>
  <c r="G286" i="71" a="1"/>
  <c r="G286" i="71" s="1"/>
  <c r="G287" i="71" s="1"/>
  <c r="HZ12" i="71" s="1"/>
  <c r="F288" i="71"/>
  <c r="F289" i="71" s="1"/>
  <c r="F293" i="71" s="1"/>
  <c r="F294" i="71" s="1"/>
  <c r="F295" i="71" s="1"/>
  <c r="E290" i="71"/>
  <c r="I262" i="71" a="1"/>
  <c r="I262" i="71" s="1"/>
  <c r="E291" i="71"/>
  <c r="E303" i="71" s="1"/>
  <c r="E311" i="71" s="1"/>
  <c r="O106" i="72"/>
  <c r="N107" i="72"/>
  <c r="F267" i="71"/>
  <c r="F301" i="71" s="1"/>
  <c r="F269" i="71"/>
  <c r="F270" i="71" s="1"/>
  <c r="F271" i="71" s="1"/>
  <c r="F266" i="71"/>
  <c r="F313" i="71"/>
  <c r="H263" i="71"/>
  <c r="HR13" i="71" s="1"/>
  <c r="G264" i="71"/>
  <c r="G265" i="71" s="1"/>
  <c r="IF12" i="71" s="1"/>
  <c r="E250" i="71" a="1"/>
  <c r="E250" i="71" s="1"/>
  <c r="H274" i="71" a="1"/>
  <c r="H274" i="71" s="1"/>
  <c r="H275" i="71" s="1"/>
  <c r="HV13" i="71" s="1"/>
  <c r="F278" i="71"/>
  <c r="F279" i="71"/>
  <c r="F302" i="71" s="1"/>
  <c r="F310" i="71" s="1"/>
  <c r="F314" i="71"/>
  <c r="F281" i="71"/>
  <c r="F282" i="71" s="1"/>
  <c r="F283" i="71" s="1"/>
  <c r="AZ304" i="71"/>
  <c r="AZ300" i="70"/>
  <c r="AZ308" i="70" s="1"/>
  <c r="G296" i="70"/>
  <c r="R102" i="72" s="1"/>
  <c r="BB311" i="70"/>
  <c r="BB254" i="70"/>
  <c r="BB299" i="70"/>
  <c r="BB257" i="70"/>
  <c r="BB258" i="70" s="1"/>
  <c r="BB259" i="70" s="1"/>
  <c r="BB312" i="70"/>
  <c r="BB255" i="70"/>
  <c r="BA299" i="70"/>
  <c r="BA312" i="70"/>
  <c r="BA254" i="70"/>
  <c r="BA255" i="70"/>
  <c r="BA257" i="70"/>
  <c r="BA258" i="70" s="1"/>
  <c r="BA259" i="70" s="1"/>
  <c r="R120" i="57"/>
  <c r="LX10" i="79" s="1"/>
  <c r="IB12" i="71" l="1"/>
  <c r="IA12" i="71"/>
  <c r="HT13" i="71"/>
  <c r="HS13" i="71"/>
  <c r="F315" i="71"/>
  <c r="HW13" i="71"/>
  <c r="HX13" i="71"/>
  <c r="F291" i="71"/>
  <c r="F303" i="71" s="1"/>
  <c r="F311" i="71" s="1"/>
  <c r="IH11" i="71"/>
  <c r="F309" i="71"/>
  <c r="H286" i="71" a="1"/>
  <c r="H286" i="71" s="1"/>
  <c r="H287" i="71" s="1"/>
  <c r="F290" i="71"/>
  <c r="J262" i="71" a="1"/>
  <c r="J262" i="71" s="1"/>
  <c r="G288" i="71"/>
  <c r="G289" i="71" s="1"/>
  <c r="G290" i="71" s="1"/>
  <c r="I263" i="71"/>
  <c r="HR14" i="71" s="1"/>
  <c r="G276" i="71"/>
  <c r="G277" i="71" s="1"/>
  <c r="IG12" i="71" s="1"/>
  <c r="M297" i="70"/>
  <c r="V108" i="72" s="1"/>
  <c r="M296" i="70"/>
  <c r="KZ10" i="79"/>
  <c r="H264" i="71"/>
  <c r="H265" i="71" s="1"/>
  <c r="IF13" i="71" s="1"/>
  <c r="G267" i="71"/>
  <c r="G301" i="71" s="1"/>
  <c r="G309" i="71" s="1"/>
  <c r="G313" i="71"/>
  <c r="G266" i="71"/>
  <c r="G269" i="71"/>
  <c r="G270" i="71" s="1"/>
  <c r="G271" i="71" s="1"/>
  <c r="E251" i="71"/>
  <c r="HN10" i="71" s="1"/>
  <c r="F250" i="71" a="1"/>
  <c r="F250" i="71" s="1"/>
  <c r="F251" i="71" s="1"/>
  <c r="HN11" i="71" s="1"/>
  <c r="I274" i="71" a="1"/>
  <c r="I274" i="71" s="1"/>
  <c r="I275" i="71" s="1"/>
  <c r="HV14" i="71" s="1"/>
  <c r="H276" i="71"/>
  <c r="H277" i="71" s="1"/>
  <c r="IG13" i="71"/>
  <c r="BA304" i="71"/>
  <c r="BA300" i="70"/>
  <c r="BA308" i="70" s="1"/>
  <c r="I296" i="70"/>
  <c r="R103" i="72" s="1"/>
  <c r="K296" i="70"/>
  <c r="R104" i="72" s="1"/>
  <c r="R105" i="72" s="1"/>
  <c r="BB300" i="70"/>
  <c r="BB308" i="70" s="1"/>
  <c r="BB304" i="71"/>
  <c r="AF20" i="57"/>
  <c r="AF22" i="57" s="1"/>
  <c r="DU10" i="79" s="1"/>
  <c r="DA10" i="79"/>
  <c r="R22" i="57"/>
  <c r="DK10" i="79" s="1"/>
  <c r="R26" i="57"/>
  <c r="EE10" i="79" s="1"/>
  <c r="DB10" i="79"/>
  <c r="SE10" i="79"/>
  <c r="HZ13" i="71" l="1"/>
  <c r="IH13" i="71" s="1"/>
  <c r="HO10" i="71"/>
  <c r="HP10" i="71"/>
  <c r="HW14" i="71"/>
  <c r="HX14" i="71"/>
  <c r="HS14" i="71"/>
  <c r="HT14" i="71"/>
  <c r="HP11" i="71"/>
  <c r="HO11" i="71"/>
  <c r="IH12" i="71"/>
  <c r="G293" i="71"/>
  <c r="G294" i="71" s="1"/>
  <c r="G295" i="71" s="1"/>
  <c r="G315" i="71"/>
  <c r="G291" i="71"/>
  <c r="G303" i="71" s="1"/>
  <c r="G311" i="71" s="1"/>
  <c r="I286" i="71" a="1"/>
  <c r="I286" i="71" s="1"/>
  <c r="I287" i="71" s="1"/>
  <c r="HZ14" i="71" s="1"/>
  <c r="K262" i="71" a="1"/>
  <c r="K262" i="71" s="1"/>
  <c r="L262" i="71" s="1" a="1"/>
  <c r="L262" i="71" s="1"/>
  <c r="G279" i="71"/>
  <c r="G302" i="71" s="1"/>
  <c r="G310" i="71" s="1"/>
  <c r="G314" i="71"/>
  <c r="G281" i="71"/>
  <c r="G282" i="71" s="1"/>
  <c r="G283" i="71" s="1"/>
  <c r="G278" i="71"/>
  <c r="J263" i="71"/>
  <c r="HR15" i="71" s="1"/>
  <c r="N109" i="72"/>
  <c r="O109" i="72"/>
  <c r="KU10" i="79"/>
  <c r="E252" i="71"/>
  <c r="E298" i="71" s="1"/>
  <c r="AC4" i="72" s="1"/>
  <c r="H266" i="71"/>
  <c r="H267" i="71"/>
  <c r="H301" i="71" s="1"/>
  <c r="H309" i="71" s="1"/>
  <c r="H269" i="71"/>
  <c r="H270" i="71" s="1"/>
  <c r="H271" i="71" s="1"/>
  <c r="H313" i="71"/>
  <c r="I264" i="71"/>
  <c r="I265" i="71" s="1"/>
  <c r="IF14" i="71" s="1"/>
  <c r="G250" i="71" a="1"/>
  <c r="G250" i="71" s="1"/>
  <c r="G251" i="71" s="1"/>
  <c r="HN12" i="71" s="1"/>
  <c r="H281" i="71"/>
  <c r="H282" i="71" s="1"/>
  <c r="H283" i="71" s="1"/>
  <c r="H278" i="71"/>
  <c r="H279" i="71"/>
  <c r="H302" i="71" s="1"/>
  <c r="H314" i="71"/>
  <c r="J274" i="71" a="1"/>
  <c r="J274" i="71" s="1"/>
  <c r="Y17" i="77"/>
  <c r="UF10" i="79"/>
  <c r="TY10" i="79"/>
  <c r="AF21" i="57"/>
  <c r="AF23" i="57" s="1"/>
  <c r="DV10" i="79" s="1"/>
  <c r="R27" i="57"/>
  <c r="EF10" i="79" s="1"/>
  <c r="R23" i="57"/>
  <c r="DL10" i="79" s="1"/>
  <c r="S16" i="77"/>
  <c r="HO12" i="71" l="1"/>
  <c r="HP12" i="71"/>
  <c r="HS15" i="71"/>
  <c r="HT15" i="71"/>
  <c r="IB14" i="71"/>
  <c r="IA14" i="71"/>
  <c r="IA13" i="71"/>
  <c r="IB13" i="71"/>
  <c r="H288" i="71"/>
  <c r="H289" i="71" s="1"/>
  <c r="H310" i="71"/>
  <c r="L263" i="71"/>
  <c r="K263" i="71"/>
  <c r="HR16" i="71" s="1"/>
  <c r="I288" i="71"/>
  <c r="I289" i="71" s="1"/>
  <c r="I293" i="71" s="1"/>
  <c r="I294" i="71" s="1"/>
  <c r="I295" i="71" s="1"/>
  <c r="J286" i="71" a="1"/>
  <c r="J286" i="71" s="1"/>
  <c r="J287" i="71" s="1"/>
  <c r="HZ15" i="71" s="1"/>
  <c r="M262" i="71" a="1"/>
  <c r="M262" i="71" s="1"/>
  <c r="I276" i="71"/>
  <c r="I277" i="71" s="1"/>
  <c r="IG14" i="71" s="1"/>
  <c r="AC4" i="73"/>
  <c r="F252" i="71"/>
  <c r="F298" i="71" s="1"/>
  <c r="AG4" i="72" s="1"/>
  <c r="E253" i="71"/>
  <c r="E299" i="71" s="1"/>
  <c r="AC5" i="72" s="1"/>
  <c r="J264" i="71"/>
  <c r="J265" i="71" s="1"/>
  <c r="IF15" i="71" s="1"/>
  <c r="I267" i="71"/>
  <c r="I301" i="71" s="1"/>
  <c r="I309" i="71" s="1"/>
  <c r="I313" i="71"/>
  <c r="I266" i="71"/>
  <c r="I269" i="71"/>
  <c r="I270" i="71" s="1"/>
  <c r="I271" i="71" s="1"/>
  <c r="H250" i="71" a="1"/>
  <c r="H250" i="71" s="1"/>
  <c r="H251" i="71" s="1"/>
  <c r="HN13" i="71" s="1"/>
  <c r="K274" i="71" a="1"/>
  <c r="K274" i="71" s="1"/>
  <c r="K275" i="71" s="1"/>
  <c r="HV16" i="71" s="1"/>
  <c r="J275" i="71"/>
  <c r="HV15" i="71" s="1"/>
  <c r="G252" i="71"/>
  <c r="TZ10" i="79"/>
  <c r="HW16" i="71" l="1"/>
  <c r="HX16" i="71"/>
  <c r="HO13" i="71"/>
  <c r="HP13" i="71"/>
  <c r="H290" i="71"/>
  <c r="H293" i="71"/>
  <c r="H294" i="71" s="1"/>
  <c r="H295" i="71" s="1"/>
  <c r="H315" i="71"/>
  <c r="H291" i="71"/>
  <c r="H303" i="71" s="1"/>
  <c r="H311" i="71" s="1"/>
  <c r="HR17" i="71"/>
  <c r="HT16" i="71"/>
  <c r="HS16" i="71"/>
  <c r="HX15" i="71"/>
  <c r="HW15" i="71"/>
  <c r="IA15" i="71"/>
  <c r="IB15" i="71"/>
  <c r="IE10" i="71"/>
  <c r="IH14" i="71"/>
  <c r="I291" i="71"/>
  <c r="I303" i="71" s="1"/>
  <c r="I311" i="71" s="1"/>
  <c r="I315" i="71"/>
  <c r="J288" i="71"/>
  <c r="J289" i="71" s="1"/>
  <c r="IH15" i="71" s="1"/>
  <c r="M263" i="71"/>
  <c r="HR18" i="71" s="1"/>
  <c r="I278" i="71"/>
  <c r="I279" i="71"/>
  <c r="I302" i="71" s="1"/>
  <c r="I310" i="71" s="1"/>
  <c r="I314" i="71"/>
  <c r="I281" i="71"/>
  <c r="I282" i="71" s="1"/>
  <c r="I283" i="71" s="1"/>
  <c r="K286" i="71" a="1"/>
  <c r="K286" i="71" s="1"/>
  <c r="K287" i="71" s="1"/>
  <c r="HZ16" i="71" s="1"/>
  <c r="N262" i="71" a="1"/>
  <c r="N262" i="71" s="1"/>
  <c r="I290" i="71"/>
  <c r="AG4" i="73"/>
  <c r="F253" i="71"/>
  <c r="F254" i="71" s="1"/>
  <c r="AE1" i="72"/>
  <c r="E255" i="71"/>
  <c r="E300" i="71" s="1"/>
  <c r="E308" i="71" s="1"/>
  <c r="E254" i="71"/>
  <c r="E257" i="71"/>
  <c r="E258" i="71" s="1"/>
  <c r="E259" i="71" s="1"/>
  <c r="E312" i="71"/>
  <c r="K264" i="71"/>
  <c r="K265" i="71" s="1"/>
  <c r="IF16" i="71" s="1"/>
  <c r="J266" i="71"/>
  <c r="J269" i="71"/>
  <c r="J270" i="71" s="1"/>
  <c r="J271" i="71" s="1"/>
  <c r="J313" i="71"/>
  <c r="J267" i="71"/>
  <c r="J301" i="71" s="1"/>
  <c r="IE13" i="71"/>
  <c r="H252" i="71"/>
  <c r="H253" i="71" s="1"/>
  <c r="I250" i="71" a="1"/>
  <c r="I250" i="71" s="1"/>
  <c r="I251" i="71" s="1"/>
  <c r="HN14" i="71" s="1"/>
  <c r="L274" i="71" a="1"/>
  <c r="L274" i="71" s="1"/>
  <c r="L275" i="71" s="1"/>
  <c r="HV17" i="71" s="1"/>
  <c r="J276" i="71"/>
  <c r="J277" i="71" s="1"/>
  <c r="IG15" i="71" s="1"/>
  <c r="K276" i="71"/>
  <c r="K277" i="71" s="1"/>
  <c r="IG16" i="71" s="1"/>
  <c r="G253" i="71"/>
  <c r="IE12" i="71" s="1"/>
  <c r="G298" i="71"/>
  <c r="AK4" i="72" s="1"/>
  <c r="J290" i="71" l="1"/>
  <c r="F257" i="71"/>
  <c r="F258" i="71" s="1"/>
  <c r="F259" i="71" s="1"/>
  <c r="F255" i="71"/>
  <c r="F300" i="71" s="1"/>
  <c r="F308" i="71" s="1"/>
  <c r="F299" i="71"/>
  <c r="AG5" i="72" s="1"/>
  <c r="J291" i="71"/>
  <c r="J303" i="71" s="1"/>
  <c r="J311" i="71" s="1"/>
  <c r="J315" i="71"/>
  <c r="HP14" i="71"/>
  <c r="HO14" i="71"/>
  <c r="HS18" i="71"/>
  <c r="HT18" i="71"/>
  <c r="HT17" i="71"/>
  <c r="HS17" i="71"/>
  <c r="HW17" i="71"/>
  <c r="HX17" i="71"/>
  <c r="AI1" i="72"/>
  <c r="AI1" i="73" s="1"/>
  <c r="F312" i="71"/>
  <c r="IA16" i="71"/>
  <c r="IB16" i="71"/>
  <c r="J293" i="71"/>
  <c r="J294" i="71" s="1"/>
  <c r="J295" i="71" s="1"/>
  <c r="J309" i="71"/>
  <c r="IE11" i="71"/>
  <c r="O262" i="71" a="1"/>
  <c r="O262" i="71" s="1"/>
  <c r="L286" i="71" a="1"/>
  <c r="L286" i="71" s="1"/>
  <c r="L287" i="71" s="1"/>
  <c r="HZ17" i="71" s="1"/>
  <c r="N263" i="71"/>
  <c r="HR19" i="71" s="1"/>
  <c r="AK4" i="73"/>
  <c r="AE1" i="73"/>
  <c r="H298" i="71"/>
  <c r="AO4" i="72" s="1"/>
  <c r="M264" i="71"/>
  <c r="M265" i="71" s="1"/>
  <c r="M269" i="71" s="1"/>
  <c r="M270" i="71" s="1"/>
  <c r="M271" i="71" s="1"/>
  <c r="L264" i="71"/>
  <c r="L265" i="71" s="1"/>
  <c r="IF17" i="71" s="1"/>
  <c r="K313" i="71"/>
  <c r="K266" i="71"/>
  <c r="K267" i="71"/>
  <c r="K301" i="71" s="1"/>
  <c r="K309" i="71" s="1"/>
  <c r="K269" i="71"/>
  <c r="K270" i="71" s="1"/>
  <c r="K271" i="71" s="1"/>
  <c r="J250" i="71" a="1"/>
  <c r="J250" i="71" s="1"/>
  <c r="J251" i="71" s="1"/>
  <c r="HN15" i="71" s="1"/>
  <c r="M274" i="71" a="1"/>
  <c r="M274" i="71" s="1"/>
  <c r="M275" i="71" s="1"/>
  <c r="HV18" i="71" s="1"/>
  <c r="K314" i="71"/>
  <c r="K281" i="71"/>
  <c r="K282" i="71" s="1"/>
  <c r="K283" i="71" s="1"/>
  <c r="K278" i="71"/>
  <c r="K279" i="71"/>
  <c r="K302" i="71" s="1"/>
  <c r="J278" i="71"/>
  <c r="J279" i="71"/>
  <c r="J302" i="71" s="1"/>
  <c r="J281" i="71"/>
  <c r="J282" i="71" s="1"/>
  <c r="J283" i="71" s="1"/>
  <c r="J314" i="71"/>
  <c r="L276" i="71"/>
  <c r="L277" i="71" s="1"/>
  <c r="IG17" i="71" s="1"/>
  <c r="H257" i="71"/>
  <c r="H258" i="71" s="1"/>
  <c r="H259" i="71" s="1"/>
  <c r="H299" i="71"/>
  <c r="AO5" i="72" s="1"/>
  <c r="AQ1" i="72"/>
  <c r="H255" i="71"/>
  <c r="H300" i="71" s="1"/>
  <c r="H308" i="71" s="1"/>
  <c r="H254" i="71"/>
  <c r="H312" i="71"/>
  <c r="G254" i="71"/>
  <c r="G257" i="71"/>
  <c r="G258" i="71" s="1"/>
  <c r="G259" i="71" s="1"/>
  <c r="G255" i="71"/>
  <c r="G300" i="71" s="1"/>
  <c r="AM1" i="72"/>
  <c r="G312" i="71"/>
  <c r="G299" i="71"/>
  <c r="AK5" i="72" s="1"/>
  <c r="HX18" i="71" l="1"/>
  <c r="HW18" i="71"/>
  <c r="HT19" i="71"/>
  <c r="HS19" i="71"/>
  <c r="IB17" i="71"/>
  <c r="IA17" i="71"/>
  <c r="HP15" i="71"/>
  <c r="HO15" i="71"/>
  <c r="IF18" i="71"/>
  <c r="J310" i="71"/>
  <c r="G308" i="71"/>
  <c r="K310" i="71"/>
  <c r="P262" i="71" a="1"/>
  <c r="P262" i="71" s="1"/>
  <c r="L288" i="71"/>
  <c r="L289" i="71" s="1"/>
  <c r="L315" i="71" s="1"/>
  <c r="O263" i="71"/>
  <c r="HR20" i="71" s="1"/>
  <c r="M286" i="71" a="1"/>
  <c r="M286" i="71" s="1"/>
  <c r="M287" i="71" s="1"/>
  <c r="HZ18" i="71" s="1"/>
  <c r="I252" i="71"/>
  <c r="K288" i="71"/>
  <c r="K289" i="71" s="1"/>
  <c r="IH16" i="71" s="1"/>
  <c r="AO4" i="73"/>
  <c r="AM1" i="73"/>
  <c r="AQ1" i="73"/>
  <c r="N264" i="71"/>
  <c r="N265" i="71" s="1"/>
  <c r="N266" i="71" s="1"/>
  <c r="M313" i="71"/>
  <c r="M266" i="71"/>
  <c r="M267" i="71"/>
  <c r="M301" i="71" s="1"/>
  <c r="M309" i="71" s="1"/>
  <c r="L313" i="71"/>
  <c r="L269" i="71"/>
  <c r="L270" i="71" s="1"/>
  <c r="L271" i="71" s="1"/>
  <c r="L266" i="71"/>
  <c r="L267" i="71"/>
  <c r="L301" i="71" s="1"/>
  <c r="J252" i="71"/>
  <c r="J298" i="71" s="1"/>
  <c r="AW4" i="72" s="1"/>
  <c r="K250" i="71" a="1"/>
  <c r="K250" i="71" s="1"/>
  <c r="L250" i="71" s="1" a="1"/>
  <c r="L250" i="71" s="1"/>
  <c r="L251" i="71" s="1"/>
  <c r="L278" i="71"/>
  <c r="L279" i="71"/>
  <c r="L302" i="71" s="1"/>
  <c r="L281" i="71"/>
  <c r="L282" i="71" s="1"/>
  <c r="L283" i="71" s="1"/>
  <c r="L314" i="71"/>
  <c r="M276" i="71"/>
  <c r="M277" i="71" s="1"/>
  <c r="IG18" i="71" s="1"/>
  <c r="N274" i="71" a="1"/>
  <c r="N274" i="71" s="1"/>
  <c r="N275" i="71" s="1"/>
  <c r="HV19" i="71" s="1"/>
  <c r="HW19" i="71" l="1"/>
  <c r="HX19" i="71"/>
  <c r="IB18" i="71"/>
  <c r="IA18" i="71"/>
  <c r="HS20" i="71"/>
  <c r="HT20" i="71"/>
  <c r="L290" i="71"/>
  <c r="IH17" i="71"/>
  <c r="L310" i="71"/>
  <c r="IF19" i="71"/>
  <c r="L309" i="71"/>
  <c r="M288" i="71"/>
  <c r="M289" i="71" s="1"/>
  <c r="M291" i="71" s="1"/>
  <c r="M303" i="71" s="1"/>
  <c r="K290" i="71"/>
  <c r="K291" i="71"/>
  <c r="K303" i="71" s="1"/>
  <c r="K311" i="71" s="1"/>
  <c r="K315" i="71"/>
  <c r="K293" i="71"/>
  <c r="K294" i="71" s="1"/>
  <c r="K295" i="71" s="1"/>
  <c r="Q262" i="71" a="1"/>
  <c r="Q262" i="71" s="1"/>
  <c r="R262" i="71" s="1" a="1"/>
  <c r="R262" i="71" s="1"/>
  <c r="P263" i="71"/>
  <c r="HR21" i="71" s="1"/>
  <c r="I253" i="71"/>
  <c r="IE14" i="71" s="1"/>
  <c r="I298" i="71"/>
  <c r="AS4" i="72" s="1"/>
  <c r="AS4" i="73" s="1"/>
  <c r="L291" i="71"/>
  <c r="L303" i="71" s="1"/>
  <c r="L311" i="71" s="1"/>
  <c r="L293" i="71"/>
  <c r="L294" i="71" s="1"/>
  <c r="L295" i="71" s="1"/>
  <c r="N286" i="71" a="1"/>
  <c r="N286" i="71" s="1"/>
  <c r="N287" i="71" s="1"/>
  <c r="HZ19" i="71" s="1"/>
  <c r="AW4" i="73"/>
  <c r="J253" i="71"/>
  <c r="J257" i="71" s="1"/>
  <c r="J258" i="71" s="1"/>
  <c r="J259" i="71" s="1"/>
  <c r="N267" i="71"/>
  <c r="N301" i="71" s="1"/>
  <c r="N309" i="71" s="1"/>
  <c r="N269" i="71"/>
  <c r="N270" i="71" s="1"/>
  <c r="N271" i="71" s="1"/>
  <c r="N313" i="71"/>
  <c r="O264" i="71"/>
  <c r="O265" i="71" s="1"/>
  <c r="O313" i="71" s="1"/>
  <c r="K251" i="71"/>
  <c r="HN16" i="71" s="1"/>
  <c r="IG19" i="71"/>
  <c r="N276" i="71"/>
  <c r="N277" i="71" s="1"/>
  <c r="M281" i="71"/>
  <c r="M282" i="71" s="1"/>
  <c r="M283" i="71" s="1"/>
  <c r="M314" i="71"/>
  <c r="M278" i="71"/>
  <c r="M279" i="71"/>
  <c r="M302" i="71" s="1"/>
  <c r="M310" i="71" s="1"/>
  <c r="O274" i="71" a="1"/>
  <c r="O274" i="71" s="1"/>
  <c r="O275" i="71" s="1"/>
  <c r="HV20" i="71" s="1"/>
  <c r="M250" i="71" a="1"/>
  <c r="M250" i="71" s="1"/>
  <c r="M251" i="71" s="1"/>
  <c r="M290" i="71" l="1"/>
  <c r="M293" i="71"/>
  <c r="M294" i="71" s="1"/>
  <c r="M295" i="71" s="1"/>
  <c r="HO16" i="71"/>
  <c r="HP16" i="71"/>
  <c r="IA19" i="71"/>
  <c r="IB19" i="71"/>
  <c r="HS21" i="71"/>
  <c r="HT21" i="71"/>
  <c r="HW20" i="71"/>
  <c r="HX20" i="71"/>
  <c r="HN17" i="71"/>
  <c r="IE15" i="71"/>
  <c r="IF20" i="71"/>
  <c r="M315" i="71"/>
  <c r="M311" i="71" s="1"/>
  <c r="IH18" i="71"/>
  <c r="R263" i="71"/>
  <c r="Q263" i="71"/>
  <c r="HR22" i="71" s="1"/>
  <c r="Q264" i="71" s="1"/>
  <c r="Q265" i="71" s="1"/>
  <c r="S262" i="71" a="1"/>
  <c r="S262" i="71" s="1"/>
  <c r="O286" i="71" a="1"/>
  <c r="O286" i="71" s="1"/>
  <c r="O287" i="71" s="1"/>
  <c r="HZ20" i="71" s="1"/>
  <c r="N288" i="71"/>
  <c r="N289" i="71" s="1"/>
  <c r="N290" i="71" s="1"/>
  <c r="IH19" i="71"/>
  <c r="I255" i="71"/>
  <c r="I300" i="71" s="1"/>
  <c r="I312" i="71"/>
  <c r="I299" i="71"/>
  <c r="AS5" i="72" s="1"/>
  <c r="I254" i="71"/>
  <c r="AU1" i="72"/>
  <c r="AU1" i="73" s="1"/>
  <c r="I257" i="71"/>
  <c r="I258" i="71" s="1"/>
  <c r="I259" i="71" s="1"/>
  <c r="J299" i="71"/>
  <c r="AW5" i="72" s="1"/>
  <c r="J312" i="71"/>
  <c r="J255" i="71"/>
  <c r="J300" i="71" s="1"/>
  <c r="AY1" i="72"/>
  <c r="J254" i="71"/>
  <c r="P264" i="71"/>
  <c r="P265" i="71" s="1"/>
  <c r="P313" i="71" s="1"/>
  <c r="O269" i="71"/>
  <c r="O270" i="71" s="1"/>
  <c r="O271" i="71" s="1"/>
  <c r="O267" i="71"/>
  <c r="O301" i="71" s="1"/>
  <c r="O309" i="71" s="1"/>
  <c r="O266" i="71"/>
  <c r="N314" i="71"/>
  <c r="N279" i="71"/>
  <c r="N302" i="71" s="1"/>
  <c r="N310" i="71" s="1"/>
  <c r="N278" i="71"/>
  <c r="N281" i="71"/>
  <c r="N282" i="71" s="1"/>
  <c r="N283" i="71" s="1"/>
  <c r="O276" i="71"/>
  <c r="O277" i="71" s="1"/>
  <c r="IG20" i="71"/>
  <c r="P274" i="71" a="1"/>
  <c r="P274" i="71" s="1"/>
  <c r="P275" i="71" s="1"/>
  <c r="HV21" i="71" s="1"/>
  <c r="N250" i="71" a="1"/>
  <c r="N250" i="71" s="1"/>
  <c r="N251" i="71" s="1"/>
  <c r="HR23" i="71" l="1"/>
  <c r="HT23" i="71" s="1"/>
  <c r="HP17" i="71"/>
  <c r="HO17" i="71"/>
  <c r="HX21" i="71"/>
  <c r="HW21" i="71"/>
  <c r="HN18" i="71"/>
  <c r="IB20" i="71"/>
  <c r="IA20" i="71"/>
  <c r="HT22" i="71"/>
  <c r="HS22" i="71"/>
  <c r="N291" i="71"/>
  <c r="N303" i="71" s="1"/>
  <c r="J308" i="71"/>
  <c r="IF21" i="71"/>
  <c r="N293" i="71"/>
  <c r="N294" i="71" s="1"/>
  <c r="N295" i="71" s="1"/>
  <c r="N315" i="71"/>
  <c r="I308" i="71"/>
  <c r="K252" i="71"/>
  <c r="T262" i="71" a="1"/>
  <c r="T262" i="71" s="1"/>
  <c r="P286" i="71" a="1"/>
  <c r="P286" i="71" s="1"/>
  <c r="P287" i="71" s="1"/>
  <c r="HZ21" i="71" s="1"/>
  <c r="S263" i="71"/>
  <c r="HR24" i="71" s="1"/>
  <c r="O288" i="71"/>
  <c r="O289" i="71" s="1"/>
  <c r="IH20" i="71" s="1"/>
  <c r="AY1" i="73"/>
  <c r="P266" i="71"/>
  <c r="P267" i="71"/>
  <c r="P301" i="71" s="1"/>
  <c r="P309" i="71" s="1"/>
  <c r="P269" i="71"/>
  <c r="P270" i="71" s="1"/>
  <c r="P271" i="71" s="1"/>
  <c r="IF22" i="71"/>
  <c r="Q269" i="71"/>
  <c r="Q270" i="71" s="1"/>
  <c r="Q271" i="71" s="1"/>
  <c r="Q313" i="71"/>
  <c r="Q266" i="71"/>
  <c r="Q267" i="71"/>
  <c r="Q301" i="71" s="1"/>
  <c r="Q309" i="71" s="1"/>
  <c r="O314" i="71"/>
  <c r="O278" i="71"/>
  <c r="O281" i="71"/>
  <c r="O282" i="71" s="1"/>
  <c r="O283" i="71" s="1"/>
  <c r="O279" i="71"/>
  <c r="O302" i="71" s="1"/>
  <c r="O310" i="71" s="1"/>
  <c r="Q274" i="71" a="1"/>
  <c r="Q274" i="71" s="1"/>
  <c r="Q275" i="71" s="1"/>
  <c r="HV22" i="71" s="1"/>
  <c r="IG21" i="71"/>
  <c r="P276" i="71"/>
  <c r="P277" i="71" s="1"/>
  <c r="O250" i="71" a="1"/>
  <c r="O250" i="71" s="1"/>
  <c r="O251" i="71" s="1"/>
  <c r="HS23" i="71" l="1"/>
  <c r="N311" i="71"/>
  <c r="HS24" i="71"/>
  <c r="HT24" i="71"/>
  <c r="IA21" i="71"/>
  <c r="IB21" i="71"/>
  <c r="O291" i="71"/>
  <c r="O303" i="71" s="1"/>
  <c r="O311" i="71" s="1"/>
  <c r="O293" i="71"/>
  <c r="O294" i="71" s="1"/>
  <c r="O295" i="71" s="1"/>
  <c r="HO18" i="71"/>
  <c r="HP18" i="71"/>
  <c r="O315" i="71"/>
  <c r="HW22" i="71"/>
  <c r="HX22" i="71"/>
  <c r="HN19" i="71"/>
  <c r="HN20" i="71" s="1"/>
  <c r="O290" i="71"/>
  <c r="P288" i="71"/>
  <c r="P289" i="71" s="1"/>
  <c r="IH21" i="71" s="1"/>
  <c r="U262" i="71" a="1"/>
  <c r="U262" i="71" s="1"/>
  <c r="T263" i="71"/>
  <c r="HR25" i="71" s="1"/>
  <c r="K253" i="71"/>
  <c r="IE16" i="71" s="1"/>
  <c r="K298" i="71"/>
  <c r="BA4" i="72" s="1"/>
  <c r="BA4" i="73" s="1"/>
  <c r="Q286" i="71" a="1"/>
  <c r="Q286" i="71" s="1"/>
  <c r="Q287" i="71" s="1"/>
  <c r="HZ22" i="71" s="1"/>
  <c r="L252" i="71"/>
  <c r="L298" i="71" s="1"/>
  <c r="BE4" i="72" s="1"/>
  <c r="BE4" i="73" s="1"/>
  <c r="R264" i="71"/>
  <c r="R265" i="71" s="1"/>
  <c r="M252" i="71"/>
  <c r="P315" i="71"/>
  <c r="Q276" i="71"/>
  <c r="Q277" i="71" s="1"/>
  <c r="IG22" i="71" s="1"/>
  <c r="R274" i="71" a="1"/>
  <c r="R274" i="71" s="1"/>
  <c r="R275" i="71" s="1"/>
  <c r="HV23" i="71" s="1"/>
  <c r="P278" i="71"/>
  <c r="P281" i="71"/>
  <c r="P282" i="71" s="1"/>
  <c r="P283" i="71" s="1"/>
  <c r="P279" i="71"/>
  <c r="P302" i="71" s="1"/>
  <c r="P310" i="71" s="1"/>
  <c r="P314" i="71"/>
  <c r="P250" i="71" a="1"/>
  <c r="P250" i="71" s="1"/>
  <c r="P251" i="71" s="1"/>
  <c r="P293" i="71" l="1"/>
  <c r="P294" i="71" s="1"/>
  <c r="P295" i="71" s="1"/>
  <c r="HP20" i="71"/>
  <c r="HO20" i="71"/>
  <c r="HN21" i="71"/>
  <c r="IA22" i="71"/>
  <c r="IB22" i="71"/>
  <c r="HT25" i="71"/>
  <c r="HS25" i="71"/>
  <c r="HW23" i="71"/>
  <c r="HX23" i="71"/>
  <c r="P290" i="71"/>
  <c r="HO19" i="71"/>
  <c r="HP19" i="71"/>
  <c r="R266" i="71"/>
  <c r="IF23" i="71"/>
  <c r="P291" i="71"/>
  <c r="P303" i="71" s="1"/>
  <c r="P311" i="71" s="1"/>
  <c r="U263" i="71"/>
  <c r="HR26" i="71" s="1"/>
  <c r="V262" i="71" a="1"/>
  <c r="V262" i="71" s="1"/>
  <c r="W262" i="71" s="1" a="1"/>
  <c r="W262" i="71" s="1"/>
  <c r="R286" i="71" a="1"/>
  <c r="R286" i="71" s="1"/>
  <c r="R287" i="71" s="1"/>
  <c r="HZ23" i="71" s="1"/>
  <c r="L253" i="71"/>
  <c r="L254" i="71" s="1"/>
  <c r="Q288" i="71"/>
  <c r="Q289" i="71" s="1"/>
  <c r="IH22" i="71" s="1"/>
  <c r="K255" i="71"/>
  <c r="K300" i="71" s="1"/>
  <c r="K254" i="71"/>
  <c r="K312" i="71"/>
  <c r="K299" i="71"/>
  <c r="BA5" i="72" s="1"/>
  <c r="BC1" i="72"/>
  <c r="BC1" i="73" s="1"/>
  <c r="K257" i="71"/>
  <c r="K258" i="71" s="1"/>
  <c r="K259" i="71" s="1"/>
  <c r="R313" i="71"/>
  <c r="S264" i="71"/>
  <c r="S265" i="71" s="1"/>
  <c r="R267" i="71"/>
  <c r="R301" i="71" s="1"/>
  <c r="R309" i="71" s="1"/>
  <c r="R269" i="71"/>
  <c r="R270" i="71" s="1"/>
  <c r="R271" i="71" s="1"/>
  <c r="N252" i="71"/>
  <c r="M298" i="71"/>
  <c r="BI4" i="72" s="1"/>
  <c r="M253" i="71"/>
  <c r="IE18" i="71" s="1"/>
  <c r="R276" i="71"/>
  <c r="R277" i="71" s="1"/>
  <c r="IG23" i="71" s="1"/>
  <c r="S274" i="71" a="1"/>
  <c r="S274" i="71" s="1"/>
  <c r="S275" i="71" s="1"/>
  <c r="HV24" i="71" s="1"/>
  <c r="Q314" i="71"/>
  <c r="Q278" i="71"/>
  <c r="Q279" i="71"/>
  <c r="Q302" i="71" s="1"/>
  <c r="Q281" i="71"/>
  <c r="Q282" i="71" s="1"/>
  <c r="Q283" i="71" s="1"/>
  <c r="Q250" i="71" a="1"/>
  <c r="Q250" i="71" s="1"/>
  <c r="Q251" i="71" s="1"/>
  <c r="HN22" i="71" s="1"/>
  <c r="L257" i="71" l="1"/>
  <c r="L258" i="71" s="1"/>
  <c r="L259" i="71" s="1"/>
  <c r="Q290" i="71"/>
  <c r="Q291" i="71"/>
  <c r="Q303" i="71" s="1"/>
  <c r="Q311" i="71" s="1"/>
  <c r="HX24" i="71"/>
  <c r="HW24" i="71"/>
  <c r="IB23" i="71"/>
  <c r="IA23" i="71"/>
  <c r="HO22" i="71"/>
  <c r="HP22" i="71"/>
  <c r="L299" i="71"/>
  <c r="BE5" i="72" s="1"/>
  <c r="Q315" i="71"/>
  <c r="L255" i="71"/>
  <c r="L300" i="71" s="1"/>
  <c r="Q293" i="71"/>
  <c r="Q294" i="71" s="1"/>
  <c r="Q295" i="71" s="1"/>
  <c r="HT26" i="71"/>
  <c r="HS26" i="71"/>
  <c r="HO21" i="71"/>
  <c r="HP21" i="71"/>
  <c r="S267" i="71"/>
  <c r="S301" i="71" s="1"/>
  <c r="IF24" i="71"/>
  <c r="K308" i="71"/>
  <c r="L312" i="71"/>
  <c r="IE17" i="71"/>
  <c r="BG1" i="72"/>
  <c r="BG1" i="73" s="1"/>
  <c r="Q310" i="71"/>
  <c r="W263" i="71"/>
  <c r="X262" i="71" a="1"/>
  <c r="X262" i="71" s="1"/>
  <c r="S286" i="71" a="1"/>
  <c r="S286" i="71" s="1"/>
  <c r="S287" i="71" s="1"/>
  <c r="R288" i="71"/>
  <c r="R289" i="71" s="1"/>
  <c r="IH23" i="71" s="1"/>
  <c r="V263" i="71"/>
  <c r="HR27" i="71" s="1"/>
  <c r="BI4" i="73"/>
  <c r="T264" i="71"/>
  <c r="T265" i="71" s="1"/>
  <c r="IF25" i="71" s="1"/>
  <c r="S269" i="71"/>
  <c r="S270" i="71" s="1"/>
  <c r="S271" i="71" s="1"/>
  <c r="S266" i="71"/>
  <c r="S313" i="71"/>
  <c r="O252" i="71"/>
  <c r="M299" i="71"/>
  <c r="BI5" i="72" s="1"/>
  <c r="M312" i="71"/>
  <c r="BK1" i="72"/>
  <c r="M254" i="71"/>
  <c r="M255" i="71"/>
  <c r="M300" i="71" s="1"/>
  <c r="M257" i="71"/>
  <c r="M258" i="71" s="1"/>
  <c r="M259" i="71" s="1"/>
  <c r="N298" i="71"/>
  <c r="BM4" i="72" s="1"/>
  <c r="N253" i="71"/>
  <c r="IE19" i="71" s="1"/>
  <c r="S276" i="71"/>
  <c r="S277" i="71" s="1"/>
  <c r="IG24" i="71" s="1"/>
  <c r="R278" i="71"/>
  <c r="R314" i="71"/>
  <c r="R281" i="71"/>
  <c r="R282" i="71" s="1"/>
  <c r="R283" i="71" s="1"/>
  <c r="R279" i="71"/>
  <c r="R302" i="71" s="1"/>
  <c r="R310" i="71" s="1"/>
  <c r="T274" i="71" a="1"/>
  <c r="T274" i="71" s="1"/>
  <c r="T275" i="71" s="1"/>
  <c r="HV25" i="71" s="1"/>
  <c r="R250" i="71" a="1"/>
  <c r="R250" i="71" s="1"/>
  <c r="R251" i="71" s="1"/>
  <c r="HN23" i="71" s="1"/>
  <c r="R315" i="71" l="1"/>
  <c r="HR28" i="71"/>
  <c r="HS28" i="71" s="1"/>
  <c r="HP23" i="71"/>
  <c r="HO23" i="71"/>
  <c r="L308" i="71"/>
  <c r="HX25" i="71"/>
  <c r="HW25" i="71"/>
  <c r="HS27" i="71"/>
  <c r="HT27" i="71"/>
  <c r="HZ24" i="71"/>
  <c r="R293" i="71"/>
  <c r="R294" i="71" s="1"/>
  <c r="R295" i="71" s="1"/>
  <c r="R291" i="71"/>
  <c r="R303" i="71" s="1"/>
  <c r="R311" i="71" s="1"/>
  <c r="R290" i="71"/>
  <c r="M308" i="71"/>
  <c r="S309" i="71"/>
  <c r="Y262" i="71" a="1"/>
  <c r="Y262" i="71" s="1"/>
  <c r="X263" i="71"/>
  <c r="HR29" i="71" s="1"/>
  <c r="T286" i="71" a="1"/>
  <c r="T286" i="71" s="1"/>
  <c r="T287" i="71" s="1"/>
  <c r="HZ25" i="71" s="1"/>
  <c r="BM4" i="73"/>
  <c r="BK1" i="73"/>
  <c r="T267" i="71"/>
  <c r="T301" i="71" s="1"/>
  <c r="T309" i="71" s="1"/>
  <c r="T266" i="71"/>
  <c r="T269" i="71"/>
  <c r="T270" i="71" s="1"/>
  <c r="T271" i="71" s="1"/>
  <c r="T313" i="71"/>
  <c r="U264" i="71"/>
  <c r="U265" i="71" s="1"/>
  <c r="IF26" i="71" s="1"/>
  <c r="BO1" i="72"/>
  <c r="N257" i="71"/>
  <c r="N258" i="71" s="1"/>
  <c r="N259" i="71" s="1"/>
  <c r="N255" i="71"/>
  <c r="N300" i="71" s="1"/>
  <c r="N254" i="71"/>
  <c r="N299" i="71"/>
  <c r="BM5" i="72" s="1"/>
  <c r="N312" i="71"/>
  <c r="P252" i="71"/>
  <c r="O253" i="71"/>
  <c r="IE20" i="71" s="1"/>
  <c r="O298" i="71"/>
  <c r="U274" i="71" a="1"/>
  <c r="U274" i="71" s="1"/>
  <c r="U275" i="71" s="1"/>
  <c r="HV26" i="71" s="1"/>
  <c r="T276" i="71"/>
  <c r="T277" i="71" s="1"/>
  <c r="IG25" i="71" s="1"/>
  <c r="S278" i="71"/>
  <c r="S314" i="71"/>
  <c r="S281" i="71"/>
  <c r="S282" i="71" s="1"/>
  <c r="S283" i="71" s="1"/>
  <c r="S279" i="71"/>
  <c r="S302" i="71" s="1"/>
  <c r="S310" i="71" s="1"/>
  <c r="S250" i="71" a="1"/>
  <c r="S250" i="71" s="1"/>
  <c r="S251" i="71" s="1"/>
  <c r="HN24" i="71" s="1"/>
  <c r="HT28" i="71" l="1"/>
  <c r="IB24" i="71"/>
  <c r="IA24" i="71"/>
  <c r="HP24" i="71"/>
  <c r="HO24" i="71"/>
  <c r="S288" i="71"/>
  <c r="S289" i="71" s="1"/>
  <c r="IH24" i="71"/>
  <c r="IA25" i="71"/>
  <c r="IB25" i="71"/>
  <c r="HT29" i="71"/>
  <c r="HS29" i="71"/>
  <c r="HW26" i="71"/>
  <c r="HX26" i="71"/>
  <c r="N308" i="71"/>
  <c r="T288" i="71"/>
  <c r="T289" i="71" s="1"/>
  <c r="T290" i="71" s="1"/>
  <c r="U286" i="71" a="1"/>
  <c r="U286" i="71" s="1"/>
  <c r="U287" i="71" s="1"/>
  <c r="HZ26" i="71" s="1"/>
  <c r="Z262" i="71" a="1"/>
  <c r="Z262" i="71" s="1"/>
  <c r="Y263" i="71"/>
  <c r="HR30" i="71" s="1"/>
  <c r="BO1" i="73"/>
  <c r="V264" i="71"/>
  <c r="V265" i="71" s="1"/>
  <c r="IF27" i="71" s="1"/>
  <c r="U313" i="71"/>
  <c r="U267" i="71"/>
  <c r="U301" i="71" s="1"/>
  <c r="U309" i="71" s="1"/>
  <c r="U269" i="71"/>
  <c r="U270" i="71" s="1"/>
  <c r="U271" i="71" s="1"/>
  <c r="U266" i="71"/>
  <c r="O257" i="71"/>
  <c r="O258" i="71" s="1"/>
  <c r="O259" i="71" s="1"/>
  <c r="O312" i="71"/>
  <c r="O254" i="71"/>
  <c r="O255" i="71"/>
  <c r="O300" i="71" s="1"/>
  <c r="O308" i="71" s="1"/>
  <c r="O299" i="71"/>
  <c r="Q252" i="71"/>
  <c r="P298" i="71"/>
  <c r="P253" i="71"/>
  <c r="IE21" i="71" s="1"/>
  <c r="T315" i="71"/>
  <c r="V274" i="71" a="1"/>
  <c r="V274" i="71" s="1"/>
  <c r="V275" i="71" s="1"/>
  <c r="HV27" i="71" s="1"/>
  <c r="T278" i="71"/>
  <c r="T314" i="71"/>
  <c r="T279" i="71"/>
  <c r="T302" i="71" s="1"/>
  <c r="T310" i="71" s="1"/>
  <c r="T281" i="71"/>
  <c r="T282" i="71" s="1"/>
  <c r="T283" i="71" s="1"/>
  <c r="U276" i="71"/>
  <c r="U277" i="71" s="1"/>
  <c r="IG26" i="71" s="1"/>
  <c r="T250" i="71" a="1"/>
  <c r="T250" i="71" s="1"/>
  <c r="T251" i="71" s="1"/>
  <c r="HN25" i="71" s="1"/>
  <c r="T291" i="71" l="1"/>
  <c r="T303" i="71" s="1"/>
  <c r="HO25" i="71"/>
  <c r="HP25" i="71"/>
  <c r="HX27" i="71"/>
  <c r="HW27" i="71"/>
  <c r="HS30" i="71"/>
  <c r="HT30" i="71"/>
  <c r="S315" i="71"/>
  <c r="S291" i="71"/>
  <c r="S303" i="71" s="1"/>
  <c r="S311" i="71" s="1"/>
  <c r="S293" i="71"/>
  <c r="S294" i="71" s="1"/>
  <c r="S295" i="71" s="1"/>
  <c r="S290" i="71"/>
  <c r="IB26" i="71"/>
  <c r="IA26" i="71"/>
  <c r="T311" i="71"/>
  <c r="T293" i="71"/>
  <c r="T294" i="71" s="1"/>
  <c r="T295" i="71" s="1"/>
  <c r="IH25" i="71"/>
  <c r="V286" i="71" a="1"/>
  <c r="V286" i="71" s="1"/>
  <c r="V287" i="71" s="1"/>
  <c r="HZ27" i="71" s="1"/>
  <c r="U288" i="71"/>
  <c r="U289" i="71" s="1"/>
  <c r="U315" i="71" s="1"/>
  <c r="AA262" i="71" a="1"/>
  <c r="AA262" i="71" s="1"/>
  <c r="Z263" i="71"/>
  <c r="HR31" i="71" s="1"/>
  <c r="W264" i="71"/>
  <c r="W265" i="71" s="1"/>
  <c r="IF28" i="71" s="1"/>
  <c r="V313" i="71"/>
  <c r="V269" i="71"/>
  <c r="V270" i="71" s="1"/>
  <c r="V271" i="71" s="1"/>
  <c r="V267" i="71"/>
  <c r="V301" i="71" s="1"/>
  <c r="V266" i="71"/>
  <c r="R252" i="71"/>
  <c r="P255" i="71"/>
  <c r="P300" i="71" s="1"/>
  <c r="P312" i="71"/>
  <c r="P257" i="71"/>
  <c r="P258" i="71" s="1"/>
  <c r="P259" i="71" s="1"/>
  <c r="P299" i="71"/>
  <c r="P254" i="71"/>
  <c r="Q253" i="71"/>
  <c r="IE22" i="71" s="1"/>
  <c r="Q298" i="71"/>
  <c r="U293" i="71"/>
  <c r="U294" i="71" s="1"/>
  <c r="U295" i="71" s="1"/>
  <c r="U291" i="71"/>
  <c r="U303" i="71" s="1"/>
  <c r="V276" i="71"/>
  <c r="V277" i="71" s="1"/>
  <c r="IG27" i="71" s="1"/>
  <c r="U278" i="71"/>
  <c r="U314" i="71"/>
  <c r="U279" i="71"/>
  <c r="U302" i="71" s="1"/>
  <c r="U281" i="71"/>
  <c r="U282" i="71" s="1"/>
  <c r="U283" i="71" s="1"/>
  <c r="W274" i="71" a="1"/>
  <c r="W274" i="71" s="1"/>
  <c r="W275" i="71" s="1"/>
  <c r="HV28" i="71" s="1"/>
  <c r="U250" i="71" a="1"/>
  <c r="U250" i="71" s="1"/>
  <c r="U251" i="71" s="1"/>
  <c r="HN26" i="71" s="1"/>
  <c r="U290" i="71" l="1"/>
  <c r="HT31" i="71"/>
  <c r="HS31" i="71"/>
  <c r="HX28" i="71"/>
  <c r="HW28" i="71"/>
  <c r="IB27" i="71"/>
  <c r="IA27" i="71"/>
  <c r="HP26" i="71"/>
  <c r="HO26" i="71"/>
  <c r="U310" i="71"/>
  <c r="IH26" i="71"/>
  <c r="P308" i="71"/>
  <c r="U311" i="71"/>
  <c r="V309" i="71"/>
  <c r="V288" i="71"/>
  <c r="V289" i="71" s="1"/>
  <c r="IH27" i="71" s="1"/>
  <c r="W286" i="71" a="1"/>
  <c r="W286" i="71" s="1"/>
  <c r="W287" i="71" s="1"/>
  <c r="HZ28" i="71" s="1"/>
  <c r="AB262" i="71" a="1"/>
  <c r="AB262" i="71" s="1"/>
  <c r="AA263" i="71"/>
  <c r="HR32" i="71" s="1"/>
  <c r="IF29" i="71"/>
  <c r="IF30" i="71"/>
  <c r="Y264" i="71"/>
  <c r="Y265" i="71" s="1"/>
  <c r="X264" i="71"/>
  <c r="X265" i="71" s="1"/>
  <c r="X267" i="71" s="1"/>
  <c r="X301" i="71" s="1"/>
  <c r="W269" i="71"/>
  <c r="W270" i="71" s="1"/>
  <c r="W271" i="71" s="1"/>
  <c r="W267" i="71"/>
  <c r="W301" i="71" s="1"/>
  <c r="W266" i="71"/>
  <c r="W313" i="71"/>
  <c r="S252" i="71"/>
  <c r="R298" i="71"/>
  <c r="R253" i="71"/>
  <c r="IE23" i="71" s="1"/>
  <c r="Q299" i="71"/>
  <c r="Q255" i="71"/>
  <c r="Q300" i="71" s="1"/>
  <c r="Q308" i="71" s="1"/>
  <c r="Q254" i="71"/>
  <c r="Q257" i="71"/>
  <c r="Q258" i="71" s="1"/>
  <c r="Q259" i="71" s="1"/>
  <c r="Q312" i="71"/>
  <c r="W276" i="71"/>
  <c r="W277" i="71" s="1"/>
  <c r="IG28" i="71" s="1"/>
  <c r="V278" i="71"/>
  <c r="V279" i="71"/>
  <c r="V302" i="71" s="1"/>
  <c r="V310" i="71" s="1"/>
  <c r="V281" i="71"/>
  <c r="V282" i="71" s="1"/>
  <c r="V283" i="71" s="1"/>
  <c r="V314" i="71"/>
  <c r="X274" i="71" a="1"/>
  <c r="X274" i="71" s="1"/>
  <c r="X275" i="71" s="1"/>
  <c r="HV29" i="71" s="1"/>
  <c r="V250" i="71" a="1"/>
  <c r="V250" i="71" s="1"/>
  <c r="V251" i="71" s="1"/>
  <c r="HN27" i="71" s="1"/>
  <c r="V290" i="71" l="1"/>
  <c r="V293" i="71"/>
  <c r="V294" i="71" s="1"/>
  <c r="V295" i="71" s="1"/>
  <c r="V291" i="71"/>
  <c r="V303" i="71" s="1"/>
  <c r="V311" i="71" s="1"/>
  <c r="V315" i="71"/>
  <c r="HW29" i="71"/>
  <c r="HX29" i="71"/>
  <c r="HP27" i="71"/>
  <c r="HO27" i="71"/>
  <c r="HT32" i="71"/>
  <c r="HS32" i="71"/>
  <c r="IA28" i="71"/>
  <c r="IB28" i="71"/>
  <c r="W309" i="71"/>
  <c r="AC262" i="71" a="1"/>
  <c r="AC262" i="71" s="1"/>
  <c r="AB263" i="71"/>
  <c r="HR33" i="71" s="1"/>
  <c r="X286" i="71" a="1"/>
  <c r="X286" i="71" s="1"/>
  <c r="X287" i="71" s="1"/>
  <c r="HZ29" i="71" s="1"/>
  <c r="W288" i="71"/>
  <c r="W289" i="71" s="1"/>
  <c r="W291" i="71" s="1"/>
  <c r="W303" i="71" s="1"/>
  <c r="AA264" i="71"/>
  <c r="AA265" i="71" s="1"/>
  <c r="AA269" i="71" s="1"/>
  <c r="AA270" i="71" s="1"/>
  <c r="AA271" i="71" s="1"/>
  <c r="X266" i="71"/>
  <c r="Z264" i="71"/>
  <c r="Z265" i="71" s="1"/>
  <c r="IF31" i="71" s="1"/>
  <c r="Y269" i="71"/>
  <c r="Y270" i="71" s="1"/>
  <c r="Y271" i="71" s="1"/>
  <c r="Y313" i="71"/>
  <c r="Y267" i="71"/>
  <c r="Y301" i="71" s="1"/>
  <c r="Y309" i="71" s="1"/>
  <c r="Y266" i="71"/>
  <c r="X269" i="71"/>
  <c r="X270" i="71" s="1"/>
  <c r="X271" i="71" s="1"/>
  <c r="X313" i="71"/>
  <c r="X309" i="71" s="1"/>
  <c r="U252" i="71"/>
  <c r="R257" i="71"/>
  <c r="R258" i="71" s="1"/>
  <c r="R259" i="71" s="1"/>
  <c r="R254" i="71"/>
  <c r="R255" i="71"/>
  <c r="R300" i="71" s="1"/>
  <c r="R312" i="71"/>
  <c r="R299" i="71"/>
  <c r="T252" i="71"/>
  <c r="S253" i="71"/>
  <c r="IE24" i="71" s="1"/>
  <c r="S298" i="71"/>
  <c r="AA266" i="71"/>
  <c r="AA313" i="71"/>
  <c r="W278" i="71"/>
  <c r="W314" i="71"/>
  <c r="W279" i="71"/>
  <c r="W302" i="71" s="1"/>
  <c r="W310" i="71" s="1"/>
  <c r="W281" i="71"/>
  <c r="W282" i="71" s="1"/>
  <c r="W283" i="71" s="1"/>
  <c r="X276" i="71"/>
  <c r="X277" i="71" s="1"/>
  <c r="IG29" i="71" s="1"/>
  <c r="Y274" i="71" a="1"/>
  <c r="Y274" i="71" s="1"/>
  <c r="Y275" i="71" s="1"/>
  <c r="HV30" i="71" s="1"/>
  <c r="W250" i="71" a="1"/>
  <c r="W250" i="71" s="1"/>
  <c r="W251" i="71" s="1"/>
  <c r="HN28" i="71" s="1"/>
  <c r="HS33" i="71" l="1"/>
  <c r="HT33" i="71"/>
  <c r="HO28" i="71"/>
  <c r="HP28" i="71"/>
  <c r="HX30" i="71"/>
  <c r="HW30" i="71"/>
  <c r="IB29" i="71"/>
  <c r="IA29" i="71"/>
  <c r="IF32" i="71"/>
  <c r="R308" i="71"/>
  <c r="IH28" i="71"/>
  <c r="AC263" i="71"/>
  <c r="HR34" i="71" s="1"/>
  <c r="W315" i="71"/>
  <c r="W311" i="71" s="1"/>
  <c r="AD262" i="71" a="1"/>
  <c r="AD262" i="71" s="1"/>
  <c r="W293" i="71"/>
  <c r="W294" i="71" s="1"/>
  <c r="W295" i="71" s="1"/>
  <c r="W290" i="71"/>
  <c r="X288" i="71"/>
  <c r="X289" i="71" s="1"/>
  <c r="X290" i="71" s="1"/>
  <c r="IH29" i="71"/>
  <c r="Y286" i="71" a="1"/>
  <c r="Y286" i="71" s="1"/>
  <c r="Y287" i="71" s="1"/>
  <c r="HZ30" i="71" s="1"/>
  <c r="AA267" i="71"/>
  <c r="AA301" i="71" s="1"/>
  <c r="AA309" i="71" s="1"/>
  <c r="AB264" i="71"/>
  <c r="AB265" i="71" s="1"/>
  <c r="AB313" i="71" s="1"/>
  <c r="Z266" i="71"/>
  <c r="Z269" i="71"/>
  <c r="Z270" i="71" s="1"/>
  <c r="Z271" i="71" s="1"/>
  <c r="Z267" i="71"/>
  <c r="Z301" i="71" s="1"/>
  <c r="Z309" i="71" s="1"/>
  <c r="Z313" i="71"/>
  <c r="V252" i="71"/>
  <c r="V253" i="71" s="1"/>
  <c r="U298" i="71"/>
  <c r="U253" i="71"/>
  <c r="IE26" i="71" s="1"/>
  <c r="S255" i="71"/>
  <c r="S300" i="71" s="1"/>
  <c r="S308" i="71" s="1"/>
  <c r="S299" i="71"/>
  <c r="S254" i="71"/>
  <c r="S257" i="71"/>
  <c r="S258" i="71" s="1"/>
  <c r="S259" i="71" s="1"/>
  <c r="S312" i="71"/>
  <c r="T253" i="71"/>
  <c r="IE25" i="71" s="1"/>
  <c r="T298" i="71"/>
  <c r="X315" i="71"/>
  <c r="X314" i="71"/>
  <c r="X278" i="71"/>
  <c r="X281" i="71"/>
  <c r="X282" i="71" s="1"/>
  <c r="X283" i="71" s="1"/>
  <c r="X279" i="71"/>
  <c r="X302" i="71" s="1"/>
  <c r="Y276" i="71"/>
  <c r="Y277" i="71" s="1"/>
  <c r="IG30" i="71"/>
  <c r="Z274" i="71" a="1"/>
  <c r="Z274" i="71" s="1"/>
  <c r="Z275" i="71" s="1"/>
  <c r="HV31" i="71" s="1"/>
  <c r="X250" i="71" a="1"/>
  <c r="X250" i="71" s="1"/>
  <c r="X251" i="71" s="1"/>
  <c r="HN29" i="71" s="1"/>
  <c r="W252" i="71"/>
  <c r="W298" i="71" s="1"/>
  <c r="HT34" i="71" l="1"/>
  <c r="HS34" i="71"/>
  <c r="AC264" i="71"/>
  <c r="AC265" i="71" s="1"/>
  <c r="AC267" i="71" s="1"/>
  <c r="AC301" i="71" s="1"/>
  <c r="IB30" i="71"/>
  <c r="IA30" i="71"/>
  <c r="HX31" i="71"/>
  <c r="HW31" i="71"/>
  <c r="HP29" i="71"/>
  <c r="HO29" i="71"/>
  <c r="X310" i="71"/>
  <c r="IF33" i="71"/>
  <c r="V255" i="71"/>
  <c r="V300" i="71" s="1"/>
  <c r="IE27" i="71"/>
  <c r="AE262" i="71" a="1"/>
  <c r="AE262" i="71" s="1"/>
  <c r="X291" i="71"/>
  <c r="X303" i="71" s="1"/>
  <c r="X311" i="71" s="1"/>
  <c r="AD263" i="71"/>
  <c r="Y288" i="71"/>
  <c r="Y289" i="71" s="1"/>
  <c r="Y291" i="71" s="1"/>
  <c r="Y303" i="71" s="1"/>
  <c r="X293" i="71"/>
  <c r="X294" i="71" s="1"/>
  <c r="X295" i="71" s="1"/>
  <c r="Z286" i="71" a="1"/>
  <c r="Z286" i="71" s="1"/>
  <c r="Z287" i="71" s="1"/>
  <c r="AB267" i="71"/>
  <c r="AB301" i="71" s="1"/>
  <c r="AB309" i="71" s="1"/>
  <c r="AB266" i="71"/>
  <c r="AB269" i="71"/>
  <c r="AB270" i="71" s="1"/>
  <c r="AB271" i="71" s="1"/>
  <c r="IF34" i="71"/>
  <c r="V257" i="71"/>
  <c r="V258" i="71" s="1"/>
  <c r="V259" i="71" s="1"/>
  <c r="V254" i="71"/>
  <c r="V298" i="71"/>
  <c r="V299" i="71"/>
  <c r="V312" i="71"/>
  <c r="U255" i="71"/>
  <c r="U300" i="71" s="1"/>
  <c r="U299" i="71"/>
  <c r="U312" i="71"/>
  <c r="U257" i="71"/>
  <c r="U258" i="71" s="1"/>
  <c r="U259" i="71" s="1"/>
  <c r="U254" i="71"/>
  <c r="T255" i="71"/>
  <c r="T300" i="71" s="1"/>
  <c r="T257" i="71"/>
  <c r="T258" i="71" s="1"/>
  <c r="T259" i="71" s="1"/>
  <c r="T312" i="71"/>
  <c r="T254" i="71"/>
  <c r="T299" i="71"/>
  <c r="Y293" i="71"/>
  <c r="Y294" i="71" s="1"/>
  <c r="Y295" i="71" s="1"/>
  <c r="Y290" i="71"/>
  <c r="W253" i="71"/>
  <c r="Y278" i="71"/>
  <c r="Y281" i="71"/>
  <c r="Y282" i="71" s="1"/>
  <c r="Y283" i="71" s="1"/>
  <c r="Y314" i="71"/>
  <c r="Y279" i="71"/>
  <c r="Y302" i="71" s="1"/>
  <c r="AA274" i="71" a="1"/>
  <c r="AA274" i="71" s="1"/>
  <c r="AA275" i="71" s="1"/>
  <c r="HV32" i="71" s="1"/>
  <c r="IG31" i="71"/>
  <c r="Z276" i="71"/>
  <c r="Z277" i="71" s="1"/>
  <c r="X252" i="71"/>
  <c r="X298" i="71" s="1"/>
  <c r="Y250" i="71" a="1"/>
  <c r="Y250" i="71" s="1"/>
  <c r="Y251" i="71" s="1"/>
  <c r="HN30" i="71" s="1"/>
  <c r="AC266" i="71" l="1"/>
  <c r="AC313" i="71"/>
  <c r="AC269" i="71"/>
  <c r="AC270" i="71" s="1"/>
  <c r="AC271" i="71" s="1"/>
  <c r="HZ31" i="71"/>
  <c r="IH31" i="71" s="1"/>
  <c r="HP30" i="71"/>
  <c r="HO30" i="71"/>
  <c r="HR35" i="71"/>
  <c r="IF35" i="71" s="1"/>
  <c r="HW32" i="71"/>
  <c r="HX32" i="71"/>
  <c r="AC309" i="71"/>
  <c r="Y315" i="71"/>
  <c r="Y311" i="71" s="1"/>
  <c r="U308" i="71"/>
  <c r="IH30" i="71"/>
  <c r="Y310" i="71"/>
  <c r="V308" i="71"/>
  <c r="T308" i="71"/>
  <c r="W257" i="71"/>
  <c r="W258" i="71" s="1"/>
  <c r="W259" i="71" s="1"/>
  <c r="IE28" i="71"/>
  <c r="AE263" i="71"/>
  <c r="AA286" i="71" a="1"/>
  <c r="AA286" i="71" s="1"/>
  <c r="AA287" i="71" s="1"/>
  <c r="HZ32" i="71" s="1"/>
  <c r="AF262" i="71" a="1"/>
  <c r="AF262" i="71" s="1"/>
  <c r="W299" i="71"/>
  <c r="W312" i="71"/>
  <c r="W254" i="71"/>
  <c r="W255" i="71"/>
  <c r="W300" i="71" s="1"/>
  <c r="W308" i="71" s="1"/>
  <c r="X253" i="71"/>
  <c r="Z278" i="71"/>
  <c r="Z281" i="71"/>
  <c r="Z282" i="71" s="1"/>
  <c r="Z283" i="71" s="1"/>
  <c r="Z314" i="71"/>
  <c r="Z279" i="71"/>
  <c r="Z302" i="71" s="1"/>
  <c r="IG32" i="71"/>
  <c r="AA276" i="71"/>
  <c r="AA277" i="71" s="1"/>
  <c r="AB274" i="71" a="1"/>
  <c r="AB274" i="71" s="1"/>
  <c r="AB275" i="71" s="1"/>
  <c r="HV33" i="71" s="1"/>
  <c r="Y252" i="71"/>
  <c r="Y298" i="71" s="1"/>
  <c r="Z250" i="71" a="1"/>
  <c r="Z250" i="71" s="1"/>
  <c r="Z251" i="71" s="1"/>
  <c r="HN31" i="71" s="1"/>
  <c r="HR36" i="71" l="1"/>
  <c r="AE264" i="71" s="1"/>
  <c r="AE265" i="71" s="1"/>
  <c r="IB32" i="71"/>
  <c r="IA32" i="71"/>
  <c r="HT35" i="71"/>
  <c r="HS35" i="71"/>
  <c r="HX33" i="71"/>
  <c r="HW33" i="71"/>
  <c r="HT36" i="71"/>
  <c r="AD264" i="71"/>
  <c r="AD265" i="71" s="1"/>
  <c r="HO31" i="71"/>
  <c r="HP31" i="71"/>
  <c r="IA31" i="71"/>
  <c r="IB31" i="71"/>
  <c r="Z288" i="71"/>
  <c r="Z289" i="71" s="1"/>
  <c r="Z310" i="71"/>
  <c r="X255" i="71"/>
  <c r="X300" i="71" s="1"/>
  <c r="IE29" i="71"/>
  <c r="AA288" i="71"/>
  <c r="AA289" i="71" s="1"/>
  <c r="AA315" i="71" s="1"/>
  <c r="AF263" i="71"/>
  <c r="HR37" i="71" s="1"/>
  <c r="AB286" i="71" a="1"/>
  <c r="AB286" i="71" s="1"/>
  <c r="AB287" i="71" s="1"/>
  <c r="HZ33" i="71" s="1"/>
  <c r="AG262" i="71" a="1"/>
  <c r="AG262" i="71" s="1"/>
  <c r="IF36" i="71"/>
  <c r="X254" i="71"/>
  <c r="Y253" i="71"/>
  <c r="Y257" i="71" s="1"/>
  <c r="Y258" i="71" s="1"/>
  <c r="Y259" i="71" s="1"/>
  <c r="X257" i="71"/>
  <c r="X258" i="71" s="1"/>
  <c r="X259" i="71" s="1"/>
  <c r="X299" i="71"/>
  <c r="X312" i="71"/>
  <c r="AE313" i="71"/>
  <c r="AE266" i="71"/>
  <c r="AE269" i="71"/>
  <c r="AE270" i="71" s="1"/>
  <c r="AE271" i="71" s="1"/>
  <c r="AE267" i="71"/>
  <c r="AE301" i="71" s="1"/>
  <c r="AE309" i="71" s="1"/>
  <c r="AC274" i="71" a="1"/>
  <c r="AC274" i="71" s="1"/>
  <c r="AC275" i="71" s="1"/>
  <c r="HV34" i="71" s="1"/>
  <c r="AB276" i="71"/>
  <c r="AB277" i="71" s="1"/>
  <c r="IG33" i="71" s="1"/>
  <c r="AA281" i="71"/>
  <c r="AA282" i="71" s="1"/>
  <c r="AA283" i="71" s="1"/>
  <c r="AA278" i="71"/>
  <c r="AA279" i="71"/>
  <c r="AA302" i="71" s="1"/>
  <c r="AA314" i="71"/>
  <c r="Z252" i="71"/>
  <c r="Z253" i="71" s="1"/>
  <c r="IE31" i="71" s="1"/>
  <c r="AA250" i="71" a="1"/>
  <c r="AA250" i="71" s="1"/>
  <c r="AA251" i="71" s="1"/>
  <c r="HN32" i="71" s="1"/>
  <c r="HS36" i="71" l="1"/>
  <c r="AA290" i="71"/>
  <c r="IB33" i="71"/>
  <c r="IA33" i="71"/>
  <c r="AD269" i="71"/>
  <c r="AD270" i="71" s="1"/>
  <c r="AD271" i="71" s="1"/>
  <c r="AD313" i="71"/>
  <c r="AD267" i="71"/>
  <c r="AD301" i="71" s="1"/>
  <c r="AD309" i="71" s="1"/>
  <c r="AD266" i="71"/>
  <c r="HT37" i="71"/>
  <c r="HS37" i="71"/>
  <c r="HX34" i="71"/>
  <c r="HW34" i="71"/>
  <c r="HP32" i="71"/>
  <c r="HO32" i="71"/>
  <c r="Z290" i="71"/>
  <c r="Z293" i="71"/>
  <c r="Z294" i="71" s="1"/>
  <c r="Z295" i="71" s="1"/>
  <c r="Z291" i="71"/>
  <c r="Z303" i="71" s="1"/>
  <c r="Z311" i="71" s="1"/>
  <c r="Z315" i="71"/>
  <c r="IE30" i="71"/>
  <c r="AA310" i="71"/>
  <c r="X308" i="71"/>
  <c r="IH32" i="71"/>
  <c r="AA293" i="71"/>
  <c r="AA294" i="71" s="1"/>
  <c r="AA295" i="71" s="1"/>
  <c r="AA291" i="71"/>
  <c r="AA303" i="71" s="1"/>
  <c r="AA311" i="71" s="1"/>
  <c r="AH262" i="71" a="1"/>
  <c r="AH262" i="71" s="1"/>
  <c r="AG263" i="71"/>
  <c r="HR38" i="71" s="1"/>
  <c r="AC286" i="71" a="1"/>
  <c r="AC286" i="71" s="1"/>
  <c r="AC287" i="71" s="1"/>
  <c r="HZ34" i="71" s="1"/>
  <c r="AB288" i="71"/>
  <c r="AB289" i="71" s="1"/>
  <c r="AB291" i="71" s="1"/>
  <c r="AB303" i="71" s="1"/>
  <c r="IF37" i="71"/>
  <c r="AF264" i="71"/>
  <c r="AF265" i="71" s="1"/>
  <c r="AF313" i="71" s="1"/>
  <c r="Y254" i="71"/>
  <c r="Y255" i="71"/>
  <c r="Y300" i="71" s="1"/>
  <c r="Y312" i="71"/>
  <c r="Y299" i="71"/>
  <c r="Z298" i="71"/>
  <c r="AD274" i="71" a="1"/>
  <c r="AD274" i="71" s="1"/>
  <c r="AD275" i="71" s="1"/>
  <c r="HV35" i="71" s="1"/>
  <c r="AB314" i="71"/>
  <c r="AB279" i="71"/>
  <c r="AB302" i="71" s="1"/>
  <c r="AB278" i="71"/>
  <c r="AB281" i="71"/>
  <c r="AB282" i="71" s="1"/>
  <c r="AB283" i="71" s="1"/>
  <c r="AC276" i="71"/>
  <c r="AC277" i="71" s="1"/>
  <c r="IG34" i="71"/>
  <c r="AB250" i="71" a="1"/>
  <c r="AB250" i="71" s="1"/>
  <c r="AB251" i="71" s="1"/>
  <c r="HN33" i="71" s="1"/>
  <c r="Z254" i="71"/>
  <c r="Z312" i="71"/>
  <c r="Z257" i="71"/>
  <c r="Z258" i="71" s="1"/>
  <c r="Z259" i="71" s="1"/>
  <c r="Z255" i="71"/>
  <c r="Z300" i="71" s="1"/>
  <c r="Z308" i="71" s="1"/>
  <c r="Z299" i="71"/>
  <c r="AB293" i="71" l="1"/>
  <c r="AB294" i="71" s="1"/>
  <c r="AB295" i="71" s="1"/>
  <c r="AB290" i="71"/>
  <c r="AB315" i="71"/>
  <c r="HT38" i="71"/>
  <c r="HS38" i="71"/>
  <c r="AG264" i="71"/>
  <c r="AG265" i="71" s="1"/>
  <c r="AG269" i="71" s="1"/>
  <c r="AG270" i="71" s="1"/>
  <c r="AG271" i="71" s="1"/>
  <c r="HP33" i="71"/>
  <c r="HO33" i="71"/>
  <c r="HW35" i="71"/>
  <c r="HX35" i="71"/>
  <c r="IA34" i="71"/>
  <c r="IB34" i="71"/>
  <c r="IH33" i="71"/>
  <c r="AB311" i="71"/>
  <c r="IF38" i="71"/>
  <c r="Y308" i="71"/>
  <c r="AB310" i="71"/>
  <c r="AH263" i="71"/>
  <c r="HR39" i="71" s="1"/>
  <c r="AA252" i="71"/>
  <c r="AD286" i="71" a="1"/>
  <c r="AD286" i="71" s="1"/>
  <c r="AD287" i="71" s="1"/>
  <c r="HZ35" i="71" s="1"/>
  <c r="AI262" i="71" a="1"/>
  <c r="AI262" i="71" s="1"/>
  <c r="AJ262" i="71" s="1" a="1"/>
  <c r="AJ262" i="71" s="1"/>
  <c r="AF267" i="71"/>
  <c r="AF301" i="71" s="1"/>
  <c r="AF309" i="71" s="1"/>
  <c r="AF269" i="71"/>
  <c r="AF270" i="71" s="1"/>
  <c r="AF271" i="71" s="1"/>
  <c r="AF266" i="71"/>
  <c r="AE274" i="71" a="1"/>
  <c r="AE274" i="71" s="1"/>
  <c r="AE275" i="71" s="1"/>
  <c r="HV36" i="71" s="1"/>
  <c r="AC314" i="71"/>
  <c r="AC281" i="71"/>
  <c r="AC282" i="71" s="1"/>
  <c r="AC283" i="71" s="1"/>
  <c r="AC279" i="71"/>
  <c r="AC302" i="71" s="1"/>
  <c r="AC310" i="71" s="1"/>
  <c r="AC278" i="71"/>
  <c r="AD276" i="71"/>
  <c r="AD277" i="71" s="1"/>
  <c r="IG35" i="71" s="1"/>
  <c r="AB252" i="71"/>
  <c r="AB298" i="71" s="1"/>
  <c r="AC250" i="71" a="1"/>
  <c r="AC250" i="71" s="1"/>
  <c r="AC251" i="71" s="1"/>
  <c r="HN34" i="71" s="1"/>
  <c r="AG267" i="71" l="1"/>
  <c r="AG301" i="71" s="1"/>
  <c r="AG309" i="71" s="1"/>
  <c r="AG266" i="71"/>
  <c r="AG313" i="71"/>
  <c r="HO34" i="71"/>
  <c r="HP34" i="71"/>
  <c r="IB35" i="71"/>
  <c r="IA35" i="71"/>
  <c r="HS39" i="71"/>
  <c r="HT39" i="71"/>
  <c r="HX36" i="71"/>
  <c r="HW36" i="71"/>
  <c r="AK262" i="71" a="1"/>
  <c r="AK262" i="71" s="1"/>
  <c r="AL262" i="71" s="1" a="1"/>
  <c r="AL262" i="71" s="1"/>
  <c r="AJ263" i="71"/>
  <c r="AH264" i="71"/>
  <c r="AH265" i="71" s="1"/>
  <c r="IF39" i="71" s="1"/>
  <c r="AI263" i="71"/>
  <c r="HR40" i="71" s="1"/>
  <c r="AD288" i="71"/>
  <c r="AD289" i="71" s="1"/>
  <c r="AD290" i="71" s="1"/>
  <c r="AA298" i="71"/>
  <c r="AA253" i="71"/>
  <c r="IE32" i="71" s="1"/>
  <c r="AE286" i="71" a="1"/>
  <c r="AE286" i="71" s="1"/>
  <c r="AE287" i="71" s="1"/>
  <c r="AC288" i="71"/>
  <c r="AC289" i="71" s="1"/>
  <c r="IH34" i="71" s="1"/>
  <c r="AB253" i="71"/>
  <c r="AD278" i="71"/>
  <c r="AD279" i="71"/>
  <c r="AD302" i="71" s="1"/>
  <c r="AD310" i="71" s="1"/>
  <c r="AD281" i="71"/>
  <c r="AD282" i="71" s="1"/>
  <c r="AD283" i="71" s="1"/>
  <c r="AD314" i="71"/>
  <c r="AF274" i="71" a="1"/>
  <c r="AF274" i="71" s="1"/>
  <c r="AF275" i="71" s="1"/>
  <c r="HV37" i="71" s="1"/>
  <c r="AE276" i="71"/>
  <c r="AE277" i="71" s="1"/>
  <c r="IG36" i="71" s="1"/>
  <c r="AD250" i="71" a="1"/>
  <c r="AD250" i="71" s="1"/>
  <c r="AD251" i="71" s="1"/>
  <c r="HN35" i="71" s="1"/>
  <c r="AD315" i="71" l="1"/>
  <c r="HT40" i="71"/>
  <c r="HS40" i="71"/>
  <c r="HR41" i="71"/>
  <c r="HZ36" i="71"/>
  <c r="IH36" i="71" s="1"/>
  <c r="HX37" i="71"/>
  <c r="HW37" i="71"/>
  <c r="HP35" i="71"/>
  <c r="HO35" i="71"/>
  <c r="AB254" i="71"/>
  <c r="IE33" i="71"/>
  <c r="IH35" i="71"/>
  <c r="AD291" i="71"/>
  <c r="AD303" i="71" s="1"/>
  <c r="AD311" i="71" s="1"/>
  <c r="AD293" i="71"/>
  <c r="AD294" i="71" s="1"/>
  <c r="AD295" i="71" s="1"/>
  <c r="AL263" i="71"/>
  <c r="AC290" i="71"/>
  <c r="AC293" i="71"/>
  <c r="AC294" i="71" s="1"/>
  <c r="AC295" i="71" s="1"/>
  <c r="AC291" i="71"/>
  <c r="AC303" i="71" s="1"/>
  <c r="AC311" i="71" s="1"/>
  <c r="AC315" i="71"/>
  <c r="AM262" i="71" a="1"/>
  <c r="AM262" i="71" s="1"/>
  <c r="AC252" i="71"/>
  <c r="AI264" i="71"/>
  <c r="AI265" i="71" s="1"/>
  <c r="AI266" i="71" s="1"/>
  <c r="AH267" i="71"/>
  <c r="AH301" i="71" s="1"/>
  <c r="AH266" i="71"/>
  <c r="AH313" i="71"/>
  <c r="AH269" i="71"/>
  <c r="AH270" i="71" s="1"/>
  <c r="AH271" i="71" s="1"/>
  <c r="AA312" i="71"/>
  <c r="AA257" i="71"/>
  <c r="AA258" i="71" s="1"/>
  <c r="AA259" i="71" s="1"/>
  <c r="AA299" i="71"/>
  <c r="AA255" i="71"/>
  <c r="AA300" i="71" s="1"/>
  <c r="AA308" i="71" s="1"/>
  <c r="AA254" i="71"/>
  <c r="AF286" i="71" a="1"/>
  <c r="AF286" i="71" s="1"/>
  <c r="AF287" i="71" s="1"/>
  <c r="HZ37" i="71" s="1"/>
  <c r="AK263" i="71"/>
  <c r="HR42" i="71" s="1"/>
  <c r="AB257" i="71"/>
  <c r="AB258" i="71" s="1"/>
  <c r="AB259" i="71" s="1"/>
  <c r="AB255" i="71"/>
  <c r="AB300" i="71" s="1"/>
  <c r="AB308" i="71" s="1"/>
  <c r="AB299" i="71"/>
  <c r="AB312" i="71"/>
  <c r="AF276" i="71"/>
  <c r="AF277" i="71" s="1"/>
  <c r="IG37" i="71"/>
  <c r="AG274" i="71" a="1"/>
  <c r="AG274" i="71" s="1"/>
  <c r="AG275" i="71" s="1"/>
  <c r="HV38" i="71" s="1"/>
  <c r="AE281" i="71"/>
  <c r="AE282" i="71" s="1"/>
  <c r="AE283" i="71" s="1"/>
  <c r="AE314" i="71"/>
  <c r="AE278" i="71"/>
  <c r="AE279" i="71"/>
  <c r="AE302" i="71" s="1"/>
  <c r="AD252" i="71"/>
  <c r="AD253" i="71" s="1"/>
  <c r="IE35" i="71" s="1"/>
  <c r="AE250" i="71" a="1"/>
  <c r="AE250" i="71" s="1"/>
  <c r="AE251" i="71" s="1"/>
  <c r="HN36" i="71" s="1"/>
  <c r="AI269" i="71" l="1"/>
  <c r="AI270" i="71" s="1"/>
  <c r="AI271" i="71" s="1"/>
  <c r="IA37" i="71"/>
  <c r="IB37" i="71"/>
  <c r="HW38" i="71"/>
  <c r="HX38" i="71"/>
  <c r="HS42" i="71"/>
  <c r="HT42" i="71"/>
  <c r="IB36" i="71"/>
  <c r="IA36" i="71"/>
  <c r="HP36" i="71"/>
  <c r="HO36" i="71"/>
  <c r="AE288" i="71"/>
  <c r="AE289" i="71" s="1"/>
  <c r="HR43" i="71"/>
  <c r="HT41" i="71"/>
  <c r="HS41" i="71"/>
  <c r="AI313" i="71"/>
  <c r="AE310" i="71"/>
  <c r="AI267" i="71"/>
  <c r="AI301" i="71" s="1"/>
  <c r="AI309" i="71" s="1"/>
  <c r="IF40" i="71"/>
  <c r="AH309" i="71"/>
  <c r="AN262" i="71" a="1"/>
  <c r="AN262" i="71" s="1"/>
  <c r="AM263" i="71"/>
  <c r="AF288" i="71"/>
  <c r="AF289" i="71" s="1"/>
  <c r="AF291" i="71" s="1"/>
  <c r="AF303" i="71" s="1"/>
  <c r="AG286" i="71" a="1"/>
  <c r="AG286" i="71" s="1"/>
  <c r="AG287" i="71" s="1"/>
  <c r="HZ38" i="71" s="1"/>
  <c r="AJ264" i="71"/>
  <c r="AJ265" i="71" s="1"/>
  <c r="AJ269" i="71" s="1"/>
  <c r="AJ270" i="71" s="1"/>
  <c r="AJ271" i="71" s="1"/>
  <c r="AC253" i="71"/>
  <c r="IE34" i="71" s="1"/>
  <c r="AC298" i="71"/>
  <c r="AK264" i="71"/>
  <c r="AK265" i="71" s="1"/>
  <c r="AK266" i="71" s="1"/>
  <c r="AD298" i="71"/>
  <c r="AG276" i="71"/>
  <c r="AG277" i="71" s="1"/>
  <c r="IG38" i="71" s="1"/>
  <c r="AH274" i="71" a="1"/>
  <c r="AH274" i="71" s="1"/>
  <c r="AH275" i="71" s="1"/>
  <c r="HV39" i="71" s="1"/>
  <c r="AF279" i="71"/>
  <c r="AF302" i="71" s="1"/>
  <c r="AF310" i="71" s="1"/>
  <c r="AF314" i="71"/>
  <c r="AF278" i="71"/>
  <c r="AF281" i="71"/>
  <c r="AF282" i="71" s="1"/>
  <c r="AF283" i="71" s="1"/>
  <c r="AF250" i="71" a="1"/>
  <c r="AF250" i="71" s="1"/>
  <c r="AF251" i="71" s="1"/>
  <c r="HN37" i="71" s="1"/>
  <c r="AE252" i="71"/>
  <c r="AE298" i="71" s="1"/>
  <c r="AD299" i="71"/>
  <c r="AD257" i="71"/>
  <c r="AD258" i="71" s="1"/>
  <c r="AD259" i="71" s="1"/>
  <c r="AD255" i="71"/>
  <c r="AD300" i="71" s="1"/>
  <c r="AD308" i="71" s="1"/>
  <c r="AD254" i="71"/>
  <c r="AD312" i="71"/>
  <c r="IB38" i="71" l="1"/>
  <c r="IA38" i="71"/>
  <c r="AE293" i="71"/>
  <c r="AE294" i="71" s="1"/>
  <c r="AE295" i="71" s="1"/>
  <c r="AE290" i="71"/>
  <c r="AE291" i="71"/>
  <c r="AE303" i="71" s="1"/>
  <c r="AE311" i="71" s="1"/>
  <c r="AE315" i="71"/>
  <c r="HR44" i="71"/>
  <c r="HT43" i="71"/>
  <c r="HS43" i="71"/>
  <c r="AJ267" i="71"/>
  <c r="AJ301" i="71" s="1"/>
  <c r="HX39" i="71"/>
  <c r="HW39" i="71"/>
  <c r="HO37" i="71"/>
  <c r="HP37" i="71"/>
  <c r="AL264" i="71"/>
  <c r="AL265" i="71" s="1"/>
  <c r="AL269" i="71" s="1"/>
  <c r="AL270" i="71" s="1"/>
  <c r="AL271" i="71" s="1"/>
  <c r="AJ266" i="71"/>
  <c r="IF41" i="71"/>
  <c r="IH37" i="71"/>
  <c r="AJ313" i="71"/>
  <c r="AO262" i="71" a="1"/>
  <c r="AO262" i="71" s="1"/>
  <c r="AH286" i="71" a="1"/>
  <c r="AH286" i="71" s="1"/>
  <c r="AH287" i="71" s="1"/>
  <c r="AF293" i="71"/>
  <c r="AF294" i="71" s="1"/>
  <c r="AF295" i="71" s="1"/>
  <c r="AF290" i="71"/>
  <c r="AC254" i="71"/>
  <c r="AC257" i="71"/>
  <c r="AC258" i="71" s="1"/>
  <c r="AC259" i="71" s="1"/>
  <c r="AC299" i="71"/>
  <c r="AC312" i="71"/>
  <c r="AC255" i="71"/>
  <c r="AC300" i="71" s="1"/>
  <c r="AC308" i="71" s="1"/>
  <c r="AF315" i="71"/>
  <c r="AF311" i="71" s="1"/>
  <c r="AN263" i="71"/>
  <c r="HR45" i="71" s="1"/>
  <c r="AG288" i="71"/>
  <c r="AG289" i="71" s="1"/>
  <c r="AG290" i="71" s="1"/>
  <c r="IF42" i="71"/>
  <c r="IF43" i="71"/>
  <c r="AK313" i="71"/>
  <c r="AK269" i="71"/>
  <c r="AK270" i="71" s="1"/>
  <c r="AK271" i="71" s="1"/>
  <c r="AK267" i="71"/>
  <c r="AK301" i="71" s="1"/>
  <c r="AK309" i="71" s="1"/>
  <c r="AE253" i="71"/>
  <c r="AH276" i="71"/>
  <c r="AH277" i="71" s="1"/>
  <c r="IG39" i="71" s="1"/>
  <c r="AI274" i="71" a="1"/>
  <c r="AI274" i="71" s="1"/>
  <c r="AI275" i="71" s="1"/>
  <c r="HV40" i="71" s="1"/>
  <c r="AG314" i="71"/>
  <c r="AG278" i="71"/>
  <c r="AG281" i="71"/>
  <c r="AG282" i="71" s="1"/>
  <c r="AG283" i="71" s="1"/>
  <c r="AG279" i="71"/>
  <c r="AG302" i="71" s="1"/>
  <c r="AF252" i="71"/>
  <c r="AF253" i="71" s="1"/>
  <c r="AG250" i="71" a="1"/>
  <c r="AG250" i="71" s="1"/>
  <c r="AG251" i="71" s="1"/>
  <c r="HN38" i="71" s="1"/>
  <c r="AL266" i="71" l="1"/>
  <c r="AL313" i="71"/>
  <c r="HZ39" i="71"/>
  <c r="IH39" i="71" s="1"/>
  <c r="AJ309" i="71"/>
  <c r="HT44" i="71"/>
  <c r="HS44" i="71"/>
  <c r="HS45" i="71"/>
  <c r="HT45" i="71"/>
  <c r="HX40" i="71"/>
  <c r="HW40" i="71"/>
  <c r="AL267" i="71"/>
  <c r="AL301" i="71" s="1"/>
  <c r="AL309" i="71" s="1"/>
  <c r="HP38" i="71"/>
  <c r="HO38" i="71"/>
  <c r="IH38" i="71"/>
  <c r="AE255" i="71"/>
  <c r="AE300" i="71" s="1"/>
  <c r="IE36" i="71"/>
  <c r="AG310" i="71"/>
  <c r="AG291" i="71"/>
  <c r="AG303" i="71" s="1"/>
  <c r="AG315" i="71"/>
  <c r="AI286" i="71" a="1"/>
  <c r="AI286" i="71" s="1"/>
  <c r="AI287" i="71" s="1"/>
  <c r="HZ40" i="71" s="1"/>
  <c r="AP262" i="71" a="1"/>
  <c r="AP262" i="71" s="1"/>
  <c r="AO263" i="71"/>
  <c r="HR46" i="71" s="1"/>
  <c r="AG293" i="71"/>
  <c r="AG294" i="71" s="1"/>
  <c r="AG295" i="71" s="1"/>
  <c r="IE37" i="71"/>
  <c r="AN264" i="71"/>
  <c r="AN265" i="71" s="1"/>
  <c r="AN313" i="71" s="1"/>
  <c r="AM264" i="71"/>
  <c r="AM265" i="71" s="1"/>
  <c r="AM269" i="71" s="1"/>
  <c r="AM270" i="71" s="1"/>
  <c r="AM271" i="71" s="1"/>
  <c r="AE254" i="71"/>
  <c r="AE312" i="71"/>
  <c r="AE257" i="71"/>
  <c r="AE258" i="71" s="1"/>
  <c r="AE259" i="71" s="1"/>
  <c r="AE299" i="71"/>
  <c r="IG40" i="71"/>
  <c r="AI276" i="71"/>
  <c r="AI277" i="71" s="1"/>
  <c r="AJ274" i="71" a="1"/>
  <c r="AJ274" i="71" s="1"/>
  <c r="AJ275" i="71" s="1"/>
  <c r="HV41" i="71" s="1"/>
  <c r="AH281" i="71"/>
  <c r="AH282" i="71" s="1"/>
  <c r="AH283" i="71" s="1"/>
  <c r="AH278" i="71"/>
  <c r="AH314" i="71"/>
  <c r="AH279" i="71"/>
  <c r="AH302" i="71" s="1"/>
  <c r="AH310" i="71" s="1"/>
  <c r="AF298" i="71"/>
  <c r="AH250" i="71" a="1"/>
  <c r="AH250" i="71" s="1"/>
  <c r="AH251" i="71" s="1"/>
  <c r="HN39" i="71" s="1"/>
  <c r="AF312" i="71"/>
  <c r="AF299" i="71"/>
  <c r="AF257" i="71"/>
  <c r="AF258" i="71" s="1"/>
  <c r="AF259" i="71" s="1"/>
  <c r="AF255" i="71"/>
  <c r="AF300" i="71" s="1"/>
  <c r="AF254" i="71"/>
  <c r="IA40" i="71" l="1"/>
  <c r="IB40" i="71"/>
  <c r="HP39" i="71"/>
  <c r="HO39" i="71"/>
  <c r="HT46" i="71"/>
  <c r="HS46" i="71"/>
  <c r="IB39" i="71"/>
  <c r="IA39" i="71"/>
  <c r="HW41" i="71"/>
  <c r="HX41" i="71"/>
  <c r="AH288" i="71"/>
  <c r="AH289" i="71" s="1"/>
  <c r="AG311" i="71"/>
  <c r="IF44" i="71"/>
  <c r="AE308" i="71"/>
  <c r="AF308" i="71"/>
  <c r="AQ262" i="71" a="1"/>
  <c r="AQ262" i="71" s="1"/>
  <c r="AP263" i="71"/>
  <c r="HR47" i="71" s="1"/>
  <c r="AJ286" i="71" a="1"/>
  <c r="AJ286" i="71" s="1"/>
  <c r="AJ287" i="71" s="1"/>
  <c r="HZ41" i="71" s="1"/>
  <c r="AG252" i="71"/>
  <c r="AI288" i="71"/>
  <c r="AI289" i="71" s="1"/>
  <c r="AI290" i="71" s="1"/>
  <c r="AN267" i="71"/>
  <c r="AN301" i="71" s="1"/>
  <c r="AN309" i="71" s="1"/>
  <c r="AN269" i="71"/>
  <c r="AN270" i="71" s="1"/>
  <c r="AN271" i="71" s="1"/>
  <c r="AN266" i="71"/>
  <c r="IF45" i="71"/>
  <c r="AM313" i="71"/>
  <c r="AM266" i="71"/>
  <c r="AM267" i="71"/>
  <c r="AM301" i="71" s="1"/>
  <c r="AM309" i="71" s="1"/>
  <c r="AJ276" i="71"/>
  <c r="AJ277" i="71" s="1"/>
  <c r="IG41" i="71" s="1"/>
  <c r="AK274" i="71" a="1"/>
  <c r="AK274" i="71" s="1"/>
  <c r="AK275" i="71" s="1"/>
  <c r="HV42" i="71" s="1"/>
  <c r="AI281" i="71"/>
  <c r="AI282" i="71" s="1"/>
  <c r="AI283" i="71" s="1"/>
  <c r="AI278" i="71"/>
  <c r="AI314" i="71"/>
  <c r="AI279" i="71"/>
  <c r="AI302" i="71" s="1"/>
  <c r="AI310" i="71" s="1"/>
  <c r="AH252" i="71"/>
  <c r="AH253" i="71" s="1"/>
  <c r="AI250" i="71" a="1"/>
  <c r="AI250" i="71" s="1"/>
  <c r="AI251" i="71" s="1"/>
  <c r="HN40" i="71" s="1"/>
  <c r="AH290" i="71" l="1"/>
  <c r="AH291" i="71"/>
  <c r="AH303" i="71" s="1"/>
  <c r="AH311" i="71" s="1"/>
  <c r="AH293" i="71"/>
  <c r="AH294" i="71" s="1"/>
  <c r="AH295" i="71" s="1"/>
  <c r="AH315" i="71"/>
  <c r="IB41" i="71"/>
  <c r="IA41" i="71"/>
  <c r="HX42" i="71"/>
  <c r="HW42" i="71"/>
  <c r="HT47" i="71"/>
  <c r="HS47" i="71"/>
  <c r="HO40" i="71"/>
  <c r="HP40" i="71"/>
  <c r="AI293" i="71"/>
  <c r="AI294" i="71" s="1"/>
  <c r="AI295" i="71" s="1"/>
  <c r="AI315" i="71"/>
  <c r="AI291" i="71"/>
  <c r="AI303" i="71" s="1"/>
  <c r="AI311" i="71" s="1"/>
  <c r="IH40" i="71"/>
  <c r="AK286" i="71" a="1"/>
  <c r="AK286" i="71" s="1"/>
  <c r="AK287" i="71" s="1"/>
  <c r="AR262" i="71" a="1"/>
  <c r="AR262" i="71" s="1"/>
  <c r="AQ263" i="71"/>
  <c r="HR48" i="71" s="1"/>
  <c r="IE39" i="71"/>
  <c r="AG298" i="71"/>
  <c r="AG253" i="71"/>
  <c r="IE38" i="71" s="1"/>
  <c r="AJ288" i="71"/>
  <c r="AJ289" i="71" s="1"/>
  <c r="AJ293" i="71" s="1"/>
  <c r="AJ294" i="71" s="1"/>
  <c r="AJ295" i="71" s="1"/>
  <c r="AO264" i="71"/>
  <c r="AO265" i="71" s="1"/>
  <c r="AH298" i="71"/>
  <c r="AK276" i="71"/>
  <c r="AK277" i="71" s="1"/>
  <c r="IG42" i="71"/>
  <c r="AJ278" i="71"/>
  <c r="AJ281" i="71"/>
  <c r="AJ282" i="71" s="1"/>
  <c r="AJ283" i="71" s="1"/>
  <c r="AJ314" i="71"/>
  <c r="AJ279" i="71"/>
  <c r="AJ302" i="71" s="1"/>
  <c r="AJ310" i="71" s="1"/>
  <c r="AL274" i="71" a="1"/>
  <c r="AL274" i="71" s="1"/>
  <c r="AL275" i="71" s="1"/>
  <c r="HV43" i="71" s="1"/>
  <c r="AJ250" i="71" a="1"/>
  <c r="AJ250" i="71" s="1"/>
  <c r="AJ251" i="71" s="1"/>
  <c r="HN41" i="71" s="1"/>
  <c r="AH255" i="71"/>
  <c r="AH300" i="71" s="1"/>
  <c r="AH257" i="71"/>
  <c r="AH258" i="71" s="1"/>
  <c r="AH259" i="71" s="1"/>
  <c r="AH299" i="71"/>
  <c r="AH254" i="71"/>
  <c r="AH312" i="71"/>
  <c r="HP41" i="71" l="1"/>
  <c r="HO41" i="71"/>
  <c r="HX43" i="71"/>
  <c r="HW43" i="71"/>
  <c r="HS48" i="71"/>
  <c r="HT48" i="71"/>
  <c r="HZ42" i="71"/>
  <c r="IH42" i="71" s="1"/>
  <c r="IH41" i="71"/>
  <c r="AH308" i="71"/>
  <c r="AJ290" i="71"/>
  <c r="AJ315" i="71"/>
  <c r="AJ291" i="71"/>
  <c r="AJ303" i="71" s="1"/>
  <c r="AJ311" i="71" s="1"/>
  <c r="AO313" i="71"/>
  <c r="IF46" i="71"/>
  <c r="AG299" i="71"/>
  <c r="AG254" i="71"/>
  <c r="AG312" i="71"/>
  <c r="AG257" i="71"/>
  <c r="AG258" i="71" s="1"/>
  <c r="AG259" i="71" s="1"/>
  <c r="AG255" i="71"/>
  <c r="AG300" i="71" s="1"/>
  <c r="AG308" i="71" s="1"/>
  <c r="AS262" i="71" a="1"/>
  <c r="AS262" i="71" s="1"/>
  <c r="AR263" i="71"/>
  <c r="HR49" i="71" s="1"/>
  <c r="AL286" i="71" a="1"/>
  <c r="AL286" i="71" s="1"/>
  <c r="AL287" i="71" s="1"/>
  <c r="AI252" i="71"/>
  <c r="AP264" i="71"/>
  <c r="AP265" i="71" s="1"/>
  <c r="AP313" i="71" s="1"/>
  <c r="AO266" i="71"/>
  <c r="AO267" i="71"/>
  <c r="AO301" i="71" s="1"/>
  <c r="AO309" i="71" s="1"/>
  <c r="AO269" i="71"/>
  <c r="AO270" i="71" s="1"/>
  <c r="AO271" i="71" s="1"/>
  <c r="AL276" i="71"/>
  <c r="AL277" i="71" s="1"/>
  <c r="IG43" i="71" s="1"/>
  <c r="AM274" i="71" a="1"/>
  <c r="AM274" i="71" s="1"/>
  <c r="AM275" i="71" s="1"/>
  <c r="HV44" i="71" s="1"/>
  <c r="AK281" i="71"/>
  <c r="AK282" i="71" s="1"/>
  <c r="AK283" i="71" s="1"/>
  <c r="AK314" i="71"/>
  <c r="AK278" i="71"/>
  <c r="AK279" i="71"/>
  <c r="AK302" i="71" s="1"/>
  <c r="AJ252" i="71"/>
  <c r="AJ298" i="71" s="1"/>
  <c r="AK250" i="71" a="1"/>
  <c r="AK250" i="71" s="1"/>
  <c r="AK251" i="71" s="1"/>
  <c r="HN42" i="71" s="1"/>
  <c r="HT49" i="71" l="1"/>
  <c r="HS49" i="71"/>
  <c r="IB42" i="71"/>
  <c r="IA42" i="71"/>
  <c r="AK288" i="71"/>
  <c r="AK289" i="71" s="1"/>
  <c r="HW44" i="71"/>
  <c r="HX44" i="71"/>
  <c r="HZ43" i="71"/>
  <c r="HP42" i="71"/>
  <c r="HO42" i="71"/>
  <c r="AK310" i="71"/>
  <c r="IF47" i="71"/>
  <c r="AT262" i="71" a="1"/>
  <c r="AT262" i="71" s="1"/>
  <c r="AT263" i="71" s="1"/>
  <c r="HR51" i="71" s="1"/>
  <c r="AS263" i="71"/>
  <c r="HR50" i="71" s="1"/>
  <c r="AI298" i="71"/>
  <c r="AI253" i="71"/>
  <c r="IE40" i="71" s="1"/>
  <c r="AM286" i="71" a="1"/>
  <c r="AM286" i="71" s="1"/>
  <c r="AM287" i="71" s="1"/>
  <c r="HZ44" i="71" s="1"/>
  <c r="AQ264" i="71"/>
  <c r="AQ265" i="71" s="1"/>
  <c r="AQ313" i="71" s="1"/>
  <c r="AP266" i="71"/>
  <c r="AP267" i="71"/>
  <c r="AP301" i="71" s="1"/>
  <c r="AP309" i="71" s="1"/>
  <c r="AP269" i="71"/>
  <c r="AP270" i="71" s="1"/>
  <c r="AP271" i="71" s="1"/>
  <c r="AM276" i="71"/>
  <c r="AM277" i="71" s="1"/>
  <c r="IG44" i="71" s="1"/>
  <c r="AJ253" i="71"/>
  <c r="AL281" i="71"/>
  <c r="AL282" i="71" s="1"/>
  <c r="AL283" i="71" s="1"/>
  <c r="AL278" i="71"/>
  <c r="AL279" i="71"/>
  <c r="AL302" i="71" s="1"/>
  <c r="AL310" i="71" s="1"/>
  <c r="AL314" i="71"/>
  <c r="AN274" i="71" a="1"/>
  <c r="AN274" i="71" s="1"/>
  <c r="AN275" i="71" s="1"/>
  <c r="HV45" i="71" s="1"/>
  <c r="AL250" i="71" a="1"/>
  <c r="AL250" i="71" s="1"/>
  <c r="AL251" i="71" s="1"/>
  <c r="HN43" i="71" s="1"/>
  <c r="AK252" i="71"/>
  <c r="AK253" i="71" s="1"/>
  <c r="IA43" i="71" l="1"/>
  <c r="IB43" i="71"/>
  <c r="AL288" i="71"/>
  <c r="AL289" i="71" s="1"/>
  <c r="IB44" i="71"/>
  <c r="IA44" i="71"/>
  <c r="HO43" i="71"/>
  <c r="HP43" i="71"/>
  <c r="AK293" i="71"/>
  <c r="AK294" i="71" s="1"/>
  <c r="AK295" i="71" s="1"/>
  <c r="AK290" i="71"/>
  <c r="AK315" i="71"/>
  <c r="AK291" i="71"/>
  <c r="AK303" i="71" s="1"/>
  <c r="AK311" i="71" s="1"/>
  <c r="IH43" i="71"/>
  <c r="HX45" i="71"/>
  <c r="HW45" i="71"/>
  <c r="HT50" i="71"/>
  <c r="HS50" i="71"/>
  <c r="HS51" i="71"/>
  <c r="HT51" i="71"/>
  <c r="IF48" i="71"/>
  <c r="AJ255" i="71"/>
  <c r="AJ300" i="71" s="1"/>
  <c r="IE41" i="71"/>
  <c r="AI312" i="71"/>
  <c r="AI257" i="71"/>
  <c r="AI258" i="71" s="1"/>
  <c r="AI259" i="71" s="1"/>
  <c r="AI254" i="71"/>
  <c r="AI255" i="71"/>
  <c r="AI300" i="71" s="1"/>
  <c r="AI308" i="71" s="1"/>
  <c r="AI299" i="71"/>
  <c r="IE42" i="71"/>
  <c r="AU262" i="71" a="1"/>
  <c r="AU262" i="71" s="1"/>
  <c r="AM288" i="71"/>
  <c r="AM289" i="71" s="1"/>
  <c r="AM291" i="71" s="1"/>
  <c r="AM303" i="71" s="1"/>
  <c r="AN286" i="71" a="1"/>
  <c r="AN286" i="71" s="1"/>
  <c r="AN287" i="71" s="1"/>
  <c r="HZ45" i="71" s="1"/>
  <c r="AS264" i="71"/>
  <c r="AS265" i="71" s="1"/>
  <c r="AS269" i="71" s="1"/>
  <c r="AS270" i="71" s="1"/>
  <c r="AS271" i="71" s="1"/>
  <c r="AR264" i="71"/>
  <c r="AR265" i="71" s="1"/>
  <c r="AQ269" i="71"/>
  <c r="AQ270" i="71" s="1"/>
  <c r="AQ271" i="71" s="1"/>
  <c r="AQ266" i="71"/>
  <c r="AQ267" i="71"/>
  <c r="AQ301" i="71" s="1"/>
  <c r="AQ309" i="71" s="1"/>
  <c r="AJ257" i="71"/>
  <c r="AJ258" i="71" s="1"/>
  <c r="AJ259" i="71" s="1"/>
  <c r="AJ312" i="71"/>
  <c r="AJ299" i="71"/>
  <c r="AJ254" i="71"/>
  <c r="AK298" i="71"/>
  <c r="AM278" i="71"/>
  <c r="AM279" i="71"/>
  <c r="AM302" i="71" s="1"/>
  <c r="AM281" i="71"/>
  <c r="AM282" i="71" s="1"/>
  <c r="AM283" i="71" s="1"/>
  <c r="AM314" i="71"/>
  <c r="AN276" i="71"/>
  <c r="AN277" i="71" s="1"/>
  <c r="IG45" i="71" s="1"/>
  <c r="AO274" i="71" a="1"/>
  <c r="AO274" i="71" s="1"/>
  <c r="AO275" i="71" s="1"/>
  <c r="HV46" i="71" s="1"/>
  <c r="AL252" i="71"/>
  <c r="AL298" i="71" s="1"/>
  <c r="AM250" i="71" a="1"/>
  <c r="AM250" i="71" s="1"/>
  <c r="AM251" i="71" s="1"/>
  <c r="HN44" i="71" s="1"/>
  <c r="AK312" i="71"/>
  <c r="AK255" i="71"/>
  <c r="AK300" i="71" s="1"/>
  <c r="AK308" i="71" s="1"/>
  <c r="AK254" i="71"/>
  <c r="AK299" i="71"/>
  <c r="AK257" i="71"/>
  <c r="AK258" i="71" s="1"/>
  <c r="AK259" i="71" s="1"/>
  <c r="HX46" i="71" l="1"/>
  <c r="HW46" i="71"/>
  <c r="IB45" i="71"/>
  <c r="IA45" i="71"/>
  <c r="AL315" i="71"/>
  <c r="AL293" i="71"/>
  <c r="AL294" i="71" s="1"/>
  <c r="AL295" i="71" s="1"/>
  <c r="AL290" i="71"/>
  <c r="AL291" i="71"/>
  <c r="AL303" i="71" s="1"/>
  <c r="AL311" i="71" s="1"/>
  <c r="HP44" i="71"/>
  <c r="HO44" i="71"/>
  <c r="AM315" i="71"/>
  <c r="AM311" i="71" s="1"/>
  <c r="AM293" i="71"/>
  <c r="AM294" i="71" s="1"/>
  <c r="AM295" i="71" s="1"/>
  <c r="AM290" i="71"/>
  <c r="AM310" i="71"/>
  <c r="IH44" i="71"/>
  <c r="AR266" i="71"/>
  <c r="IF49" i="71"/>
  <c r="AJ308" i="71"/>
  <c r="AO286" i="71" a="1"/>
  <c r="AO286" i="71" s="1"/>
  <c r="AO287" i="71" s="1"/>
  <c r="HZ46" i="71" s="1"/>
  <c r="AU263" i="71"/>
  <c r="HR52" i="71" s="1"/>
  <c r="IH45" i="71"/>
  <c r="AN288" i="71"/>
  <c r="AN289" i="71" s="1"/>
  <c r="AN291" i="71" s="1"/>
  <c r="AN303" i="71" s="1"/>
  <c r="AV262" i="71" a="1"/>
  <c r="AV262" i="71" s="1"/>
  <c r="AR313" i="71"/>
  <c r="AR267" i="71"/>
  <c r="AR301" i="71" s="1"/>
  <c r="IF50" i="71"/>
  <c r="AS267" i="71"/>
  <c r="AS301" i="71" s="1"/>
  <c r="AS309" i="71" s="1"/>
  <c r="AT264" i="71"/>
  <c r="AT265" i="71" s="1"/>
  <c r="AT313" i="71" s="1"/>
  <c r="AS266" i="71"/>
  <c r="AS313" i="71"/>
  <c r="AR269" i="71"/>
  <c r="AR270" i="71" s="1"/>
  <c r="AR271" i="71" s="1"/>
  <c r="AL253" i="71"/>
  <c r="AN281" i="71"/>
  <c r="AN282" i="71" s="1"/>
  <c r="AN283" i="71" s="1"/>
  <c r="AN279" i="71"/>
  <c r="AN302" i="71" s="1"/>
  <c r="AN310" i="71" s="1"/>
  <c r="AN314" i="71"/>
  <c r="AN278" i="71"/>
  <c r="AP274" i="71" a="1"/>
  <c r="AP274" i="71" s="1"/>
  <c r="AP275" i="71" s="1"/>
  <c r="HV47" i="71" s="1"/>
  <c r="AO276" i="71"/>
  <c r="AO277" i="71" s="1"/>
  <c r="IG46" i="71" s="1"/>
  <c r="AM252" i="71"/>
  <c r="AM298" i="71" s="1"/>
  <c r="AN250" i="71" a="1"/>
  <c r="AN250" i="71" s="1"/>
  <c r="AN251" i="71" s="1"/>
  <c r="HN45" i="71" s="1"/>
  <c r="AN290" i="71" l="1"/>
  <c r="AN315" i="71"/>
  <c r="IA46" i="71"/>
  <c r="IB46" i="71"/>
  <c r="HP45" i="71"/>
  <c r="HO45" i="71"/>
  <c r="HT52" i="71"/>
  <c r="HS52" i="71"/>
  <c r="HW47" i="71"/>
  <c r="HX47" i="71"/>
  <c r="AL254" i="71"/>
  <c r="IE43" i="71"/>
  <c r="AR309" i="71"/>
  <c r="AN311" i="71"/>
  <c r="AN293" i="71"/>
  <c r="AN294" i="71" s="1"/>
  <c r="AN295" i="71" s="1"/>
  <c r="AW262" i="71" a="1"/>
  <c r="AW262" i="71" s="1"/>
  <c r="AX262" i="71" s="1" a="1"/>
  <c r="AX262" i="71" s="1"/>
  <c r="AV263" i="71"/>
  <c r="HR53" i="71" s="1"/>
  <c r="AP286" i="71" a="1"/>
  <c r="AP286" i="71" s="1"/>
  <c r="AP287" i="71" s="1"/>
  <c r="HZ47" i="71" s="1"/>
  <c r="AO288" i="71"/>
  <c r="AO289" i="71" s="1"/>
  <c r="AO290" i="71" s="1"/>
  <c r="IF51" i="71"/>
  <c r="AT266" i="71"/>
  <c r="AT267" i="71"/>
  <c r="AT301" i="71" s="1"/>
  <c r="AT309" i="71" s="1"/>
  <c r="AT269" i="71"/>
  <c r="AT270" i="71" s="1"/>
  <c r="AT271" i="71" s="1"/>
  <c r="AL312" i="71"/>
  <c r="AL257" i="71"/>
  <c r="AL258" i="71" s="1"/>
  <c r="AL259" i="71" s="1"/>
  <c r="AL299" i="71"/>
  <c r="AL255" i="71"/>
  <c r="AL300" i="71" s="1"/>
  <c r="AL308" i="71" s="1"/>
  <c r="AO281" i="71"/>
  <c r="AO282" i="71" s="1"/>
  <c r="AO283" i="71" s="1"/>
  <c r="AO314" i="71"/>
  <c r="AO279" i="71"/>
  <c r="AO302" i="71" s="1"/>
  <c r="AO278" i="71"/>
  <c r="AP276" i="71"/>
  <c r="AP277" i="71" s="1"/>
  <c r="IG47" i="71" s="1"/>
  <c r="AQ274" i="71" a="1"/>
  <c r="AQ274" i="71" s="1"/>
  <c r="AQ275" i="71" s="1"/>
  <c r="HV48" i="71" s="1"/>
  <c r="AM253" i="71"/>
  <c r="AO250" i="71" a="1"/>
  <c r="AO250" i="71" s="1"/>
  <c r="AO251" i="71" s="1"/>
  <c r="HN46" i="71" s="1"/>
  <c r="AN252" i="71"/>
  <c r="AN298" i="71" s="1"/>
  <c r="AO293" i="71" l="1"/>
  <c r="AO294" i="71" s="1"/>
  <c r="AO295" i="71" s="1"/>
  <c r="HO46" i="71"/>
  <c r="HP46" i="71"/>
  <c r="HX48" i="71"/>
  <c r="HW48" i="71"/>
  <c r="IB47" i="71"/>
  <c r="IA47" i="71"/>
  <c r="HT53" i="71"/>
  <c r="HS53" i="71"/>
  <c r="AO315" i="71"/>
  <c r="AO291" i="71"/>
  <c r="AO303" i="71" s="1"/>
  <c r="AO311" i="71" s="1"/>
  <c r="IH46" i="71"/>
  <c r="AM312" i="71"/>
  <c r="IE44" i="71"/>
  <c r="AO310" i="71"/>
  <c r="AX263" i="71"/>
  <c r="AQ286" i="71" a="1"/>
  <c r="AQ286" i="71" s="1"/>
  <c r="AQ287" i="71" s="1"/>
  <c r="HZ48" i="71" s="1"/>
  <c r="AW263" i="71"/>
  <c r="HR54" i="71" s="1"/>
  <c r="AP288" i="71"/>
  <c r="AP289" i="71" s="1"/>
  <c r="AP291" i="71" s="1"/>
  <c r="AP303" i="71" s="1"/>
  <c r="AY262" i="71" a="1"/>
  <c r="AY262" i="71" s="1"/>
  <c r="AZ262" i="71" s="1" a="1"/>
  <c r="AZ262" i="71" s="1"/>
  <c r="IH47" i="71"/>
  <c r="AO252" i="71"/>
  <c r="AU264" i="71"/>
  <c r="AU265" i="71" s="1"/>
  <c r="AU267" i="71" s="1"/>
  <c r="AU301" i="71" s="1"/>
  <c r="AN253" i="71"/>
  <c r="AM299" i="71"/>
  <c r="AM255" i="71"/>
  <c r="AM300" i="71" s="1"/>
  <c r="AM308" i="71" s="1"/>
  <c r="AM257" i="71"/>
  <c r="AM258" i="71" s="1"/>
  <c r="AM259" i="71" s="1"/>
  <c r="AM254" i="71"/>
  <c r="AP281" i="71"/>
  <c r="AP282" i="71" s="1"/>
  <c r="AP283" i="71" s="1"/>
  <c r="AP314" i="71"/>
  <c r="AP279" i="71"/>
  <c r="AP302" i="71" s="1"/>
  <c r="AP278" i="71"/>
  <c r="IG48" i="71"/>
  <c r="AQ276" i="71"/>
  <c r="AQ277" i="71" s="1"/>
  <c r="AR274" i="71" a="1"/>
  <c r="AR274" i="71" s="1"/>
  <c r="AR275" i="71" s="1"/>
  <c r="HV49" i="71" s="1"/>
  <c r="AP250" i="71" a="1"/>
  <c r="AP250" i="71" s="1"/>
  <c r="AP251" i="71" s="1"/>
  <c r="HN47" i="71" s="1"/>
  <c r="HR55" i="71" l="1"/>
  <c r="HT55" i="71" s="1"/>
  <c r="HX49" i="71"/>
  <c r="HW49" i="71"/>
  <c r="HP47" i="71"/>
  <c r="HO47" i="71"/>
  <c r="HS54" i="71"/>
  <c r="HT54" i="71"/>
  <c r="IB48" i="71"/>
  <c r="IA48" i="71"/>
  <c r="AP290" i="71"/>
  <c r="AP315" i="71"/>
  <c r="AP311" i="71" s="1"/>
  <c r="AP293" i="71"/>
  <c r="AP294" i="71" s="1"/>
  <c r="AP295" i="71" s="1"/>
  <c r="AN299" i="71"/>
  <c r="IE45" i="71"/>
  <c r="AP310" i="71"/>
  <c r="IF52" i="71"/>
  <c r="AO253" i="71"/>
  <c r="AO257" i="71" s="1"/>
  <c r="AO258" i="71" s="1"/>
  <c r="AO259" i="71" s="1"/>
  <c r="AO298" i="71"/>
  <c r="AZ263" i="71"/>
  <c r="AR286" i="71" a="1"/>
  <c r="AR286" i="71" s="1"/>
  <c r="AR287" i="71" s="1"/>
  <c r="BA262" i="71" a="1"/>
  <c r="BA262" i="71" s="1"/>
  <c r="AQ288" i="71"/>
  <c r="AQ289" i="71" s="1"/>
  <c r="AQ291" i="71" s="1"/>
  <c r="AQ303" i="71" s="1"/>
  <c r="IE46" i="71"/>
  <c r="AY263" i="71"/>
  <c r="HR56" i="71" s="1"/>
  <c r="AU313" i="71"/>
  <c r="AU309" i="71" s="1"/>
  <c r="AU269" i="71"/>
  <c r="AU270" i="71" s="1"/>
  <c r="AU271" i="71" s="1"/>
  <c r="AU266" i="71"/>
  <c r="AV264" i="71"/>
  <c r="AV265" i="71" s="1"/>
  <c r="AV266" i="71" s="1"/>
  <c r="AN257" i="71"/>
  <c r="AN258" i="71" s="1"/>
  <c r="AN259" i="71" s="1"/>
  <c r="AN255" i="71"/>
  <c r="AN300" i="71" s="1"/>
  <c r="AN312" i="71"/>
  <c r="AN254" i="71"/>
  <c r="AQ314" i="71"/>
  <c r="AQ281" i="71"/>
  <c r="AQ282" i="71" s="1"/>
  <c r="AQ283" i="71" s="1"/>
  <c r="AQ279" i="71"/>
  <c r="AQ302" i="71" s="1"/>
  <c r="AQ310" i="71" s="1"/>
  <c r="AQ278" i="71"/>
  <c r="AS274" i="71" a="1"/>
  <c r="AS274" i="71" s="1"/>
  <c r="AS275" i="71" s="1"/>
  <c r="HV50" i="71" s="1"/>
  <c r="AR276" i="71"/>
  <c r="AR277" i="71" s="1"/>
  <c r="IG49" i="71"/>
  <c r="AP252" i="71"/>
  <c r="AP253" i="71" s="1"/>
  <c r="IE47" i="71" s="1"/>
  <c r="AQ250" i="71" a="1"/>
  <c r="AQ250" i="71" s="1"/>
  <c r="AQ251" i="71" s="1"/>
  <c r="HN48" i="71" s="1"/>
  <c r="AO255" i="71"/>
  <c r="AO300" i="71" s="1"/>
  <c r="AO308" i="71" s="1"/>
  <c r="AO254" i="71"/>
  <c r="AO312" i="71" l="1"/>
  <c r="AO299" i="71"/>
  <c r="HS55" i="71"/>
  <c r="HZ49" i="71"/>
  <c r="IH49" i="71" s="1"/>
  <c r="HR57" i="71"/>
  <c r="HP48" i="71"/>
  <c r="HO48" i="71"/>
  <c r="AQ315" i="71"/>
  <c r="HW50" i="71"/>
  <c r="HX50" i="71"/>
  <c r="HT56" i="71"/>
  <c r="HS56" i="71"/>
  <c r="AN308" i="71"/>
  <c r="IF53" i="71"/>
  <c r="AQ293" i="71"/>
  <c r="AQ294" i="71" s="1"/>
  <c r="AQ295" i="71" s="1"/>
  <c r="AQ290" i="71"/>
  <c r="IH48" i="71"/>
  <c r="AQ311" i="71"/>
  <c r="AS286" i="71" a="1"/>
  <c r="AS286" i="71" s="1"/>
  <c r="AS287" i="71" s="1"/>
  <c r="HZ50" i="71" s="1"/>
  <c r="BA263" i="71"/>
  <c r="HR58" i="71" s="1"/>
  <c r="AX264" i="71"/>
  <c r="AX265" i="71" s="1"/>
  <c r="IF55" i="71" s="1"/>
  <c r="BB262" i="71" a="1"/>
  <c r="BB262" i="71" s="1"/>
  <c r="AV269" i="71"/>
  <c r="AV270" i="71" s="1"/>
  <c r="AV271" i="71" s="1"/>
  <c r="AW264" i="71"/>
  <c r="AW265" i="71" s="1"/>
  <c r="AW313" i="71" s="1"/>
  <c r="IF54" i="71"/>
  <c r="AV267" i="71"/>
  <c r="AV301" i="71" s="1"/>
  <c r="AV313" i="71"/>
  <c r="AP298" i="71"/>
  <c r="AS276" i="71"/>
  <c r="AS277" i="71" s="1"/>
  <c r="IG50" i="71" s="1"/>
  <c r="AT274" i="71" a="1"/>
  <c r="AT274" i="71" s="1"/>
  <c r="AT275" i="71" s="1"/>
  <c r="HV51" i="71" s="1"/>
  <c r="AR278" i="71"/>
  <c r="AR314" i="71"/>
  <c r="AR281" i="71"/>
  <c r="AR282" i="71" s="1"/>
  <c r="AR283" i="71" s="1"/>
  <c r="AR279" i="71"/>
  <c r="AR302" i="71" s="1"/>
  <c r="AR250" i="71" a="1"/>
  <c r="AR250" i="71" s="1"/>
  <c r="AR251" i="71" s="1"/>
  <c r="HN49" i="71" s="1"/>
  <c r="AQ252" i="71"/>
  <c r="AQ253" i="71" s="1"/>
  <c r="IE48" i="71" s="1"/>
  <c r="AP312" i="71"/>
  <c r="AP257" i="71"/>
  <c r="AP258" i="71" s="1"/>
  <c r="AP259" i="71" s="1"/>
  <c r="AP254" i="71"/>
  <c r="AP255" i="71"/>
  <c r="AP300" i="71" s="1"/>
  <c r="AP308" i="71" s="1"/>
  <c r="AP299" i="71"/>
  <c r="HX51" i="71" l="1"/>
  <c r="HW51" i="71"/>
  <c r="HT58" i="71"/>
  <c r="HS58" i="71"/>
  <c r="IB50" i="71"/>
  <c r="IA50" i="71"/>
  <c r="HO49" i="71"/>
  <c r="HP49" i="71"/>
  <c r="AX266" i="71"/>
  <c r="AX269" i="71"/>
  <c r="AX270" i="71" s="1"/>
  <c r="AX271" i="71" s="1"/>
  <c r="HS57" i="71"/>
  <c r="HT57" i="71"/>
  <c r="IA49" i="71"/>
  <c r="IB49" i="71"/>
  <c r="AR288" i="71"/>
  <c r="AR289" i="71" s="1"/>
  <c r="AR310" i="71"/>
  <c r="AX267" i="71"/>
  <c r="AX301" i="71" s="1"/>
  <c r="AX313" i="71"/>
  <c r="AV309" i="71"/>
  <c r="AS288" i="71"/>
  <c r="AS289" i="71" s="1"/>
  <c r="AS293" i="71" s="1"/>
  <c r="AS294" i="71" s="1"/>
  <c r="AS295" i="71" s="1"/>
  <c r="AT286" i="71" a="1"/>
  <c r="AT286" i="71" s="1"/>
  <c r="AT287" i="71" s="1"/>
  <c r="HZ51" i="71" s="1"/>
  <c r="IF57" i="71"/>
  <c r="BB263" i="71"/>
  <c r="HR59" i="71" s="1"/>
  <c r="AW269" i="71"/>
  <c r="AW270" i="71" s="1"/>
  <c r="AW271" i="71" s="1"/>
  <c r="AW267" i="71"/>
  <c r="AW301" i="71" s="1"/>
  <c r="AW309" i="71" s="1"/>
  <c r="IF56" i="71"/>
  <c r="AZ264" i="71"/>
  <c r="AZ265" i="71" s="1"/>
  <c r="AZ313" i="71" s="1"/>
  <c r="AY264" i="71"/>
  <c r="AY265" i="71" s="1"/>
  <c r="AY269" i="71" s="1"/>
  <c r="AY270" i="71" s="1"/>
  <c r="AY271" i="71" s="1"/>
  <c r="AW266" i="71"/>
  <c r="AQ298" i="71"/>
  <c r="IG51" i="71"/>
  <c r="AT276" i="71"/>
  <c r="AT277" i="71" s="1"/>
  <c r="AU274" i="71" a="1"/>
  <c r="AU274" i="71" s="1"/>
  <c r="AU275" i="71" s="1"/>
  <c r="HV52" i="71" s="1"/>
  <c r="AS278" i="71"/>
  <c r="AS281" i="71"/>
  <c r="AS282" i="71" s="1"/>
  <c r="AS283" i="71" s="1"/>
  <c r="AS314" i="71"/>
  <c r="AS279" i="71"/>
  <c r="AS302" i="71" s="1"/>
  <c r="AS310" i="71" s="1"/>
  <c r="AS250" i="71" a="1"/>
  <c r="AS250" i="71" s="1"/>
  <c r="AS251" i="71" s="1"/>
  <c r="HN50" i="71" s="1"/>
  <c r="AQ299" i="71"/>
  <c r="AQ257" i="71"/>
  <c r="AQ258" i="71" s="1"/>
  <c r="AQ259" i="71" s="1"/>
  <c r="AQ312" i="71"/>
  <c r="AQ255" i="71"/>
  <c r="AQ300" i="71" s="1"/>
  <c r="AQ308" i="71" s="1"/>
  <c r="AQ254" i="71"/>
  <c r="HT59" i="71" l="1"/>
  <c r="HS59" i="71"/>
  <c r="AS315" i="71"/>
  <c r="IB51" i="71"/>
  <c r="IA51" i="71"/>
  <c r="HX52" i="71"/>
  <c r="HW52" i="71"/>
  <c r="AR315" i="71"/>
  <c r="AR293" i="71"/>
  <c r="AR294" i="71" s="1"/>
  <c r="AR295" i="71" s="1"/>
  <c r="AR290" i="71"/>
  <c r="AR291" i="71"/>
  <c r="AR303" i="71" s="1"/>
  <c r="AR311" i="71" s="1"/>
  <c r="HP50" i="71"/>
  <c r="HO50" i="71"/>
  <c r="AS290" i="71"/>
  <c r="AS291" i="71"/>
  <c r="AS303" i="71" s="1"/>
  <c r="AS311" i="71" s="1"/>
  <c r="IH50" i="71"/>
  <c r="AX309" i="71"/>
  <c r="AT288" i="71"/>
  <c r="AT289" i="71" s="1"/>
  <c r="AT291" i="71" s="1"/>
  <c r="AT303" i="71" s="1"/>
  <c r="AU286" i="71" a="1"/>
  <c r="AU286" i="71" s="1"/>
  <c r="AU287" i="71" s="1"/>
  <c r="HZ52" i="71" s="1"/>
  <c r="AS252" i="71"/>
  <c r="AS298" i="71" s="1"/>
  <c r="AR252" i="71"/>
  <c r="AR253" i="71" s="1"/>
  <c r="IE49" i="71" s="1"/>
  <c r="AZ269" i="71"/>
  <c r="AZ270" i="71" s="1"/>
  <c r="AZ271" i="71" s="1"/>
  <c r="AY266" i="71"/>
  <c r="AZ266" i="71"/>
  <c r="AY267" i="71"/>
  <c r="AY301" i="71" s="1"/>
  <c r="BA264" i="71"/>
  <c r="BA265" i="71" s="1"/>
  <c r="BA266" i="71" s="1"/>
  <c r="AZ267" i="71"/>
  <c r="AZ301" i="71" s="1"/>
  <c r="AZ309" i="71" s="1"/>
  <c r="AY313" i="71"/>
  <c r="AU276" i="71"/>
  <c r="AU277" i="71" s="1"/>
  <c r="IG52" i="71" s="1"/>
  <c r="AT281" i="71"/>
  <c r="AT282" i="71" s="1"/>
  <c r="AT283" i="71" s="1"/>
  <c r="AT278" i="71"/>
  <c r="AT279" i="71"/>
  <c r="AT302" i="71" s="1"/>
  <c r="AT314" i="71"/>
  <c r="AV274" i="71" a="1"/>
  <c r="AV274" i="71" s="1"/>
  <c r="AV275" i="71" s="1"/>
  <c r="HV53" i="71" s="1"/>
  <c r="AT250" i="71" a="1"/>
  <c r="AT250" i="71" s="1"/>
  <c r="AT251" i="71" s="1"/>
  <c r="HN51" i="71" s="1"/>
  <c r="HW53" i="71" l="1"/>
  <c r="HX53" i="71"/>
  <c r="IA52" i="71"/>
  <c r="IB52" i="71"/>
  <c r="AR298" i="71"/>
  <c r="HP51" i="71"/>
  <c r="HO51" i="71"/>
  <c r="AR299" i="71"/>
  <c r="AR312" i="71"/>
  <c r="AR255" i="71"/>
  <c r="AR300" i="71" s="1"/>
  <c r="AR308" i="71" s="1"/>
  <c r="AR254" i="71"/>
  <c r="AT315" i="71"/>
  <c r="AR257" i="71"/>
  <c r="AR258" i="71" s="1"/>
  <c r="AR259" i="71" s="1"/>
  <c r="AT290" i="71"/>
  <c r="IH51" i="71"/>
  <c r="AT311" i="71"/>
  <c r="AY309" i="71"/>
  <c r="AT310" i="71"/>
  <c r="IF58" i="71"/>
  <c r="AV286" i="71" a="1"/>
  <c r="AV286" i="71" s="1"/>
  <c r="AV287" i="71" s="1"/>
  <c r="HZ53" i="71" s="1"/>
  <c r="AS253" i="71"/>
  <c r="AS257" i="71" s="1"/>
  <c r="AS258" i="71" s="1"/>
  <c r="AS259" i="71" s="1"/>
  <c r="AU288" i="71"/>
  <c r="AU289" i="71" s="1"/>
  <c r="IH52" i="71" s="1"/>
  <c r="AT293" i="71"/>
  <c r="AT294" i="71" s="1"/>
  <c r="AT295" i="71" s="1"/>
  <c r="BB264" i="71"/>
  <c r="BB265" i="71" s="1"/>
  <c r="BA267" i="71"/>
  <c r="BA301" i="71" s="1"/>
  <c r="BA313" i="71"/>
  <c r="BA269" i="71"/>
  <c r="BA270" i="71" s="1"/>
  <c r="BA271" i="71" s="1"/>
  <c r="AU281" i="71"/>
  <c r="AU282" i="71" s="1"/>
  <c r="AU283" i="71" s="1"/>
  <c r="AU279" i="71"/>
  <c r="AU302" i="71" s="1"/>
  <c r="AU310" i="71" s="1"/>
  <c r="AU278" i="71"/>
  <c r="AU314" i="71"/>
  <c r="AV276" i="71"/>
  <c r="AV277" i="71" s="1"/>
  <c r="IG53" i="71" s="1"/>
  <c r="AW274" i="71" a="1"/>
  <c r="AW274" i="71" s="1"/>
  <c r="AW275" i="71" s="1"/>
  <c r="HV54" i="71" s="1"/>
  <c r="AT252" i="71"/>
  <c r="AT298" i="71" s="1"/>
  <c r="AU250" i="71" a="1"/>
  <c r="AU250" i="71" s="1"/>
  <c r="AU251" i="71" s="1"/>
  <c r="HN52" i="71" s="1"/>
  <c r="AS299" i="71" l="1"/>
  <c r="IB53" i="71"/>
  <c r="IA53" i="71"/>
  <c r="HX54" i="71"/>
  <c r="HW54" i="71"/>
  <c r="HO52" i="71"/>
  <c r="HP52" i="71"/>
  <c r="AS255" i="71"/>
  <c r="AS300" i="71" s="1"/>
  <c r="IE50" i="71"/>
  <c r="AS254" i="71"/>
  <c r="AU293" i="71"/>
  <c r="AU294" i="71" s="1"/>
  <c r="AU295" i="71" s="1"/>
  <c r="AS312" i="71"/>
  <c r="AU315" i="71"/>
  <c r="AU291" i="71"/>
  <c r="AU303" i="71" s="1"/>
  <c r="AU311" i="71" s="1"/>
  <c r="AU290" i="71"/>
  <c r="BA309" i="71"/>
  <c r="BB313" i="71"/>
  <c r="IF59" i="71"/>
  <c r="AW286" i="71" a="1"/>
  <c r="AW286" i="71" s="1"/>
  <c r="AW287" i="71" s="1"/>
  <c r="AV288" i="71"/>
  <c r="AV289" i="71" s="1"/>
  <c r="AV290" i="71" s="1"/>
  <c r="BB266" i="71"/>
  <c r="BB267" i="71"/>
  <c r="BB301" i="71" s="1"/>
  <c r="BB309" i="71" s="1"/>
  <c r="BB269" i="71"/>
  <c r="BB270" i="71" s="1"/>
  <c r="AT253" i="71"/>
  <c r="AV279" i="71"/>
  <c r="AV302" i="71" s="1"/>
  <c r="AV310" i="71" s="1"/>
  <c r="AV314" i="71"/>
  <c r="AV278" i="71"/>
  <c r="AV281" i="71"/>
  <c r="AV282" i="71" s="1"/>
  <c r="AV283" i="71" s="1"/>
  <c r="AW276" i="71"/>
  <c r="AW277" i="71" s="1"/>
  <c r="IG54" i="71" s="1"/>
  <c r="AX274" i="71" a="1"/>
  <c r="AX274" i="71" s="1"/>
  <c r="AX275" i="71" s="1"/>
  <c r="HV55" i="71" s="1"/>
  <c r="AU252" i="71"/>
  <c r="AU298" i="71" s="1"/>
  <c r="AV250" i="71" a="1"/>
  <c r="AV250" i="71" s="1"/>
  <c r="AV251" i="71" s="1"/>
  <c r="HN53" i="71" s="1"/>
  <c r="HZ54" i="71" l="1"/>
  <c r="IH54" i="71" s="1"/>
  <c r="HX55" i="71"/>
  <c r="HW55" i="71"/>
  <c r="HP53" i="71"/>
  <c r="HO53" i="71"/>
  <c r="AT255" i="71"/>
  <c r="AT300" i="71" s="1"/>
  <c r="IE51" i="71"/>
  <c r="IH53" i="71"/>
  <c r="AS308" i="71"/>
  <c r="AX286" i="71" a="1"/>
  <c r="AX286" i="71" s="1"/>
  <c r="AX287" i="71" s="1"/>
  <c r="HZ55" i="71" s="1"/>
  <c r="AV293" i="71"/>
  <c r="AV294" i="71" s="1"/>
  <c r="AV295" i="71" s="1"/>
  <c r="AV291" i="71"/>
  <c r="AV303" i="71" s="1"/>
  <c r="AV311" i="71" s="1"/>
  <c r="AV315" i="71"/>
  <c r="BB271" i="71"/>
  <c r="G297" i="71"/>
  <c r="AA102" i="72" s="1"/>
  <c r="AT299" i="71"/>
  <c r="AT257" i="71"/>
  <c r="AT258" i="71" s="1"/>
  <c r="AT259" i="71" s="1"/>
  <c r="AT254" i="71"/>
  <c r="AT312" i="71"/>
  <c r="AU253" i="71"/>
  <c r="AY274" i="71" a="1"/>
  <c r="AY274" i="71" s="1"/>
  <c r="AY275" i="71" s="1"/>
  <c r="HV56" i="71" s="1"/>
  <c r="AX276" i="71"/>
  <c r="AX277" i="71" s="1"/>
  <c r="IG55" i="71"/>
  <c r="AW278" i="71"/>
  <c r="AW281" i="71"/>
  <c r="AW282" i="71" s="1"/>
  <c r="AW283" i="71" s="1"/>
  <c r="AW314" i="71"/>
  <c r="AW279" i="71"/>
  <c r="AW302" i="71" s="1"/>
  <c r="AW310" i="71" s="1"/>
  <c r="AV252" i="71"/>
  <c r="AV298" i="71" s="1"/>
  <c r="AW250" i="71" a="1"/>
  <c r="AW250" i="71" s="1"/>
  <c r="AW251" i="71" s="1"/>
  <c r="HN54" i="71" s="1"/>
  <c r="IA55" i="71" l="1"/>
  <c r="IB55" i="71"/>
  <c r="HP54" i="71"/>
  <c r="HO54" i="71"/>
  <c r="HW56" i="71"/>
  <c r="HX56" i="71"/>
  <c r="IB54" i="71"/>
  <c r="IA54" i="71"/>
  <c r="AW288" i="71"/>
  <c r="AW289" i="71" s="1"/>
  <c r="AU254" i="71"/>
  <c r="IE52" i="71"/>
  <c r="AT308" i="71"/>
  <c r="AX288" i="71"/>
  <c r="AX289" i="71" s="1"/>
  <c r="IH55" i="71" s="1"/>
  <c r="AY286" i="71" a="1"/>
  <c r="AY286" i="71" s="1"/>
  <c r="AY287" i="71" s="1"/>
  <c r="E297" i="71"/>
  <c r="AA107" i="72" s="1"/>
  <c r="AA108" i="72" s="1"/>
  <c r="W105" i="72" s="1"/>
  <c r="W107" i="72" s="1"/>
  <c r="W109" i="72" s="1"/>
  <c r="K297" i="71"/>
  <c r="AA104" i="72" s="1"/>
  <c r="AA105" i="72" s="1"/>
  <c r="I297" i="71"/>
  <c r="AA103" i="72" s="1"/>
  <c r="AU255" i="71"/>
  <c r="AU300" i="71" s="1"/>
  <c r="AU308" i="71" s="1"/>
  <c r="AU299" i="71"/>
  <c r="AU312" i="71"/>
  <c r="AU257" i="71"/>
  <c r="AU258" i="71" s="1"/>
  <c r="AU259" i="71" s="1"/>
  <c r="AV253" i="71"/>
  <c r="AV312" i="71" s="1"/>
  <c r="AX290" i="71"/>
  <c r="AX293" i="71"/>
  <c r="AX294" i="71" s="1"/>
  <c r="AX295" i="71" s="1"/>
  <c r="AZ274" i="71" a="1"/>
  <c r="AZ274" i="71" s="1"/>
  <c r="AZ275" i="71" s="1"/>
  <c r="HV57" i="71" s="1"/>
  <c r="AX281" i="71"/>
  <c r="AX282" i="71" s="1"/>
  <c r="AX283" i="71" s="1"/>
  <c r="AX279" i="71"/>
  <c r="AX302" i="71" s="1"/>
  <c r="AX314" i="71"/>
  <c r="AX278" i="71"/>
  <c r="AY276" i="71"/>
  <c r="AY277" i="71" s="1"/>
  <c r="IG56" i="71"/>
  <c r="AW252" i="71"/>
  <c r="AW298" i="71" s="1"/>
  <c r="AX250" i="71" a="1"/>
  <c r="AX250" i="71" s="1"/>
  <c r="AX251" i="71" s="1"/>
  <c r="HN55" i="71" s="1"/>
  <c r="AW291" i="71" l="1"/>
  <c r="AW303" i="71" s="1"/>
  <c r="AW311" i="71" s="1"/>
  <c r="AW293" i="71"/>
  <c r="AW294" i="71" s="1"/>
  <c r="AW295" i="71" s="1"/>
  <c r="AW290" i="71"/>
  <c r="AW315" i="71"/>
  <c r="HO55" i="71"/>
  <c r="HP55" i="71"/>
  <c r="HZ56" i="71"/>
  <c r="HX57" i="71"/>
  <c r="HW57" i="71"/>
  <c r="AX310" i="71"/>
  <c r="AX291" i="71"/>
  <c r="AX303" i="71" s="1"/>
  <c r="IE53" i="71"/>
  <c r="AX315" i="71"/>
  <c r="AZ286" i="71" a="1"/>
  <c r="AZ286" i="71" s="1"/>
  <c r="AZ287" i="71" s="1"/>
  <c r="AA109" i="72"/>
  <c r="AV254" i="71"/>
  <c r="AV257" i="71"/>
  <c r="AV258" i="71" s="1"/>
  <c r="AV259" i="71" s="1"/>
  <c r="AV299" i="71"/>
  <c r="AV255" i="71"/>
  <c r="AV300" i="71" s="1"/>
  <c r="AV308" i="71" s="1"/>
  <c r="AW253" i="71"/>
  <c r="AY314" i="71"/>
  <c r="AY278" i="71"/>
  <c r="AY281" i="71"/>
  <c r="AY282" i="71" s="1"/>
  <c r="AY283" i="71" s="1"/>
  <c r="AY279" i="71"/>
  <c r="AY302" i="71" s="1"/>
  <c r="AY310" i="71" s="1"/>
  <c r="BA274" i="71" a="1"/>
  <c r="BA274" i="71" s="1"/>
  <c r="BA275" i="71" s="1"/>
  <c r="HV58" i="71" s="1"/>
  <c r="AZ276" i="71"/>
  <c r="AZ277" i="71" s="1"/>
  <c r="IG57" i="71" s="1"/>
  <c r="AY250" i="71" a="1"/>
  <c r="AY250" i="71" s="1"/>
  <c r="AY251" i="71" s="1"/>
  <c r="HN56" i="71" s="1"/>
  <c r="IB56" i="71" l="1"/>
  <c r="IA56" i="71"/>
  <c r="AY288" i="71"/>
  <c r="AY289" i="71" s="1"/>
  <c r="HX58" i="71"/>
  <c r="HW58" i="71"/>
  <c r="HP56" i="71"/>
  <c r="HO56" i="71"/>
  <c r="IH56" i="71"/>
  <c r="HZ57" i="71"/>
  <c r="AW255" i="71"/>
  <c r="AW300" i="71" s="1"/>
  <c r="IE54" i="71"/>
  <c r="AX311" i="71"/>
  <c r="BA286" i="71" a="1"/>
  <c r="BA286" i="71" s="1"/>
  <c r="BA287" i="71" s="1"/>
  <c r="AX252" i="71"/>
  <c r="AW299" i="71"/>
  <c r="AW254" i="71"/>
  <c r="AW312" i="71"/>
  <c r="AW257" i="71"/>
  <c r="AW258" i="71" s="1"/>
  <c r="AW259" i="71" s="1"/>
  <c r="AZ279" i="71"/>
  <c r="AZ302" i="71" s="1"/>
  <c r="AZ281" i="71"/>
  <c r="AZ282" i="71" s="1"/>
  <c r="AZ283" i="71" s="1"/>
  <c r="AZ278" i="71"/>
  <c r="AZ314" i="71"/>
  <c r="BA276" i="71"/>
  <c r="BA277" i="71" s="1"/>
  <c r="IG58" i="71" s="1"/>
  <c r="BB274" i="71" a="1"/>
  <c r="BB274" i="71" s="1"/>
  <c r="BB275" i="71" s="1"/>
  <c r="HV59" i="71" s="1"/>
  <c r="AY252" i="71"/>
  <c r="AY253" i="71" s="1"/>
  <c r="IE56" i="71" s="1"/>
  <c r="AZ250" i="71" a="1"/>
  <c r="AZ250" i="71" s="1"/>
  <c r="AZ251" i="71" s="1"/>
  <c r="HN57" i="71" s="1"/>
  <c r="KO10" i="79"/>
  <c r="KP10" i="79"/>
  <c r="LI10" i="79"/>
  <c r="LH10" i="79"/>
  <c r="LG10" i="79"/>
  <c r="IB57" i="71" l="1"/>
  <c r="IA57" i="71"/>
  <c r="AZ288" i="71"/>
  <c r="AZ289" i="71" s="1"/>
  <c r="HP57" i="71"/>
  <c r="HO57" i="71"/>
  <c r="HW59" i="71"/>
  <c r="HX59" i="71"/>
  <c r="IH57" i="71"/>
  <c r="AY293" i="71"/>
  <c r="AY294" i="71" s="1"/>
  <c r="AY295" i="71" s="1"/>
  <c r="AY290" i="71"/>
  <c r="AY315" i="71"/>
  <c r="AY291" i="71"/>
  <c r="AY303" i="71" s="1"/>
  <c r="AY311" i="71" s="1"/>
  <c r="HZ58" i="71"/>
  <c r="IH58" i="71" s="1"/>
  <c r="AZ310" i="71"/>
  <c r="AW308" i="71"/>
  <c r="AX298" i="71"/>
  <c r="AX253" i="71"/>
  <c r="IE55" i="71" s="1"/>
  <c r="BB286" i="71" a="1"/>
  <c r="BB286" i="71" s="1"/>
  <c r="BB287" i="71" s="1"/>
  <c r="BA281" i="71"/>
  <c r="BA282" i="71" s="1"/>
  <c r="BA283" i="71" s="1"/>
  <c r="BA314" i="71"/>
  <c r="BA279" i="71"/>
  <c r="BA302" i="71" s="1"/>
  <c r="BA310" i="71" s="1"/>
  <c r="BA278" i="71"/>
  <c r="AY298" i="71"/>
  <c r="BB276" i="71"/>
  <c r="BB277" i="71" s="1"/>
  <c r="IG59" i="71"/>
  <c r="BA250" i="71" a="1"/>
  <c r="BA250" i="71" s="1"/>
  <c r="BA251" i="71" s="1"/>
  <c r="HN58" i="71" s="1"/>
  <c r="AZ252" i="71"/>
  <c r="AZ298" i="71" s="1"/>
  <c r="AY254" i="71"/>
  <c r="AY299" i="71"/>
  <c r="AY312" i="71"/>
  <c r="AY255" i="71"/>
  <c r="AY300" i="71" s="1"/>
  <c r="AY257" i="71"/>
  <c r="AY258" i="71" s="1"/>
  <c r="AY259" i="71" s="1"/>
  <c r="HZ59" i="71" l="1"/>
  <c r="HO58" i="71"/>
  <c r="HP58" i="71"/>
  <c r="AZ315" i="71"/>
  <c r="AZ293" i="71"/>
  <c r="AZ294" i="71" s="1"/>
  <c r="AZ295" i="71" s="1"/>
  <c r="AZ290" i="71"/>
  <c r="AZ291" i="71"/>
  <c r="AZ303" i="71" s="1"/>
  <c r="AZ311" i="71" s="1"/>
  <c r="IA58" i="71"/>
  <c r="IB58" i="71"/>
  <c r="BA288" i="71"/>
  <c r="BA289" i="71" s="1"/>
  <c r="AY308" i="71"/>
  <c r="AX254" i="71"/>
  <c r="AX312" i="71"/>
  <c r="AX257" i="71"/>
  <c r="AX258" i="71" s="1"/>
  <c r="AX259" i="71" s="1"/>
  <c r="AX299" i="71"/>
  <c r="AX255" i="71"/>
  <c r="AX300" i="71" s="1"/>
  <c r="AX308" i="71" s="1"/>
  <c r="AZ253" i="71"/>
  <c r="BB278" i="71"/>
  <c r="BB314" i="71"/>
  <c r="BB281" i="71"/>
  <c r="BB282" i="71" s="1"/>
  <c r="BB283" i="71" s="1"/>
  <c r="BB279" i="71"/>
  <c r="BB302" i="71" s="1"/>
  <c r="BA252" i="71"/>
  <c r="BA298" i="71" s="1"/>
  <c r="BB250" i="71" a="1"/>
  <c r="BB250" i="71" s="1"/>
  <c r="BB251" i="71" s="1"/>
  <c r="HN59" i="71" s="1"/>
  <c r="AN30" i="76"/>
  <c r="BA293" i="71" l="1"/>
  <c r="BA294" i="71" s="1"/>
  <c r="BA295" i="71" s="1"/>
  <c r="BA290" i="71"/>
  <c r="BA291" i="71"/>
  <c r="BA303" i="71" s="1"/>
  <c r="BA311" i="71" s="1"/>
  <c r="BA315" i="71"/>
  <c r="HP59" i="71"/>
  <c r="HO59" i="71"/>
  <c r="IB59" i="71"/>
  <c r="IA59" i="71"/>
  <c r="IH59" i="71"/>
  <c r="BB288" i="71"/>
  <c r="BB289" i="71" s="1"/>
  <c r="AZ299" i="71"/>
  <c r="IE57" i="71"/>
  <c r="AZ254" i="71"/>
  <c r="AZ312" i="71"/>
  <c r="AZ257" i="71"/>
  <c r="AZ258" i="71" s="1"/>
  <c r="AZ259" i="71" s="1"/>
  <c r="AZ255" i="71"/>
  <c r="AZ300" i="71" s="1"/>
  <c r="AZ308" i="71" s="1"/>
  <c r="BA253" i="71"/>
  <c r="BB310" i="71"/>
  <c r="BB252" i="71"/>
  <c r="AM30" i="76"/>
  <c r="AL29" i="76"/>
  <c r="AM29" i="76"/>
  <c r="AN29" i="76"/>
  <c r="AL30" i="76"/>
  <c r="F2" i="77"/>
  <c r="BB315" i="71" l="1"/>
  <c r="BB290" i="71"/>
  <c r="BB293" i="71"/>
  <c r="BB294" i="71" s="1"/>
  <c r="BB295" i="71" s="1"/>
  <c r="E296" i="71" s="1"/>
  <c r="S107" i="72" s="1"/>
  <c r="S109" i="72" s="1"/>
  <c r="O105" i="72" s="1"/>
  <c r="BB291" i="71"/>
  <c r="BB303" i="71" s="1"/>
  <c r="BA254" i="71"/>
  <c r="IE58" i="71"/>
  <c r="QS10" i="79"/>
  <c r="QR10" i="79"/>
  <c r="Q14" i="77"/>
  <c r="K15" i="77"/>
  <c r="W15" i="77"/>
  <c r="Q15" i="77"/>
  <c r="W14" i="77"/>
  <c r="K14" i="77"/>
  <c r="X15" i="77"/>
  <c r="US10" i="79" s="1"/>
  <c r="R14" i="77"/>
  <c r="SR10" i="79" s="1"/>
  <c r="R15" i="77"/>
  <c r="SS10" i="79" s="1"/>
  <c r="X14" i="77"/>
  <c r="UR10" i="79" s="1"/>
  <c r="BA312" i="71"/>
  <c r="BA255" i="71"/>
  <c r="BA300" i="71" s="1"/>
  <c r="BA308" i="71" s="1"/>
  <c r="BA257" i="71"/>
  <c r="BA258" i="71" s="1"/>
  <c r="BA259" i="71" s="1"/>
  <c r="BA299" i="71"/>
  <c r="BB298" i="71"/>
  <c r="BB253" i="71"/>
  <c r="IE59" i="71" s="1"/>
  <c r="G21" i="77"/>
  <c r="UG10" i="79"/>
  <c r="SG10" i="79"/>
  <c r="G18" i="77"/>
  <c r="G19" i="77"/>
  <c r="G20" i="77"/>
  <c r="G22" i="77"/>
  <c r="G23" i="77"/>
  <c r="G24" i="77"/>
  <c r="QG10" i="79"/>
  <c r="G40" i="77"/>
  <c r="G46" i="77"/>
  <c r="G45" i="77"/>
  <c r="G44" i="77"/>
  <c r="Q40" i="77"/>
  <c r="TO10" i="79" s="1"/>
  <c r="G42" i="77"/>
  <c r="G43" i="77"/>
  <c r="W40" i="77"/>
  <c r="VO10" i="79" s="1"/>
  <c r="K40" i="77"/>
  <c r="RO10" i="79" s="1"/>
  <c r="G41" i="77"/>
  <c r="G296" i="71" l="1"/>
  <c r="BB311" i="71"/>
  <c r="O107" i="72"/>
  <c r="KM10" i="79"/>
  <c r="KV10" i="79"/>
  <c r="Y16" i="77"/>
  <c r="LA10" i="79"/>
  <c r="BB254" i="71"/>
  <c r="BB312" i="71"/>
  <c r="BB299" i="71"/>
  <c r="BB257" i="71"/>
  <c r="BB258" i="71" s="1"/>
  <c r="BB259" i="71" s="1"/>
  <c r="M297" i="71" s="1"/>
  <c r="W108" i="72" s="1"/>
  <c r="BB255" i="71"/>
  <c r="BB300" i="71" s="1"/>
  <c r="BB308" i="71" s="1"/>
  <c r="S40" i="77"/>
  <c r="S18" i="77"/>
  <c r="M40" i="77"/>
  <c r="M18" i="77"/>
  <c r="Y18" i="77"/>
  <c r="Y40" i="77"/>
  <c r="W35" i="77"/>
  <c r="VJ10" i="79" s="1"/>
  <c r="Q35" i="77"/>
  <c r="TJ10" i="79" s="1"/>
  <c r="K35" i="77"/>
  <c r="RJ10" i="79" s="1"/>
  <c r="K36" i="77"/>
  <c r="RK10" i="79" s="1"/>
  <c r="W36" i="77"/>
  <c r="VK10" i="79" s="1"/>
  <c r="Q36" i="77"/>
  <c r="TK10" i="79" s="1"/>
  <c r="S102" i="72" l="1"/>
  <c r="I296" i="71"/>
  <c r="S103" i="72" s="1"/>
  <c r="K296" i="71"/>
  <c r="S104" i="72" s="1"/>
  <c r="S105" i="72" s="1"/>
  <c r="M296" i="71"/>
  <c r="KQ10" i="79"/>
  <c r="UE10" i="79"/>
  <c r="S31" i="77"/>
  <c r="TV10" i="79" s="1"/>
  <c r="M31" i="77"/>
  <c r="RV10" i="79" s="1"/>
  <c r="R46" i="76" l="1"/>
  <c r="T46" i="76" s="1"/>
  <c r="R54" i="76"/>
  <c r="T54" i="76" s="1"/>
  <c r="T48" i="76" l="1"/>
  <c r="T50" i="76"/>
  <c r="T49" i="76"/>
  <c r="Y31" i="77"/>
  <c r="VV10" i="79" s="1"/>
  <c r="R62" i="76" l="1"/>
  <c r="T62" i="76" s="1"/>
  <c r="N37" i="77" l="1"/>
  <c r="RW10" i="79" s="1"/>
  <c r="T37" i="77"/>
  <c r="TW10" i="79" s="1"/>
  <c r="Z37" i="77"/>
  <c r="VW10" i="79" s="1"/>
  <c r="R63" i="76" l="1"/>
  <c r="R55" i="76"/>
  <c r="R47" i="76"/>
  <c r="T58" i="76" l="1"/>
  <c r="T57" i="76"/>
  <c r="T56" i="76"/>
  <c r="T67" i="76"/>
  <c r="T66" i="76"/>
  <c r="T65" i="76"/>
  <c r="T64" i="76"/>
  <c r="T60" i="76"/>
  <c r="T59" i="76"/>
  <c r="T68" i="76"/>
  <c r="SD10" i="79" l="1"/>
  <c r="QD10" i="79"/>
  <c r="UD10" i="79"/>
  <c r="UC10" i="79"/>
  <c r="QC10" i="79"/>
  <c r="SC10" i="79"/>
  <c r="M10" i="77" l="1"/>
  <c r="RC10" i="79" l="1"/>
  <c r="R20" i="76" l="1"/>
  <c r="S10" i="77"/>
  <c r="TC10" i="79" s="1"/>
  <c r="T20" i="76" l="1"/>
  <c r="R28" i="76"/>
  <c r="T28" i="76" s="1"/>
  <c r="Y10" i="77" l="1"/>
  <c r="VC10" i="79" s="1"/>
  <c r="R36" i="76" l="1"/>
  <c r="T36" i="76" l="1"/>
  <c r="N16" i="77" l="1"/>
  <c r="RD10" i="79" s="1"/>
  <c r="R21" i="76" l="1"/>
  <c r="T23" i="76" l="1"/>
  <c r="T22" i="76"/>
  <c r="T24" i="76"/>
  <c r="T52" i="76"/>
  <c r="T51" i="76"/>
  <c r="T26" i="76"/>
  <c r="T25" i="76"/>
  <c r="T16" i="77"/>
  <c r="TD10" i="79" s="1"/>
  <c r="R22" i="76" l="1"/>
  <c r="R29" i="76"/>
  <c r="T31" i="76" l="1"/>
  <c r="T30" i="76"/>
  <c r="T32" i="76"/>
  <c r="T34" i="76"/>
  <c r="T33" i="76"/>
  <c r="Z16" i="77"/>
  <c r="VD10" i="79" s="1"/>
  <c r="R30" i="76" l="1"/>
  <c r="R37" i="76"/>
  <c r="T38" i="76" l="1"/>
  <c r="T39" i="76"/>
  <c r="T41" i="76"/>
  <c r="T42" i="76"/>
  <c r="R48" i="76"/>
  <c r="R56" i="76"/>
  <c r="O31" i="77" l="1"/>
  <c r="RX10" i="79" s="1"/>
  <c r="U31" i="77"/>
  <c r="TX10" i="79" s="1"/>
  <c r="O10" i="77"/>
  <c r="RE10" i="79" s="1"/>
  <c r="U10" i="77" l="1"/>
  <c r="TE10" i="79" s="1"/>
  <c r="T40" i="76"/>
  <c r="R38" i="76" s="1"/>
  <c r="AA10" i="77" l="1"/>
  <c r="VE10" i="79" s="1"/>
  <c r="R64" i="76" l="1"/>
  <c r="AA31" i="77" l="1"/>
  <c r="VX10" i="79" s="1"/>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<sst xmlns="http://schemas.openxmlformats.org/spreadsheetml/2006/main" count="11591" uniqueCount="1917">
  <si>
    <t>GJ</t>
  </si>
  <si>
    <t/>
  </si>
  <si>
    <t>No.</t>
    <phoneticPr fontId="4"/>
  </si>
  <si>
    <t>日付</t>
    <rPh sb="0" eb="2">
      <t>ヒヅケ</t>
    </rPh>
    <phoneticPr fontId="4"/>
  </si>
  <si>
    <t>作業者</t>
    <rPh sb="0" eb="2">
      <t>サギョウ</t>
    </rPh>
    <rPh sb="2" eb="3">
      <t>シャ</t>
    </rPh>
    <phoneticPr fontId="4"/>
  </si>
  <si>
    <t>シート</t>
    <phoneticPr fontId="4"/>
  </si>
  <si>
    <t>セル範囲</t>
    <rPh sb="2" eb="4">
      <t>ハンイ</t>
    </rPh>
    <phoneticPr fontId="4"/>
  </si>
  <si>
    <t>内容</t>
    <rPh sb="0" eb="2">
      <t>ナイヨウ</t>
    </rPh>
    <phoneticPr fontId="4"/>
  </si>
  <si>
    <t>出澤</t>
    <rPh sb="0" eb="2">
      <t>デザワ</t>
    </rPh>
    <phoneticPr fontId="4"/>
  </si>
  <si>
    <t>全体</t>
    <rPh sb="0" eb="2">
      <t>ゼンタイ</t>
    </rPh>
    <phoneticPr fontId="4"/>
  </si>
  <si>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</si>
  <si>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t>
    <phoneticPr fontId="4"/>
  </si>
  <si>
    <t>セルの色分けルールの修正（４色→３色）</t>
    <rPh sb="3" eb="5">
      <t>イロワ</t>
    </rPh>
    <rPh sb="10" eb="12">
      <t>シュウセイ</t>
    </rPh>
    <rPh sb="14" eb="15">
      <t>ショク</t>
    </rPh>
    <rPh sb="17" eb="18">
      <t>ショク</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</si>
  <si>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</si>
  <si>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</si>
  <si>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B1</t>
    <phoneticPr fontId="4"/>
  </si>
  <si>
    <t>G1;H1</t>
    <phoneticPr fontId="4"/>
  </si>
  <si>
    <t>事業者ＩＤの欄を追加</t>
    <rPh sb="0" eb="3">
      <t>ジギョウシャ</t>
    </rPh>
    <rPh sb="6" eb="7">
      <t>ラン</t>
    </rPh>
    <rPh sb="8" eb="10">
      <t>ツイカ</t>
    </rPh>
    <phoneticPr fontId="2"/>
  </si>
  <si>
    <t>O9;O12</t>
    <phoneticPr fontId="4"/>
  </si>
  <si>
    <t>名前の定義を一部修正</t>
    <rPh sb="0" eb="2">
      <t>ナマエ</t>
    </rPh>
    <rPh sb="3" eb="5">
      <t>テイギ</t>
    </rPh>
    <rPh sb="6" eb="8">
      <t>イチブ</t>
    </rPh>
    <rPh sb="8" eb="10">
      <t>シュウセイ</t>
    </rPh>
    <phoneticPr fontId="4"/>
  </si>
  <si>
    <t>自動参照セルの関数設定</t>
    <rPh sb="0" eb="2">
      <t>ジドウ</t>
    </rPh>
    <rPh sb="2" eb="4">
      <t>サンショウ</t>
    </rPh>
    <rPh sb="7" eb="9">
      <t>カンスウ</t>
    </rPh>
    <rPh sb="9" eb="11">
      <t>セッテイ</t>
    </rPh>
    <phoneticPr fontId="4"/>
  </si>
  <si>
    <t>NDK（小堺）</t>
    <rPh sb="4" eb="6">
      <t>コサカイ</t>
    </rPh>
    <phoneticPr fontId="4"/>
  </si>
  <si>
    <t>参考1_評価結果</t>
    <phoneticPr fontId="4"/>
  </si>
  <si>
    <t>大規模事業者向け最新版（20250219版）から移植。中小規模事業者向けに評価に使用しない箇所は得点部分の計算式を消し、「ー」としている</t>
    <rPh sb="0" eb="7">
      <t>ダイキボジギョウシャム</t>
    </rPh>
    <rPh sb="8" eb="11">
      <t>サイシンバン</t>
    </rPh>
    <rPh sb="20" eb="21">
      <t>バン</t>
    </rPh>
    <rPh sb="24" eb="26">
      <t>イショク</t>
    </rPh>
    <rPh sb="27" eb="35">
      <t>チュウショウキボジギョウシャム</t>
    </rPh>
    <rPh sb="37" eb="39">
      <t>ヒョウカ</t>
    </rPh>
    <rPh sb="40" eb="42">
      <t>シヨウ</t>
    </rPh>
    <rPh sb="45" eb="47">
      <t>カショ</t>
    </rPh>
    <rPh sb="48" eb="50">
      <t>トクテン</t>
    </rPh>
    <rPh sb="50" eb="52">
      <t>ブブン</t>
    </rPh>
    <rPh sb="53" eb="56">
      <t>ケイサンシキ</t>
    </rPh>
    <rPh sb="57" eb="58">
      <t>ケ</t>
    </rPh>
    <phoneticPr fontId="4"/>
  </si>
  <si>
    <t>非表示_評価基準</t>
    <rPh sb="0" eb="3">
      <t>ヒヒョウジ</t>
    </rPh>
    <rPh sb="4" eb="6">
      <t>ヒョウカ</t>
    </rPh>
    <rPh sb="6" eb="8">
      <t>キジュン</t>
    </rPh>
    <phoneticPr fontId="4"/>
  </si>
  <si>
    <t>大規模事業者向け最新版（20250219版）から移植。中小規模事業者向けにパンフレット（2024/12/09版）における総合評価方法に則り式を修正</t>
    <rPh sb="27" eb="31">
      <t>チュウショウキボ</t>
    </rPh>
    <rPh sb="31" eb="34">
      <t>ジギョウシャ</t>
    </rPh>
    <rPh sb="34" eb="35">
      <t>ム</t>
    </rPh>
    <rPh sb="54" eb="55">
      <t>バン</t>
    </rPh>
    <rPh sb="60" eb="66">
      <t>ソウゴウヒョウカホウホウ</t>
    </rPh>
    <rPh sb="67" eb="68">
      <t>ノット</t>
    </rPh>
    <rPh sb="69" eb="70">
      <t>シキ</t>
    </rPh>
    <rPh sb="71" eb="73">
      <t>シュウセイ</t>
    </rPh>
    <phoneticPr fontId="4"/>
  </si>
  <si>
    <t>非表示_集計用シート</t>
    <rPh sb="0" eb="3">
      <t>ヒヒョウジ</t>
    </rPh>
    <rPh sb="4" eb="7">
      <t>シュウケイヨウ</t>
    </rPh>
    <phoneticPr fontId="4"/>
  </si>
  <si>
    <t>大規模事業者向け最新版（20250219版）から移植。表記に使用しなくても記載を許可している項目もあることや、集計用ファイルの共通化の観点から、大規模事業者用と同じ項目を集計している。</t>
    <rPh sb="27" eb="29">
      <t>ヒョウキ</t>
    </rPh>
    <rPh sb="30" eb="32">
      <t>シヨウ</t>
    </rPh>
    <rPh sb="37" eb="39">
      <t>キサイ</t>
    </rPh>
    <rPh sb="40" eb="42">
      <t>キョカ</t>
    </rPh>
    <rPh sb="46" eb="48">
      <t>コウモク</t>
    </rPh>
    <rPh sb="55" eb="58">
      <t>シュウケイヨウ</t>
    </rPh>
    <rPh sb="63" eb="66">
      <t>キョウツウカ</t>
    </rPh>
    <rPh sb="67" eb="69">
      <t>カンテン</t>
    </rPh>
    <rPh sb="72" eb="79">
      <t>ダイキボジギョウシャヨウ</t>
    </rPh>
    <rPh sb="80" eb="81">
      <t>オナ</t>
    </rPh>
    <rPh sb="82" eb="84">
      <t>コウモク</t>
    </rPh>
    <rPh sb="85" eb="87">
      <t>シュウケイ</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</si>
  <si>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</si>
  <si>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</si>
  <si>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</si>
  <si>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</si>
  <si>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t>
    <phoneticPr fontId="4"/>
  </si>
  <si>
    <t>ー</t>
    <phoneticPr fontId="4"/>
  </si>
  <si>
    <t>ステップ</t>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</si>
  <si>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</si>
  <si>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</si>
  <si>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</si>
  <si>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</si>
  <si>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</si>
  <si>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</si>
  <si>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</si>
  <si>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</si>
  <si>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</si>
  <si>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</si>
  <si>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</si>
  <si>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STEP2なし</t>
    <phoneticPr fontId="4"/>
  </si>
  <si>
    <t>a</t>
    <phoneticPr fontId="4"/>
  </si>
  <si>
    <t>大項目</t>
    <rPh sb="0" eb="3">
      <t>ダイコウモク</t>
    </rPh>
    <phoneticPr fontId="4"/>
  </si>
  <si>
    <t>小項目</t>
    <rPh sb="0" eb="3">
      <t>ショウコウモク</t>
    </rPh>
    <phoneticPr fontId="4"/>
  </si>
  <si>
    <t>産業部門</t>
    <rPh sb="0" eb="4">
      <t>サンギョウブモン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</si>
  <si>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</si>
  <si>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</si>
  <si>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</si>
  <si>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</si>
  <si>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①</t>
    <phoneticPr fontId="4"/>
  </si>
  <si>
    <t>短期削減率</t>
    <rPh sb="0" eb="5">
      <t>タンキサクゲンリツ</t>
    </rPh>
    <phoneticPr fontId="4"/>
  </si>
  <si>
    <t xml:space="preserve">
調整前</t>
    <rPh sb="1" eb="4">
      <t>チョウセイマエ</t>
    </rPh>
    <phoneticPr fontId="4"/>
  </si>
  <si>
    <t>評価基準の</t>
    <rPh sb="0" eb="4">
      <t>ヒョウカキジュン</t>
    </rPh>
    <phoneticPr fontId="4"/>
  </si>
  <si>
    <t>以上</t>
    <phoneticPr fontId="4"/>
  </si>
  <si>
    <t>年度</t>
    <rPh sb="0" eb="2">
      <t>ネンド</t>
    </rPh>
    <phoneticPr fontId="4"/>
  </si>
  <si>
    <t>産業部門</t>
    <rPh sb="0" eb="2">
      <t>サンギョウ</t>
    </rPh>
    <rPh sb="2" eb="4">
      <t>ブモン</t>
    </rPh>
    <phoneticPr fontId="4"/>
  </si>
  <si>
    <t>業務部門</t>
    <rPh sb="0" eb="4">
      <t>ギョウムブモン</t>
    </rPh>
    <phoneticPr fontId="4"/>
  </si>
  <si>
    <t>毎年度</t>
    <rPh sb="0" eb="3">
      <t>マイネンド</t>
    </rPh>
    <phoneticPr fontId="4"/>
  </si>
  <si>
    <t>基準</t>
    <rPh sb="0" eb="2">
      <t>キジュン</t>
    </rPh>
    <phoneticPr fontId="4"/>
  </si>
  <si>
    <t>産業部門</t>
    <rPh sb="0" eb="4">
      <t>サンギョウブモン</t>
    </rPh>
    <phoneticPr fontId="11"/>
  </si>
  <si>
    <t>業務部門</t>
    <rPh sb="0" eb="4">
      <t>ギョウムブモン</t>
    </rPh>
    <phoneticPr fontId="11"/>
  </si>
  <si>
    <t>運輸部門</t>
    <rPh sb="0" eb="2">
      <t>ウンユ</t>
    </rPh>
    <rPh sb="2" eb="4">
      <t>ブモン</t>
    </rPh>
    <phoneticPr fontId="11"/>
  </si>
  <si>
    <t>得点</t>
    <rPh sb="0" eb="2">
      <t>トクテン</t>
    </rPh>
    <phoneticPr fontId="4"/>
  </si>
  <si>
    <t>毎年度</t>
    <rPh sb="0" eb="1">
      <t>マイ</t>
    </rPh>
    <rPh sb="1" eb="3">
      <t>ネンド</t>
    </rPh>
    <phoneticPr fontId="11"/>
  </si>
  <si>
    <t>点</t>
    <rPh sb="0" eb="1">
      <t>テン</t>
    </rPh>
    <phoneticPr fontId="4"/>
  </si>
  <si>
    <t>より大きい</t>
    <phoneticPr fontId="4"/>
  </si>
  <si>
    <t>未満</t>
    <phoneticPr fontId="4"/>
  </si>
  <si>
    <t>点以上</t>
    <rPh sb="0" eb="1">
      <t>テン</t>
    </rPh>
    <rPh sb="1" eb="3">
      <t>イジョウ</t>
    </rPh>
    <phoneticPr fontId="4"/>
  </si>
  <si>
    <t>Class2</t>
    <phoneticPr fontId="4"/>
  </si>
  <si>
    <t>「1省エネ」の基準達成
「2再エネ等」の各評価項目のいずれかで基準達成
「3中長期取組1」の基準達成</t>
    <phoneticPr fontId="4"/>
  </si>
  <si>
    <t>Class2で3項目に該当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</si>
  <si>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</si>
  <si>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</si>
  <si>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</si>
  <si>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b</t>
    <phoneticPr fontId="4"/>
  </si>
  <si>
    <t>Class2で該当なし</t>
    <rPh sb="7" eb="9">
      <t>ガイトウ</t>
    </rPh>
    <phoneticPr fontId="4"/>
  </si>
  <si>
    <t>Class3</t>
    <phoneticPr fontId="4"/>
  </si>
  <si>
    <t>Class3かつ3項目に該当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</si>
  <si>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</si>
  <si>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</si>
  <si>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</si>
  <si>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c</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</si>
  <si>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</si>
  <si>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</si>
  <si>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</si>
  <si>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</si>
  <si>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</si>
  <si>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産業部門</t>
    <rPh sb="0" eb="3">
      <t>サンショウヨウ</t>
    </rPh>
    <rPh sb="4" eb="6">
      <t>サンギョウ</t>
    </rPh>
    <rPh sb="6" eb="8">
      <t>ブモン</t>
    </rPh>
    <phoneticPr fontId="4"/>
  </si>
  <si>
    <t>②</t>
    <phoneticPr fontId="4"/>
  </si>
  <si>
    <t>長期削減率</t>
    <rPh sb="0" eb="2">
      <t>チョウキ</t>
    </rPh>
    <rPh sb="2" eb="5">
      <t>サクゲンリツ</t>
    </rPh>
    <phoneticPr fontId="4"/>
  </si>
  <si>
    <t>調整前</t>
    <rPh sb="0" eb="3">
      <t>チョウセイマエ</t>
    </rPh>
    <phoneticPr fontId="4"/>
  </si>
  <si>
    <t>第１年度</t>
    <rPh sb="0" eb="1">
      <t>ダイ</t>
    </rPh>
    <rPh sb="2" eb="4">
      <t>ネンド</t>
    </rPh>
    <phoneticPr fontId="4"/>
  </si>
  <si>
    <t>ステップ１</t>
    <phoneticPr fontId="4"/>
  </si>
  <si>
    <t>ステップ２</t>
  </si>
  <si>
    <t>③高い削減目標の設定</t>
    <rPh sb="1" eb="2">
      <t>タカ</t>
    </rPh>
    <rPh sb="3" eb="7">
      <t>サクゲンモクヒョウ</t>
    </rPh>
    <rPh sb="8" eb="10">
      <t>セッテイ</t>
    </rPh>
    <phoneticPr fontId="4"/>
  </si>
  <si>
    <t>③高い削減目標の設定</t>
    <phoneticPr fontId="4"/>
  </si>
  <si>
    <t>第２年度</t>
    <rPh sb="0" eb="1">
      <t>ダイ</t>
    </rPh>
    <rPh sb="2" eb="4">
      <t>ネンド</t>
    </rPh>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</si>
  <si>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</si>
  <si>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</si>
  <si>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</si>
  <si>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事業者計画参加年度の判定</t>
    <rPh sb="0" eb="3">
      <t>ジギョウシャ</t>
    </rPh>
    <rPh sb="3" eb="5">
      <t>ケイカク</t>
    </rPh>
    <rPh sb="5" eb="9">
      <t>サンカネンド</t>
    </rPh>
    <rPh sb="10" eb="12">
      <t>ハンテイ</t>
    </rPh>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</si>
  <si>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</si>
  <si>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</si>
  <si>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</si>
  <si>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基準</t>
  </si>
  <si>
    <t>③</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</si>
  <si>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</si>
  <si>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</si>
  <si>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</si>
  <si>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</si>
  <si>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調整後</t>
    <phoneticPr fontId="4"/>
  </si>
  <si>
    <t>ステップ2</t>
    <phoneticPr fontId="4"/>
  </si>
  <si>
    <t>省エネ</t>
    <rPh sb="0" eb="1">
      <t>ショウ</t>
    </rPh>
    <phoneticPr fontId="4"/>
  </si>
  <si>
    <t>エネルギー消費原単位の削減率</t>
    <rPh sb="5" eb="10">
      <t>ショウヒゲンタンイ</t>
    </rPh>
    <rPh sb="11" eb="14">
      <t>サクゲンリツ</t>
    </rPh>
    <phoneticPr fontId="4"/>
  </si>
  <si>
    <t>年</t>
    <rPh sb="0" eb="1">
      <t>ネン</t>
    </rPh>
    <phoneticPr fontId="4"/>
  </si>
  <si>
    <t>以上削減</t>
    <rPh sb="0" eb="2">
      <t>イジョウ</t>
    </rPh>
    <rPh sb="2" eb="4">
      <t>サクゲン</t>
    </rPh>
    <phoneticPr fontId="4"/>
  </si>
  <si>
    <t>○</t>
    <phoneticPr fontId="4"/>
  </si>
  <si>
    <t>第３年度</t>
    <rPh sb="0" eb="1">
      <t>ダイ</t>
    </rPh>
    <rPh sb="2" eb="4">
      <t>ネンド</t>
    </rPh>
    <phoneticPr fontId="4"/>
  </si>
  <si>
    <t>年</t>
    <phoneticPr fontId="5"/>
  </si>
  <si>
    <t>未満削減</t>
    <rPh sb="0" eb="4">
      <t>ミマンサクゲン</t>
    </rPh>
    <phoneticPr fontId="4"/>
  </si>
  <si>
    <t>✕</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</si>
  <si>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</si>
  <si>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</si>
  <si>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</si>
  <si>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以上</t>
    <rPh sb="0" eb="2">
      <t>イジョウ</t>
    </rPh>
    <phoneticPr fontId="4"/>
  </si>
  <si>
    <t>2.使用電力の再エネ電源比率・契約電力のCO₂排出係数</t>
    <phoneticPr fontId="4"/>
  </si>
  <si>
    <t>未満</t>
    <rPh sb="0" eb="2">
      <t>ミマン</t>
    </rPh>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</si>
  <si>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</si>
  <si>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</si>
  <si>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</si>
  <si>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</si>
  <si>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</si>
  <si>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台以上</t>
    <rPh sb="0" eb="3">
      <t>ダイイジョウ</t>
    </rPh>
    <phoneticPr fontId="4"/>
  </si>
  <si>
    <t>報告年度</t>
    <rPh sb="0" eb="4">
      <t>ホウコクネンド</t>
    </rPh>
    <phoneticPr fontId="4"/>
  </si>
  <si>
    <t>台未満</t>
    <rPh sb="0" eb="1">
      <t>ダイ</t>
    </rPh>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</si>
  <si>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</si>
  <si>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</si>
  <si>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</si>
  <si>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</si>
  <si>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</si>
  <si>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</si>
  <si>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</si>
  <si>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</si>
  <si>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</si>
  <si>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</si>
  <si>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</si>
  <si>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</si>
  <si>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</si>
  <si>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4.中長期取組2</t>
    <phoneticPr fontId="4"/>
  </si>
  <si>
    <t>サプライチェーン全体での削減の取組</t>
    <phoneticPr fontId="4"/>
  </si>
  <si>
    <t>項目</t>
    <rPh sb="0" eb="2">
      <t>コウモク</t>
    </rPh>
    <phoneticPr fontId="4"/>
  </si>
  <si>
    <t>目標年度</t>
    <rPh sb="0" eb="4">
      <t>モクヒョウネンド</t>
    </rPh>
    <phoneticPr fontId="4"/>
  </si>
  <si>
    <t>第2年度</t>
    <rPh sb="0" eb="1">
      <t>ダイ</t>
    </rPh>
    <rPh sb="2" eb="4">
      <t>ネンド</t>
    </rPh>
    <phoneticPr fontId="4"/>
  </si>
  <si>
    <t>第3年度</t>
    <rPh sb="0" eb="1">
      <t>ダイ</t>
    </rPh>
    <rPh sb="2" eb="4">
      <t>ネンド</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</si>
  <si>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</si>
  <si>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</si>
  <si>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</si>
  <si>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その他</t>
    <rPh sb="2" eb="3">
      <t>ホカ</t>
    </rPh>
    <phoneticPr fontId="4"/>
  </si>
  <si>
    <t>（非表示）マクロ集計用シート</t>
    <rPh sb="1" eb="4">
      <t>ヒヒョウジ</t>
    </rPh>
    <rPh sb="8" eb="11">
      <t>シュウケイヨウ</t>
    </rPh>
    <phoneticPr fontId="4"/>
  </si>
  <si>
    <t>シート名称</t>
    <rPh sb="3" eb="5">
      <t>メイショウ</t>
    </rPh>
    <phoneticPr fontId="4"/>
  </si>
  <si>
    <t>B2</t>
    <phoneticPr fontId="4"/>
  </si>
  <si>
    <t>項目等</t>
    <rPh sb="0" eb="2">
      <t>コウモク</t>
    </rPh>
    <rPh sb="2" eb="3">
      <t>ナド</t>
    </rPh>
    <phoneticPr fontId="4"/>
  </si>
  <si>
    <t>１　事業者の名称等</t>
    <phoneticPr fontId="4"/>
  </si>
  <si>
    <t>(１)　比較年度等におけるエネルギー起源二酸化炭素の排出の量</t>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</si>
  <si>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</si>
  <si>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</si>
  <si>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</si>
  <si>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開始年度</t>
    <rPh sb="0" eb="2">
      <t>カイシ</t>
    </rPh>
    <rPh sb="2" eb="4">
      <t>ネンド</t>
    </rPh>
    <phoneticPr fontId="4"/>
  </si>
  <si>
    <t>終了年度</t>
    <rPh sb="0" eb="2">
      <t>シュウリョウ</t>
    </rPh>
    <rPh sb="2" eb="4">
      <t>ネンド</t>
    </rPh>
    <phoneticPr fontId="4"/>
  </si>
  <si>
    <t>基準年度</t>
    <rPh sb="0" eb="2">
      <t>キジュン</t>
    </rPh>
    <rPh sb="2" eb="4">
      <t>ネンド</t>
    </rPh>
    <phoneticPr fontId="4"/>
  </si>
  <si>
    <t>④</t>
    <phoneticPr fontId="4"/>
  </si>
  <si>
    <t>⑤</t>
    <phoneticPr fontId="4"/>
  </si>
  <si>
    <t>⑥</t>
    <phoneticPr fontId="4"/>
  </si>
  <si>
    <t>⑦</t>
    <phoneticPr fontId="4"/>
  </si>
  <si>
    <t>⑧</t>
    <phoneticPr fontId="4"/>
  </si>
  <si>
    <t>⑨</t>
    <phoneticPr fontId="4"/>
  </si>
  <si>
    <t>⑩</t>
    <phoneticPr fontId="4"/>
  </si>
  <si>
    <t>比較年度</t>
    <phoneticPr fontId="4"/>
  </si>
  <si>
    <t>基準年度の前々年度</t>
    <phoneticPr fontId="4"/>
  </si>
  <si>
    <t>基準年度の前年度</t>
    <phoneticPr fontId="4"/>
  </si>
  <si>
    <t>Ａシート</t>
    <phoneticPr fontId="4"/>
  </si>
  <si>
    <t>A1</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</si>
  <si>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</si>
  <si>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</si>
  <si>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</si>
  <si>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</si>
  <si>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</si>
  <si>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</si>
  <si>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</si>
  <si>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F196</t>
    <phoneticPr fontId="4"/>
  </si>
  <si>
    <t>F382</t>
    <phoneticPr fontId="4"/>
  </si>
  <si>
    <t>F568</t>
    <phoneticPr fontId="4"/>
  </si>
  <si>
    <t>区分（大規模）</t>
    <phoneticPr fontId="4"/>
  </si>
  <si>
    <t>□</t>
    <phoneticPr fontId="4"/>
  </si>
  <si>
    <t>■</t>
    <phoneticPr fontId="4"/>
  </si>
  <si>
    <t>H12</t>
  </si>
  <si>
    <t>区分（中小）</t>
    <rPh sb="3" eb="5">
      <t>チュウショウ</t>
    </rPh>
    <phoneticPr fontId="4"/>
  </si>
  <si>
    <t>J11</t>
    <phoneticPr fontId="4"/>
  </si>
  <si>
    <t>Bシート</t>
    <phoneticPr fontId="4"/>
  </si>
  <si>
    <t>１　事業者の名称等</t>
  </si>
  <si>
    <t>条例施行規則第２条第１項
各号のうち該当する号等</t>
    <phoneticPr fontId="4"/>
  </si>
  <si>
    <t>E23</t>
    <phoneticPr fontId="4"/>
  </si>
  <si>
    <t>E24</t>
    <phoneticPr fontId="4"/>
  </si>
  <si>
    <t>E25</t>
    <phoneticPr fontId="4"/>
  </si>
  <si>
    <t>I23</t>
    <phoneticPr fontId="4"/>
  </si>
  <si>
    <t>産業</t>
    <rPh sb="0" eb="2">
      <t>サンギョウ</t>
    </rPh>
    <phoneticPr fontId="4"/>
  </si>
  <si>
    <t>業務</t>
    <rPh sb="0" eb="2">
      <t>ギョウム</t>
    </rPh>
    <phoneticPr fontId="4"/>
  </si>
  <si>
    <t>I24</t>
    <phoneticPr fontId="4"/>
  </si>
  <si>
    <t xml:space="preserve"> </t>
    <phoneticPr fontId="4"/>
  </si>
  <si>
    <t>I25</t>
    <phoneticPr fontId="4"/>
  </si>
  <si>
    <t>運輸</t>
    <rPh sb="0" eb="2">
      <t>ウンユ</t>
    </rPh>
    <phoneticPr fontId="4"/>
  </si>
  <si>
    <t>主たる事業の業種</t>
  </si>
  <si>
    <t>E26</t>
    <phoneticPr fontId="4"/>
  </si>
  <si>
    <t>A 農業,林業</t>
    <rPh sb="2" eb="4">
      <t>ノウギョウ</t>
    </rPh>
    <rPh sb="5" eb="7">
      <t>リンギョウ</t>
    </rPh>
    <phoneticPr fontId="5"/>
  </si>
  <si>
    <t>B 漁業</t>
    <rPh sb="2" eb="4">
      <t>ギョギョウ</t>
    </rPh>
    <phoneticPr fontId="5"/>
  </si>
  <si>
    <t>C 鉱業,採石業,砂利採取業</t>
    <rPh sb="2" eb="4">
      <t>コウギョウ</t>
    </rPh>
    <rPh sb="5" eb="7">
      <t>サイセキ</t>
    </rPh>
    <rPh sb="7" eb="8">
      <t>ギョウ</t>
    </rPh>
    <rPh sb="9" eb="11">
      <t>ジャリ</t>
    </rPh>
    <rPh sb="11" eb="13">
      <t>サイシュ</t>
    </rPh>
    <rPh sb="13" eb="14">
      <t>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</si>
  <si>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</si>
  <si>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</si>
  <si>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</si>
  <si>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</si>
  <si>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</si>
  <si>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</si>
  <si>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</si>
  <si>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</si>
  <si>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</si>
  <si>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</si>
  <si>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</si>
  <si>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</si>
  <si>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</si>
  <si>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</si>
  <si>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</si>
  <si>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</si>
  <si>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T 分類不能の産業</t>
    <phoneticPr fontId="4"/>
  </si>
  <si>
    <t>E27</t>
    <phoneticPr fontId="4"/>
  </si>
  <si>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</si>
  <si>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</si>
  <si>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</si>
  <si>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</si>
  <si>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</si>
  <si>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</si>
  <si>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</si>
  <si>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</si>
  <si>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</si>
  <si>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</si>
  <si>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</si>
  <si>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</si>
  <si>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</si>
  <si>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</si>
  <si>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</si>
  <si>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</si>
  <si>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</si>
  <si>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</si>
  <si>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</si>
  <si>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</si>
  <si>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01 農業</t>
    <phoneticPr fontId="5"/>
  </si>
  <si>
    <t>03 漁業</t>
    <phoneticPr fontId="5"/>
  </si>
  <si>
    <t>05 鉱業，採石業，砂利採取業</t>
    <phoneticPr fontId="5"/>
  </si>
  <si>
    <t>06 総合工事業</t>
    <phoneticPr fontId="5"/>
  </si>
  <si>
    <t>09 食料品製造業</t>
    <phoneticPr fontId="5"/>
  </si>
  <si>
    <t>33 電気業</t>
    <phoneticPr fontId="5"/>
  </si>
  <si>
    <t>37 通信業</t>
    <phoneticPr fontId="5"/>
  </si>
  <si>
    <t>42 鉄道業</t>
    <phoneticPr fontId="5"/>
  </si>
  <si>
    <t>50 各種商品卸売業</t>
    <phoneticPr fontId="5"/>
  </si>
  <si>
    <t>62 銀行業</t>
    <phoneticPr fontId="5"/>
  </si>
  <si>
    <t>68 不動産取引業</t>
    <phoneticPr fontId="5"/>
  </si>
  <si>
    <t>71 学術・開発研究機関</t>
    <phoneticPr fontId="5"/>
  </si>
  <si>
    <t>75 宿泊業</t>
    <phoneticPr fontId="5"/>
  </si>
  <si>
    <t>78 洗濯・理容・美容・浴場業</t>
    <phoneticPr fontId="5"/>
  </si>
  <si>
    <t>81 学校教育</t>
    <phoneticPr fontId="5"/>
  </si>
  <si>
    <t>83 医療業</t>
    <phoneticPr fontId="5"/>
  </si>
  <si>
    <t>86 郵便局</t>
    <phoneticPr fontId="5"/>
  </si>
  <si>
    <t>88 廃棄物処理業</t>
    <phoneticPr fontId="5"/>
  </si>
  <si>
    <t>97 国家公務</t>
    <phoneticPr fontId="5"/>
  </si>
  <si>
    <t>99 分類不能の産業</t>
    <phoneticPr fontId="5"/>
  </si>
  <si>
    <t>02 林業</t>
    <phoneticPr fontId="5"/>
  </si>
  <si>
    <t>04 水産養殖業</t>
    <phoneticPr fontId="5"/>
  </si>
  <si>
    <t>07 職別工事業</t>
    <phoneticPr fontId="5"/>
  </si>
  <si>
    <t>10 飲料・たばこ・飼料製造業</t>
    <phoneticPr fontId="5"/>
  </si>
  <si>
    <t>34 ガス業</t>
    <phoneticPr fontId="5"/>
  </si>
  <si>
    <t>38 放送業</t>
    <phoneticPr fontId="5"/>
  </si>
  <si>
    <t>43 道路旅客運送業</t>
    <phoneticPr fontId="5"/>
  </si>
  <si>
    <t>51 繊維・衣服等卸売業</t>
    <phoneticPr fontId="5"/>
  </si>
  <si>
    <t>63 協同組織金融業</t>
    <phoneticPr fontId="5"/>
  </si>
  <si>
    <t>69 不動産賃貸業・管理業</t>
    <phoneticPr fontId="5"/>
  </si>
  <si>
    <t>72 専門サービス業</t>
    <phoneticPr fontId="5"/>
  </si>
  <si>
    <t>76 飲食店</t>
    <phoneticPr fontId="5"/>
  </si>
  <si>
    <t>79 その他の生活関連サービス業</t>
    <phoneticPr fontId="5"/>
  </si>
  <si>
    <t>82 その他の教育，学習支援業</t>
    <phoneticPr fontId="5"/>
  </si>
  <si>
    <t>84 保健衛生</t>
    <phoneticPr fontId="5"/>
  </si>
  <si>
    <t>87 協同組合</t>
    <phoneticPr fontId="5"/>
  </si>
  <si>
    <t>89 自動車整備業</t>
    <phoneticPr fontId="5"/>
  </si>
  <si>
    <t>98 地方公務</t>
    <phoneticPr fontId="5"/>
  </si>
  <si>
    <t>08 設備工事業</t>
    <phoneticPr fontId="5"/>
  </si>
  <si>
    <t>11 繊維工業</t>
    <phoneticPr fontId="5"/>
  </si>
  <si>
    <t>35 熱供給業</t>
    <phoneticPr fontId="5"/>
  </si>
  <si>
    <t>39 情報サービス業</t>
    <phoneticPr fontId="5"/>
  </si>
  <si>
    <t>44 道路貨物運送業</t>
    <phoneticPr fontId="5"/>
  </si>
  <si>
    <t>52 飲食料品卸売業</t>
    <phoneticPr fontId="5"/>
  </si>
  <si>
    <t>64 貸金業，クレジットカード業等非預金信用機関</t>
    <phoneticPr fontId="5"/>
  </si>
  <si>
    <t>70 物品賃貸業</t>
    <phoneticPr fontId="5"/>
  </si>
  <si>
    <t>73 広告業</t>
    <phoneticPr fontId="5"/>
  </si>
  <si>
    <t>77 持ち帰り・配達飲食サービス業</t>
    <phoneticPr fontId="5"/>
  </si>
  <si>
    <t>80 娯楽業</t>
    <phoneticPr fontId="5"/>
  </si>
  <si>
    <t>85 社会保険・社会福祉・介護事業</t>
    <phoneticPr fontId="5"/>
  </si>
  <si>
    <t>90 機械等修理業</t>
    <phoneticPr fontId="5"/>
  </si>
  <si>
    <t>12 木材・木製品製造業</t>
    <phoneticPr fontId="5"/>
  </si>
  <si>
    <t>36 水道業</t>
    <phoneticPr fontId="5"/>
  </si>
  <si>
    <t>40 インターネット附随サービス業</t>
    <phoneticPr fontId="5"/>
  </si>
  <si>
    <t>45 水運業</t>
    <phoneticPr fontId="5"/>
  </si>
  <si>
    <t>53 建築材料，鉱物・金属材料等卸売業</t>
    <phoneticPr fontId="5"/>
  </si>
  <si>
    <t>65 金融商品取引業，商品先物取引業</t>
    <phoneticPr fontId="5"/>
  </si>
  <si>
    <t>74 技術サービス業</t>
    <phoneticPr fontId="5"/>
  </si>
  <si>
    <t>91 職業紹介・労働者派遣業</t>
    <phoneticPr fontId="5"/>
  </si>
  <si>
    <t>13 家具・装備品製造業</t>
    <phoneticPr fontId="5"/>
  </si>
  <si>
    <t>41 映像・音声・文字情報制作業</t>
    <phoneticPr fontId="5"/>
  </si>
  <si>
    <t>46 航空運輸業</t>
    <phoneticPr fontId="5"/>
  </si>
  <si>
    <t>54 機械器具卸売業</t>
    <phoneticPr fontId="5"/>
  </si>
  <si>
    <t>66 補助的金融業等</t>
    <phoneticPr fontId="5"/>
  </si>
  <si>
    <t>92 その他の事業サービス業</t>
    <phoneticPr fontId="5"/>
  </si>
  <si>
    <t>14 パルプ・紙・紙加工品製造業</t>
    <phoneticPr fontId="5"/>
  </si>
  <si>
    <t>47 倉庫業</t>
    <phoneticPr fontId="5"/>
  </si>
  <si>
    <t>55 その他の卸売業</t>
    <phoneticPr fontId="5"/>
  </si>
  <si>
    <t>67 保険業</t>
    <phoneticPr fontId="5"/>
  </si>
  <si>
    <t>93 政治・経済・文化団体</t>
    <phoneticPr fontId="5"/>
  </si>
  <si>
    <t>15 印刷・同関連業</t>
    <phoneticPr fontId="5"/>
  </si>
  <si>
    <t>48 運輸に附帯するサービス業</t>
    <phoneticPr fontId="5"/>
  </si>
  <si>
    <t>56 各種商品小売業</t>
    <phoneticPr fontId="5"/>
  </si>
  <si>
    <t>94 宗教</t>
    <phoneticPr fontId="5"/>
  </si>
  <si>
    <t>16 化学工業</t>
    <phoneticPr fontId="5"/>
  </si>
  <si>
    <t>49 郵便業</t>
    <phoneticPr fontId="5"/>
  </si>
  <si>
    <t>57 織物・衣服・身の回り品小売業</t>
    <phoneticPr fontId="5"/>
  </si>
  <si>
    <t>95 その他のサービス業</t>
    <phoneticPr fontId="5"/>
  </si>
  <si>
    <t>17 石油製品・石炭製品製造業</t>
    <phoneticPr fontId="5"/>
  </si>
  <si>
    <t>58 飲食料品小売業</t>
    <phoneticPr fontId="5"/>
  </si>
  <si>
    <t>96 外国公務</t>
    <phoneticPr fontId="5"/>
  </si>
  <si>
    <t>18 プラスチック製品製造業</t>
    <phoneticPr fontId="5"/>
  </si>
  <si>
    <t>59 機械器具小売業</t>
    <phoneticPr fontId="5"/>
  </si>
  <si>
    <t>19 ゴム製品製造業</t>
    <phoneticPr fontId="5"/>
  </si>
  <si>
    <t>60 その他の小売業</t>
    <phoneticPr fontId="5"/>
  </si>
  <si>
    <t>20 なめし革・同製品・毛皮製造業</t>
    <phoneticPr fontId="5"/>
  </si>
  <si>
    <t>61 無店舗小売業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</si>
  <si>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</si>
  <si>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</si>
  <si>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</si>
  <si>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</si>
  <si>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</si>
  <si>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</si>
  <si>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</si>
  <si>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</si>
  <si>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</si>
  <si>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</si>
  <si>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</si>
  <si>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</si>
  <si>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２　事業の規模等</t>
  </si>
  <si>
    <t>I32</t>
    <phoneticPr fontId="4"/>
  </si>
  <si>
    <t>I33</t>
  </si>
  <si>
    <t>I34</t>
  </si>
  <si>
    <t>I35</t>
  </si>
  <si>
    <t>３　計画期間</t>
  </si>
  <si>
    <t>C39</t>
    <phoneticPr fontId="4"/>
  </si>
  <si>
    <t>B2シート</t>
    <phoneticPr fontId="4"/>
  </si>
  <si>
    <t>D10</t>
    <phoneticPr fontId="4"/>
  </si>
  <si>
    <t>(３)　温室効果ガスの排出の量の削減を図るための主な対策</t>
  </si>
  <si>
    <t>B31~35</t>
    <phoneticPr fontId="4"/>
  </si>
  <si>
    <t>運用対策</t>
    <phoneticPr fontId="4"/>
  </si>
  <si>
    <t>設備導入等対策</t>
    <phoneticPr fontId="4"/>
  </si>
  <si>
    <t>その他の対策</t>
    <phoneticPr fontId="4"/>
  </si>
  <si>
    <t>実施した</t>
    <phoneticPr fontId="4"/>
  </si>
  <si>
    <t>一部実施した</t>
    <phoneticPr fontId="4"/>
  </si>
  <si>
    <t>実施しなかった</t>
    <phoneticPr fontId="4"/>
  </si>
  <si>
    <t>５－２　温室効果ガスの排出の量及び当該量の削減に係る事項（第３号該当事業者）</t>
  </si>
  <si>
    <t>(１)　比較年度等におけるエネルギー起源二酸化炭素の排出の量</t>
  </si>
  <si>
    <t>D56</t>
    <phoneticPr fontId="4"/>
  </si>
  <si>
    <t>B77~81</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</si>
  <si>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</si>
  <si>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</si>
  <si>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</si>
  <si>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</si>
  <si>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</si>
  <si>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</si>
  <si>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</si>
  <si>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</si>
  <si>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</si>
  <si>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</si>
  <si>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</si>
  <si>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</si>
  <si>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</si>
  <si>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</si>
  <si>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</si>
  <si>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</si>
  <si>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</si>
  <si>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</si>
  <si>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</si>
  <si>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</si>
  <si>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</si>
  <si>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</si>
  <si>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</si>
  <si>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</si>
  <si>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</si>
  <si>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</si>
  <si>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</si>
  <si>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未定</t>
  </si>
  <si>
    <t>F155</t>
    <phoneticPr fontId="4"/>
  </si>
  <si>
    <t>(３)　SBT等イニシアティブに関する取組（対象年度末時点）</t>
  </si>
  <si>
    <t>未定</t>
    <rPh sb="0" eb="2">
      <t>ミテイ</t>
    </rPh>
    <phoneticPr fontId="4"/>
  </si>
  <si>
    <t>(４)　サプライチェーン全体での削減の取組</t>
  </si>
  <si>
    <t>実施しなかった</t>
  </si>
  <si>
    <t>９　地域の地球温暖化対策の推進への貢献に係る事項</t>
  </si>
  <si>
    <t>メモ</t>
    <phoneticPr fontId="4"/>
  </si>
  <si>
    <t>優先度</t>
    <rPh sb="0" eb="3">
      <t>ユウセンド</t>
    </rPh>
    <phoneticPr fontId="4"/>
  </si>
  <si>
    <t>ステータス</t>
    <phoneticPr fontId="4"/>
  </si>
  <si>
    <t>備考</t>
    <rPh sb="0" eb="2">
      <t>ビコウ</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</si>
  <si>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</si>
  <si>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</si>
  <si>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</si>
  <si>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</si>
  <si>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</si>
  <si>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</si>
  <si>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</si>
  <si>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</si>
  <si>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</si>
  <si>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</si>
  <si>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</si>
  <si>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</si>
  <si>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</si>
  <si>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</si>
  <si>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</si>
  <si>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</si>
  <si>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</si>
  <si>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</si>
  <si>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A4</t>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</si>
  <si>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</si>
  <si>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</si>
  <si>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</si>
  <si>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</si>
  <si>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</si>
  <si>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</si>
  <si>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</si>
  <si>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</si>
  <si>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</si>
  <si>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その他</t>
    <rPh sb="2" eb="3">
      <t>タ</t>
    </rPh>
    <phoneticPr fontId="4"/>
  </si>
  <si>
    <t>コピーデータ貼付けシート（2025年度提出用）</t>
    <rPh sb="6" eb="8">
      <t>ハリツ</t>
    </rPh>
    <rPh sb="17" eb="19">
      <t>ネンド</t>
    </rPh>
    <rPh sb="19" eb="21">
      <t>テイシュツ</t>
    </rPh>
    <rPh sb="21" eb="22">
      <t>ヨウ</t>
    </rPh>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</si>
  <si>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</si>
  <si>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</si>
  <si>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</si>
  <si>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　①工場等の名称が変更になった場合は、過年度と同じ工場等Noとなるようにプルダウンで並び替えてください。</t>
    <rPh sb="2" eb="4">
      <t>コウジョウ</t>
    </rPh>
    <rPh sb="4" eb="5">
      <t>トウ</t>
    </rPh>
    <phoneticPr fontId="4"/>
  </si>
  <si>
    <r>
      <rPr>
        <sz val="14"/>
        <rFont val="Yu Gothic"/>
        <family val="3"/>
        <charset val="128"/>
        <scheme val="minor"/>
      </rPr>
      <t>⇒</t>
    </r>
    <r>
      <rPr>
        <sz val="11"/>
        <color theme="1"/>
        <rFont val="Yu Gothic"/>
        <family val="2"/>
        <scheme val="minor"/>
      </rPr>
      <t/>
    </r>
    <phoneticPr fontId="4"/>
  </si>
  <si>
    <t>事業所名</t>
    <rPh sb="0" eb="2">
      <t>ジギョウ</t>
    </rPh>
    <rPh sb="2" eb="3">
      <t>ショ</t>
    </rPh>
    <rPh sb="3" eb="4">
      <t>メイ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</si>
  <si>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</si>
  <si>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工場等の名称確認用</t>
    <rPh sb="2" eb="4">
      <t>コウジョウ</t>
    </rPh>
    <rPh sb="4" eb="5">
      <t>トウ</t>
    </rPh>
    <rPh sb="6" eb="8">
      <t>メイショウ</t>
    </rPh>
    <rPh sb="8" eb="10">
      <t>カクニン</t>
    </rPh>
    <rPh sb="10" eb="11">
      <t>ヨウ</t>
    </rPh>
    <phoneticPr fontId="4"/>
  </si>
  <si>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4"/>
  </si>
  <si>
    <t>Ｎｏ</t>
    <phoneticPr fontId="4"/>
  </si>
  <si>
    <t>エネルギー管理指定工場等</t>
    <rPh sb="5" eb="12">
      <t>カンリシテイコウジョウトウ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</si>
  <si>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</si>
  <si>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</si>
  <si>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</si>
  <si>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</si>
  <si>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原単位に単一の指標を設定する場合</t>
    <rPh sb="4" eb="6">
      <t>タンイツ</t>
    </rPh>
    <rPh sb="7" eb="9">
      <t>シヒョウ</t>
    </rPh>
    <rPh sb="10" eb="12">
      <t>セッテイ</t>
    </rPh>
    <rPh sb="14" eb="16">
      <t>バアイ</t>
    </rPh>
    <phoneticPr fontId="4"/>
  </si>
  <si>
    <t>全県</t>
    <rPh sb="0" eb="2">
      <t>ゼンケン</t>
    </rPh>
    <phoneticPr fontId="4"/>
  </si>
  <si>
    <t>過年度
名称</t>
    <rPh sb="0" eb="3">
      <t>カネンド</t>
    </rPh>
    <rPh sb="4" eb="6">
      <t>メイショウ</t>
    </rPh>
    <phoneticPr fontId="4"/>
  </si>
  <si>
    <t>修正が必要な原単位指標</t>
    <rPh sb="0" eb="2">
      <t>シュウセイ</t>
    </rPh>
    <rPh sb="3" eb="5">
      <t>ヒツヨウ</t>
    </rPh>
    <rPh sb="6" eb="9">
      <t>ゲンタンイ</t>
    </rPh>
    <rPh sb="9" eb="11">
      <t>シヒョウ</t>
    </rPh>
    <phoneticPr fontId="4"/>
  </si>
  <si>
    <t>指定工場等</t>
    <rPh sb="0" eb="2">
      <t>シテイ</t>
    </rPh>
    <rPh sb="2" eb="4">
      <t>コウジョウ</t>
    </rPh>
    <rPh sb="4" eb="5">
      <t>トウ</t>
    </rPh>
    <phoneticPr fontId="4"/>
  </si>
  <si>
    <t>法人・団体名</t>
  </si>
  <si>
    <t>原単位分母の名称</t>
    <rPh sb="0" eb="3">
      <t>ゲンタンイ</t>
    </rPh>
    <rPh sb="3" eb="5">
      <t>ブンボ</t>
    </rPh>
    <rPh sb="6" eb="8">
      <t>メイショウ</t>
    </rPh>
    <phoneticPr fontId="54"/>
  </si>
  <si>
    <t>原単位分母の単位</t>
    <rPh sb="0" eb="3">
      <t>ゲンタンイ</t>
    </rPh>
    <rPh sb="3" eb="5">
      <t>ブンボ</t>
    </rPh>
    <rPh sb="6" eb="8">
      <t>タンイ</t>
    </rPh>
    <phoneticPr fontId="54"/>
  </si>
  <si>
    <t>事業者の住所又は主たる事務所の所在地</t>
  </si>
  <si>
    <t>原単位分母の値</t>
    <rPh sb="0" eb="3">
      <t>ゲンタンイ</t>
    </rPh>
    <rPh sb="3" eb="5">
      <t>ブンボ</t>
    </rPh>
    <rPh sb="6" eb="7">
      <t>アタイ</t>
    </rPh>
    <phoneticPr fontId="4"/>
  </si>
  <si>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</si>
  <si>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</si>
  <si>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</si>
  <si>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</si>
  <si>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</si>
  <si>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</si>
  <si>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</si>
  <si>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</si>
  <si>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</si>
  <si>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</si>
  <si>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10"/>
  </si>
  <si>
    <t>県域4</t>
    <rPh sb="0" eb="2">
      <t>ケンイキ</t>
    </rPh>
    <phoneticPr fontId="22"/>
  </si>
  <si>
    <t>県域5</t>
    <rPh sb="0" eb="2">
      <t>ケンイキ</t>
    </rPh>
    <phoneticPr fontId="22"/>
  </si>
  <si>
    <t>県域6</t>
    <rPh sb="0" eb="2">
      <t>ケンイキ</t>
    </rPh>
    <phoneticPr fontId="22"/>
  </si>
  <si>
    <t>県域7</t>
    <rPh sb="0" eb="2">
      <t>ケンイキ</t>
    </rPh>
    <phoneticPr fontId="22"/>
  </si>
  <si>
    <t>県域8</t>
    <rPh sb="0" eb="2">
      <t>ケンイキ</t>
    </rPh>
    <phoneticPr fontId="22"/>
  </si>
  <si>
    <t>県域9</t>
    <rPh sb="0" eb="2">
      <t>ケンイキ</t>
    </rPh>
    <phoneticPr fontId="22"/>
  </si>
  <si>
    <t>県域10</t>
    <rPh sb="0" eb="2">
      <t>ケンイキ</t>
    </rPh>
    <phoneticPr fontId="22"/>
  </si>
  <si>
    <t>横浜3</t>
    <rPh sb="0" eb="2">
      <t>ヨコハマ</t>
    </rPh>
    <phoneticPr fontId="22"/>
  </si>
  <si>
    <t>横浜4</t>
    <rPh sb="0" eb="2">
      <t>ヨコハマ</t>
    </rPh>
    <phoneticPr fontId="22"/>
  </si>
  <si>
    <t>横浜5</t>
    <rPh sb="0" eb="2">
      <t>ヨコハマ</t>
    </rPh>
    <phoneticPr fontId="22"/>
  </si>
  <si>
    <t>横浜6</t>
    <rPh sb="0" eb="2">
      <t>ヨコハマ</t>
    </rPh>
    <phoneticPr fontId="22"/>
  </si>
  <si>
    <t>横浜7</t>
    <rPh sb="0" eb="2">
      <t>ヨコハマ</t>
    </rPh>
    <phoneticPr fontId="22"/>
  </si>
  <si>
    <t>横浜8</t>
    <rPh sb="0" eb="2">
      <t>ヨコハマ</t>
    </rPh>
    <phoneticPr fontId="22"/>
  </si>
  <si>
    <t>横浜9</t>
    <rPh sb="0" eb="2">
      <t>ヨコハマ</t>
    </rPh>
    <phoneticPr fontId="22"/>
  </si>
  <si>
    <t>横浜10</t>
    <rPh sb="0" eb="1">
      <t>ヨコ</t>
    </rPh>
    <rPh sb="1" eb="2">
      <t>ハマ</t>
    </rPh>
    <phoneticPr fontId="22"/>
  </si>
  <si>
    <t>川崎1</t>
    <rPh sb="0" eb="2">
      <t>カワサキ</t>
    </rPh>
    <phoneticPr fontId="22"/>
  </si>
  <si>
    <t>川崎2</t>
    <rPh sb="0" eb="2">
      <t>カワサキ</t>
    </rPh>
    <phoneticPr fontId="22"/>
  </si>
  <si>
    <t>川崎3</t>
    <rPh sb="0" eb="2">
      <t>カワサキ</t>
    </rPh>
    <phoneticPr fontId="22"/>
  </si>
  <si>
    <t>川崎6</t>
    <rPh sb="0" eb="2">
      <t>カワサキ</t>
    </rPh>
    <phoneticPr fontId="22"/>
  </si>
  <si>
    <t>川崎7</t>
    <rPh sb="0" eb="2">
      <t>カワサキ</t>
    </rPh>
    <phoneticPr fontId="22"/>
  </si>
  <si>
    <t>川崎8</t>
    <rPh sb="0" eb="2">
      <t>カワサキ</t>
    </rPh>
    <phoneticPr fontId="22"/>
  </si>
  <si>
    <t>川崎9</t>
    <rPh sb="0" eb="2">
      <t>カワサキ</t>
    </rPh>
    <phoneticPr fontId="22"/>
  </si>
  <si>
    <t>川崎10</t>
    <rPh sb="0" eb="2">
      <t>カワサキ</t>
    </rPh>
    <phoneticPr fontId="22"/>
  </si>
  <si>
    <t>川崎11</t>
    <rPh sb="0" eb="2">
      <t>カワサキ</t>
    </rPh>
    <phoneticPr fontId="22"/>
  </si>
  <si>
    <t>川崎12</t>
    <rPh sb="0" eb="2">
      <t>カワサキ</t>
    </rPh>
    <phoneticPr fontId="22"/>
  </si>
  <si>
    <t>川崎13</t>
    <rPh sb="0" eb="2">
      <t>カワサキ</t>
    </rPh>
    <phoneticPr fontId="22"/>
  </si>
  <si>
    <t>川崎14</t>
    <rPh sb="0" eb="2">
      <t>カワサキ</t>
    </rPh>
    <phoneticPr fontId="22"/>
  </si>
  <si>
    <t>川崎15</t>
    <rPh sb="0" eb="2">
      <t>カワサキ</t>
    </rPh>
    <phoneticPr fontId="22"/>
  </si>
  <si>
    <t>川崎16</t>
    <rPh sb="0" eb="2">
      <t>カワサキ</t>
    </rPh>
    <phoneticPr fontId="22"/>
  </si>
  <si>
    <t>川崎17</t>
    <rPh sb="0" eb="2">
      <t>カワサキ</t>
    </rPh>
    <phoneticPr fontId="22"/>
  </si>
  <si>
    <t>川崎18</t>
    <rPh sb="0" eb="2">
      <t>カワサキ</t>
    </rPh>
    <phoneticPr fontId="22"/>
  </si>
  <si>
    <t>川崎19</t>
    <rPh sb="0" eb="2">
      <t>カワサキ</t>
    </rPh>
    <phoneticPr fontId="22"/>
  </si>
  <si>
    <t>川崎20</t>
    <rPh sb="0" eb="2">
      <t>カワサキ</t>
    </rPh>
    <phoneticPr fontId="22"/>
  </si>
  <si>
    <t>事業所名</t>
    <rPh sb="0" eb="2">
      <t>ジギョウ</t>
    </rPh>
    <rPh sb="2" eb="3">
      <t>ショ</t>
    </rPh>
    <rPh sb="3" eb="4">
      <t>メイ</t>
    </rPh>
    <phoneticPr fontId="6"/>
  </si>
  <si>
    <t>原油換算エネルギー使用量</t>
    <rPh sb="0" eb="4">
      <t>ゲンユカンザン</t>
    </rPh>
    <rPh sb="9" eb="12">
      <t>シヨウリョウ</t>
    </rPh>
    <phoneticPr fontId="4"/>
  </si>
  <si>
    <t>kL</t>
    <phoneticPr fontId="4"/>
  </si>
  <si>
    <t>・エネルギーの種類は、省エネ法定期報告・温対法ＳＨＫ制度に準じる</t>
  </si>
  <si>
    <t>所在地</t>
    <rPh sb="0" eb="3">
      <t>ショザイチ</t>
    </rPh>
    <phoneticPr fontId="6"/>
  </si>
  <si>
    <t>単位発熱量</t>
  </si>
  <si>
    <t>排出係数</t>
  </si>
  <si>
    <t>排出量(基礎）</t>
    <rPh sb="0" eb="2">
      <t>ハイシュツ</t>
    </rPh>
    <rPh sb="2" eb="3">
      <t>リョウ</t>
    </rPh>
    <rPh sb="4" eb="6">
      <t>キソ</t>
    </rPh>
    <phoneticPr fontId="4"/>
  </si>
  <si>
    <t>t-CO2</t>
    <phoneticPr fontId="4"/>
  </si>
  <si>
    <t>tC/GJ</t>
  </si>
  <si>
    <t>使用量</t>
    <rPh sb="0" eb="3">
      <t>シヨウリョウ</t>
    </rPh>
    <phoneticPr fontId="6"/>
  </si>
  <si>
    <t>外部供給</t>
    <rPh sb="0" eb="2">
      <t>ガイブ</t>
    </rPh>
    <rPh sb="2" eb="4">
      <t>キョウキュウ</t>
    </rPh>
    <phoneticPr fontId="6"/>
  </si>
  <si>
    <t>副生エネルギー</t>
    <rPh sb="0" eb="2">
      <t>フクセイ</t>
    </rPh>
    <phoneticPr fontId="6"/>
  </si>
  <si>
    <t>未利用熱</t>
    <rPh sb="0" eb="3">
      <t>ミリヨウ</t>
    </rPh>
    <rPh sb="3" eb="4">
      <t>ネツ</t>
    </rPh>
    <phoneticPr fontId="25"/>
  </si>
  <si>
    <t>使用量</t>
    <rPh sb="0" eb="3">
      <t>シヨウリョウ</t>
    </rPh>
    <phoneticPr fontId="22"/>
  </si>
  <si>
    <t>外部供給</t>
    <rPh sb="0" eb="2">
      <t>ガイブ</t>
    </rPh>
    <rPh sb="2" eb="4">
      <t>キョウキュウ</t>
    </rPh>
    <phoneticPr fontId="10"/>
  </si>
  <si>
    <t>副生エネルギー</t>
    <rPh sb="0" eb="2">
      <t>フクセイ</t>
    </rPh>
    <phoneticPr fontId="10"/>
  </si>
  <si>
    <t>未利用熱</t>
    <rPh sb="0" eb="3">
      <t>ミリヨウ</t>
    </rPh>
    <rPh sb="3" eb="4">
      <t>ネツ</t>
    </rPh>
    <phoneticPr fontId="22"/>
  </si>
  <si>
    <t>使用量</t>
    <rPh sb="0" eb="3">
      <t>シヨウリョウ</t>
    </rPh>
    <phoneticPr fontId="55"/>
  </si>
  <si>
    <t>外部供給</t>
    <rPh sb="0" eb="2">
      <t>ガイブ</t>
    </rPh>
    <rPh sb="2" eb="4">
      <t>キョウキュウ</t>
    </rPh>
    <phoneticPr fontId="4"/>
  </si>
  <si>
    <t>副生エネルギー</t>
    <rPh sb="0" eb="2">
      <t>フクセイ</t>
    </rPh>
    <phoneticPr fontId="4"/>
  </si>
  <si>
    <t>未利用熱</t>
    <rPh sb="0" eb="3">
      <t>ミリヨウ</t>
    </rPh>
    <rPh sb="3" eb="4">
      <t>ネツ</t>
    </rPh>
    <phoneticPr fontId="55"/>
  </si>
  <si>
    <t>原油(コンデンセートを除く)</t>
  </si>
  <si>
    <t>kl</t>
  </si>
  <si>
    <t>揮発油</t>
  </si>
  <si>
    <t>ナフサ</t>
  </si>
  <si>
    <t>灯油</t>
  </si>
  <si>
    <t>軽油</t>
  </si>
  <si>
    <t>Ａ重油</t>
  </si>
  <si>
    <t>Ｂ・Ｃ重油</t>
  </si>
  <si>
    <t>石油アスファルト</t>
  </si>
  <si>
    <t>ｔ</t>
  </si>
  <si>
    <t>石油コークス</t>
  </si>
  <si>
    <t>石油ガス</t>
  </si>
  <si>
    <t>液化石油ガス（ＬＰＧ）</t>
  </si>
  <si>
    <t>石油系炭化水素ガス</t>
  </si>
  <si>
    <t>千m3</t>
  </si>
  <si>
    <t>可燃性天然ガス</t>
  </si>
  <si>
    <t>液化天然ガス（ＬＮＧ）</t>
  </si>
  <si>
    <t>その他可燃性天然ガス</t>
  </si>
  <si>
    <t>石炭</t>
  </si>
  <si>
    <t>石炭コークス</t>
  </si>
  <si>
    <t>コールタール</t>
  </si>
  <si>
    <t>コークス炉ガス</t>
  </si>
  <si>
    <t>高炉ガス</t>
  </si>
  <si>
    <t>転炉ガス</t>
  </si>
  <si>
    <t>都市ガス</t>
  </si>
  <si>
    <t>バイオエタノール</t>
  </si>
  <si>
    <t>バイオディーゼル</t>
  </si>
  <si>
    <t>バイオガス</t>
  </si>
  <si>
    <t>RDF</t>
  </si>
  <si>
    <t>RPF</t>
  </si>
  <si>
    <t>アンモニア</t>
  </si>
  <si>
    <t>産業用蒸気</t>
  </si>
  <si>
    <t>kW</t>
  </si>
  <si>
    <t>非化石</t>
  </si>
  <si>
    <t>生産数量</t>
  </si>
  <si>
    <t>延床面積</t>
  </si>
  <si>
    <t>㎡</t>
  </si>
  <si>
    <t>供給事業者名</t>
  </si>
  <si>
    <t>調整後排出係数</t>
  </si>
  <si>
    <t>標準熱量</t>
  </si>
  <si>
    <t>使用量</t>
    <rPh sb="0" eb="3">
      <t>シヨウリョウ</t>
    </rPh>
    <phoneticPr fontId="4"/>
  </si>
  <si>
    <t>単位</t>
  </si>
  <si>
    <t>県域の削減量</t>
  </si>
  <si>
    <t>国内クレジット</t>
  </si>
  <si>
    <t>t-CO2</t>
  </si>
  <si>
    <t>オフセット・クレジット</t>
  </si>
  <si>
    <t>Ｊ－クレジット</t>
  </si>
  <si>
    <t>再エネ電力由来(kWh)</t>
  </si>
  <si>
    <t>kWh</t>
  </si>
  <si>
    <t>グリーンエネルギーCO2削減相当量</t>
  </si>
  <si>
    <t>FIT非化石証書</t>
  </si>
  <si>
    <t>非FIT非化石証書（再エネ指定あり）</t>
  </si>
  <si>
    <t>非FIT非化石証書（再エネ指定なし）</t>
  </si>
  <si>
    <t>その他の非燃料由来の非化石1</t>
  </si>
  <si>
    <t>その他の非燃料由来の非化石2</t>
  </si>
  <si>
    <t>２　集計用（2024年度実績）【非表示】</t>
    <rPh sb="2" eb="5">
      <t>シュウケイヨウ</t>
    </rPh>
    <rPh sb="10" eb="12">
      <t>ネンド</t>
    </rPh>
    <rPh sb="12" eb="14">
      <t>ジッセキ</t>
    </rPh>
    <rPh sb="16" eb="19">
      <t>ヒヒョウジ</t>
    </rPh>
    <phoneticPr fontId="4"/>
  </si>
  <si>
    <t>集計_2024</t>
    <rPh sb="0" eb="2">
      <t>シュウケイ</t>
    </rPh>
    <phoneticPr fontId="50"/>
  </si>
  <si>
    <t>自動車行番号</t>
    <rPh sb="0" eb="3">
      <t>ジドウシャ</t>
    </rPh>
    <rPh sb="3" eb="4">
      <t>ギョウ</t>
    </rPh>
    <rPh sb="4" eb="6">
      <t>バンゴウ</t>
    </rPh>
    <phoneticPr fontId="50"/>
  </si>
  <si>
    <t>工場等行番号</t>
    <rPh sb="0" eb="2">
      <t>コウジョウ</t>
    </rPh>
    <rPh sb="2" eb="3">
      <t>トウ</t>
    </rPh>
    <rPh sb="3" eb="4">
      <t>ギョウ</t>
    </rPh>
    <rPh sb="4" eb="6">
      <t>バンゴウ</t>
    </rPh>
    <phoneticPr fontId="50"/>
  </si>
  <si>
    <t>自動車</t>
    <rPh sb="0" eb="3">
      <t>ジドウシャ</t>
    </rPh>
    <phoneticPr fontId="50"/>
  </si>
  <si>
    <t>横浜・川崎</t>
    <phoneticPr fontId="50"/>
  </si>
  <si>
    <t>県域</t>
    <rPh sb="0" eb="2">
      <t>ケンイキ</t>
    </rPh>
    <phoneticPr fontId="50"/>
  </si>
  <si>
    <t>使用量</t>
    <rPh sb="0" eb="3">
      <t>シヨウリョウ</t>
    </rPh>
    <phoneticPr fontId="50"/>
  </si>
  <si>
    <t>外部供給</t>
    <rPh sb="0" eb="2">
      <t>ガイブ</t>
    </rPh>
    <rPh sb="2" eb="4">
      <t>キョウキュウ</t>
    </rPh>
    <phoneticPr fontId="15"/>
  </si>
  <si>
    <t>副生エネルギー</t>
    <rPh sb="0" eb="2">
      <t>フクセイ</t>
    </rPh>
    <phoneticPr fontId="15"/>
  </si>
  <si>
    <t>未利用熱</t>
    <rPh sb="0" eb="3">
      <t>ミリヨウ</t>
    </rPh>
    <rPh sb="3" eb="4">
      <t>ネツ</t>
    </rPh>
    <phoneticPr fontId="50"/>
  </si>
  <si>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50"/>
  </si>
  <si>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</si>
  <si>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50"/>
  </si>
  <si>
    <t>原油換算エネルギー使用量（非化石燃料×0.8補正後）</t>
    <phoneticPr fontId="50"/>
  </si>
  <si>
    <t>エネルギー消費原単位の分子 /分母/原単位</t>
    <rPh sb="5" eb="7">
      <t>ショウヒ</t>
    </rPh>
    <rPh sb="7" eb="10">
      <t>ゲンタンイ</t>
    </rPh>
    <rPh sb="11" eb="13">
      <t>ブンシ</t>
    </rPh>
    <rPh sb="15" eb="17">
      <t>ブンボ</t>
    </rPh>
    <rPh sb="18" eb="21">
      <t>ゲンタンイ</t>
    </rPh>
    <phoneticPr fontId="50"/>
  </si>
  <si>
    <t>都市ガス排出量（基礎）</t>
    <rPh sb="0" eb="2">
      <t>トシ</t>
    </rPh>
    <rPh sb="4" eb="6">
      <t>ハイシュツ</t>
    </rPh>
    <rPh sb="6" eb="7">
      <t>リョウ</t>
    </rPh>
    <rPh sb="8" eb="10">
      <t>キソ</t>
    </rPh>
    <phoneticPr fontId="50"/>
  </si>
  <si>
    <t>都市ガス排出量（調整後）</t>
    <rPh sb="0" eb="2">
      <t>トシ</t>
    </rPh>
    <rPh sb="4" eb="6">
      <t>ハイシュツ</t>
    </rPh>
    <rPh sb="6" eb="7">
      <t>リョウ</t>
    </rPh>
    <rPh sb="8" eb="11">
      <t>チョウセイゴ</t>
    </rPh>
    <phoneticPr fontId="50"/>
  </si>
  <si>
    <t>蒸気（基礎）</t>
    <rPh sb="0" eb="2">
      <t>ジョウキ</t>
    </rPh>
    <rPh sb="3" eb="5">
      <t>キソ</t>
    </rPh>
    <phoneticPr fontId="50"/>
  </si>
  <si>
    <t>蒸気（調整後）</t>
    <rPh sb="0" eb="2">
      <t>ジョウキ</t>
    </rPh>
    <rPh sb="3" eb="6">
      <t>チョウセイゴ</t>
    </rPh>
    <phoneticPr fontId="50"/>
  </si>
  <si>
    <t>温水（基礎）</t>
    <rPh sb="0" eb="2">
      <t>オンスイ</t>
    </rPh>
    <rPh sb="3" eb="5">
      <t>キソ</t>
    </rPh>
    <phoneticPr fontId="50"/>
  </si>
  <si>
    <t>温水（調整後）</t>
    <rPh sb="0" eb="2">
      <t>オンスイ</t>
    </rPh>
    <rPh sb="3" eb="6">
      <t>チョウセイゴ</t>
    </rPh>
    <phoneticPr fontId="50"/>
  </si>
  <si>
    <t>冷水（基礎）</t>
    <rPh sb="0" eb="2">
      <t>レイスイ</t>
    </rPh>
    <rPh sb="3" eb="5">
      <t>キソ</t>
    </rPh>
    <phoneticPr fontId="50"/>
  </si>
  <si>
    <t>冷水（調整後）</t>
    <rPh sb="0" eb="2">
      <t>レイスイ</t>
    </rPh>
    <rPh sb="3" eb="6">
      <t>チョウセイゴ</t>
    </rPh>
    <phoneticPr fontId="50"/>
  </si>
  <si>
    <t>電気（基礎）</t>
    <rPh sb="0" eb="2">
      <t>デンキ</t>
    </rPh>
    <rPh sb="3" eb="5">
      <t>キソ</t>
    </rPh>
    <phoneticPr fontId="50"/>
  </si>
  <si>
    <t>電気（調整後）</t>
    <rPh sb="0" eb="2">
      <t>デンキ</t>
    </rPh>
    <rPh sb="3" eb="6">
      <t>チョウセイゴ</t>
    </rPh>
    <phoneticPr fontId="50"/>
  </si>
  <si>
    <t>調整後排出係数０の電気使用量(千kWh)</t>
    <rPh sb="0" eb="3">
      <t>チョウセイゴ</t>
    </rPh>
    <rPh sb="3" eb="5">
      <t>ハイシュツ</t>
    </rPh>
    <rPh sb="5" eb="7">
      <t>ケイスウ</t>
    </rPh>
    <rPh sb="9" eb="11">
      <t>デンキ</t>
    </rPh>
    <rPh sb="11" eb="14">
      <t>シヨウリョウ</t>
    </rPh>
    <rPh sb="15" eb="16">
      <t>セン</t>
    </rPh>
    <phoneticPr fontId="50"/>
  </si>
  <si>
    <t>３　原単位（2024年度実績）【非表示】</t>
    <rPh sb="2" eb="5">
      <t>ゲンタンイ</t>
    </rPh>
    <rPh sb="10" eb="12">
      <t>ネンド</t>
    </rPh>
    <rPh sb="12" eb="14">
      <t>ジッセキ</t>
    </rPh>
    <phoneticPr fontId="4"/>
  </si>
  <si>
    <t>原単位_2024</t>
    <rPh sb="0" eb="3">
      <t>ゲンタンイ</t>
    </rPh>
    <phoneticPr fontId="4"/>
  </si>
  <si>
    <t>Ｎｏ</t>
    <phoneticPr fontId="50"/>
  </si>
  <si>
    <t>エネルギー管理指定工場等</t>
    <rPh sb="5" eb="7">
      <t>カンリ</t>
    </rPh>
    <rPh sb="7" eb="9">
      <t>シテイ</t>
    </rPh>
    <rPh sb="9" eb="11">
      <t>コウジョウ</t>
    </rPh>
    <rPh sb="11" eb="12">
      <t>トウ</t>
    </rPh>
    <phoneticPr fontId="50"/>
  </si>
  <si>
    <t>行番号</t>
    <rPh sb="0" eb="3">
      <t>ギョウバンゴウ</t>
    </rPh>
    <phoneticPr fontId="4"/>
  </si>
  <si>
    <t>初期リスト</t>
    <rPh sb="0" eb="2">
      <t>ショキ</t>
    </rPh>
    <phoneticPr fontId="4"/>
  </si>
  <si>
    <t>修正後名称</t>
    <rPh sb="0" eb="2">
      <t>シュウセイ</t>
    </rPh>
    <rPh sb="2" eb="3">
      <t>ゴ</t>
    </rPh>
    <rPh sb="3" eb="5">
      <t>メイショウ</t>
    </rPh>
    <phoneticPr fontId="4"/>
  </si>
  <si>
    <t>修正後列番号</t>
    <rPh sb="0" eb="2">
      <t>シュウセイ</t>
    </rPh>
    <rPh sb="2" eb="3">
      <t>ゴ</t>
    </rPh>
    <rPh sb="3" eb="6">
      <t>レツバンゴウ</t>
    </rPh>
    <phoneticPr fontId="4"/>
  </si>
  <si>
    <t>所在地</t>
    <rPh sb="0" eb="3">
      <t>ショザイチ</t>
    </rPh>
    <phoneticPr fontId="50"/>
  </si>
  <si>
    <t>原単位指標</t>
    <rPh sb="0" eb="3">
      <t>ゲンタンイ</t>
    </rPh>
    <rPh sb="3" eb="5">
      <t>シヒョウ</t>
    </rPh>
    <phoneticPr fontId="50"/>
  </si>
  <si>
    <t>原単位分子</t>
    <rPh sb="3" eb="5">
      <t>ブンシ</t>
    </rPh>
    <phoneticPr fontId="50"/>
  </si>
  <si>
    <t>原単位分母</t>
    <rPh sb="3" eb="5">
      <t>ブンボ</t>
    </rPh>
    <phoneticPr fontId="50"/>
  </si>
  <si>
    <t>原単位</t>
    <rPh sb="0" eb="3">
      <t>ゲンタンイ</t>
    </rPh>
    <phoneticPr fontId="50"/>
  </si>
  <si>
    <t>前年度比</t>
    <rPh sb="0" eb="3">
      <t>ゼンネンド</t>
    </rPh>
    <rPh sb="3" eb="4">
      <t>ヒ</t>
    </rPh>
    <phoneticPr fontId="50"/>
  </si>
  <si>
    <t>横浜</t>
    <rPh sb="0" eb="2">
      <t>ヨコハマ</t>
    </rPh>
    <phoneticPr fontId="50"/>
  </si>
  <si>
    <t>川崎</t>
    <rPh sb="0" eb="2">
      <t>カワサキ</t>
    </rPh>
    <phoneticPr fontId="50"/>
  </si>
  <si>
    <t>横浜川崎</t>
    <rPh sb="0" eb="2">
      <t>ヨコハマ</t>
    </rPh>
    <rPh sb="2" eb="4">
      <t>カワサキ</t>
    </rPh>
    <phoneticPr fontId="4"/>
  </si>
  <si>
    <t>原単位改善率</t>
    <phoneticPr fontId="4"/>
  </si>
  <si>
    <t>-</t>
    <phoneticPr fontId="4"/>
  </si>
  <si>
    <t>重複ナシ指標</t>
    <rPh sb="0" eb="2">
      <t>チョウフク</t>
    </rPh>
    <rPh sb="4" eb="6">
      <t>シヒョウ</t>
    </rPh>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</si>
  <si>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</si>
  <si>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</si>
  <si>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エネルギー管理指定工場等（最終）</t>
    <rPh sb="5" eb="11">
      <t>カンリシテイコウジョウ</t>
    </rPh>
    <rPh sb="11" eb="12">
      <t>トウ</t>
    </rPh>
    <rPh sb="13" eb="15">
      <t>サイシュウ</t>
    </rPh>
    <phoneticPr fontId="4"/>
  </si>
  <si>
    <t>今年度
原単位指標</t>
    <rPh sb="0" eb="3">
      <t>コンネンド</t>
    </rPh>
    <rPh sb="4" eb="7">
      <t>ゲンタンイ</t>
    </rPh>
    <rPh sb="7" eb="9">
      <t>シヒョウ</t>
    </rPh>
    <phoneticPr fontId="4"/>
  </si>
  <si>
    <t>前年度
原単位指標</t>
    <rPh sb="0" eb="3">
      <t>ゼンネンド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</si>
  <si>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</si>
  <si>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セル番号</t>
    <rPh sb="2" eb="4">
      <t>バンゴウ</t>
    </rPh>
    <phoneticPr fontId="4"/>
  </si>
  <si>
    <t>コピーデータ貼付けシート（2026年度提出用）</t>
    <rPh sb="6" eb="8">
      <t>ハリツ</t>
    </rPh>
    <rPh sb="17" eb="19">
      <t>ネンド</t>
    </rPh>
    <rPh sb="19" eb="21">
      <t>テイシュツ</t>
    </rPh>
    <rPh sb="21" eb="22">
      <t>ヨウ</t>
    </rPh>
    <phoneticPr fontId="4"/>
  </si>
  <si>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4"/>
  </si>
  <si>
    <t>３　集計用（2025年度実績）【非表示】</t>
    <rPh sb="2" eb="5">
      <t>シュウケイヨウ</t>
    </rPh>
    <rPh sb="10" eb="12">
      <t>ネンド</t>
    </rPh>
    <rPh sb="12" eb="14">
      <t>ジッセキ</t>
    </rPh>
    <rPh sb="16" eb="19">
      <t>ヒヒョウジ</t>
    </rPh>
    <phoneticPr fontId="4"/>
  </si>
  <si>
    <t>集計_2025</t>
    <rPh sb="0" eb="2">
      <t>シュウケイ</t>
    </rPh>
    <phoneticPr fontId="50"/>
  </si>
  <si>
    <t>４　原単位（2025年度実績）【非表示】</t>
    <rPh sb="2" eb="5">
      <t>ゲンタンイ</t>
    </rPh>
    <rPh sb="10" eb="12">
      <t>ネンド</t>
    </rPh>
    <rPh sb="12" eb="14">
      <t>ジッセキ</t>
    </rPh>
    <phoneticPr fontId="4"/>
  </si>
  <si>
    <t>原単位_2025</t>
    <rPh sb="0" eb="3">
      <t>ゲンタンイ</t>
    </rPh>
    <phoneticPr fontId="4"/>
  </si>
  <si>
    <t>原単位改善率(%)</t>
    <phoneticPr fontId="4"/>
  </si>
  <si>
    <t>コピーデータ貼付けシート（2027年度提出用）</t>
    <rPh sb="6" eb="8">
      <t>ハリツ</t>
    </rPh>
    <rPh sb="17" eb="19">
      <t>ネンド</t>
    </rPh>
    <rPh sb="19" eb="21">
      <t>テイシュツ</t>
    </rPh>
    <rPh sb="21" eb="22">
      <t>ヨウ</t>
    </rPh>
    <phoneticPr fontId="4"/>
  </si>
  <si>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4"/>
  </si>
  <si>
    <t>２　集計用（2026年度実績）【非表示】</t>
    <rPh sb="2" eb="5">
      <t>シュウケイヨウ</t>
    </rPh>
    <rPh sb="10" eb="12">
      <t>ネンド</t>
    </rPh>
    <rPh sb="12" eb="14">
      <t>ジッセキ</t>
    </rPh>
    <phoneticPr fontId="4"/>
  </si>
  <si>
    <t>集計_2026</t>
    <rPh sb="0" eb="2">
      <t>シュウケイ</t>
    </rPh>
    <phoneticPr fontId="50"/>
  </si>
  <si>
    <t>３　原単位（2026年度実績）【非表示】</t>
    <rPh sb="2" eb="5">
      <t>ゲンタンイ</t>
    </rPh>
    <rPh sb="10" eb="12">
      <t>ネンド</t>
    </rPh>
    <rPh sb="12" eb="14">
      <t>ジッセキ</t>
    </rPh>
    <phoneticPr fontId="4"/>
  </si>
  <si>
    <t>原単位_2026</t>
    <rPh sb="0" eb="3">
      <t>ゲンタンイ</t>
    </rPh>
    <phoneticPr fontId="4"/>
  </si>
  <si>
    <t>原単位改善率</t>
  </si>
  <si>
    <t>コピーデータ貼付けシート（2028年度提出用）</t>
    <rPh sb="6" eb="8">
      <t>ハリツ</t>
    </rPh>
    <rPh sb="17" eb="19">
      <t>ネンド</t>
    </rPh>
    <rPh sb="19" eb="21">
      <t>テイシュツ</t>
    </rPh>
    <rPh sb="21" eb="22">
      <t>ヨウ</t>
    </rPh>
    <phoneticPr fontId="4"/>
  </si>
  <si>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4"/>
  </si>
  <si>
    <t>２　集計用（2027年度実績）【非表示】</t>
    <rPh sb="2" eb="5">
      <t>シュウケイヨウ</t>
    </rPh>
    <rPh sb="10" eb="12">
      <t>ネンド</t>
    </rPh>
    <rPh sb="12" eb="14">
      <t>ジッセキ</t>
    </rPh>
    <phoneticPr fontId="4"/>
  </si>
  <si>
    <t>集計_2027</t>
    <rPh sb="0" eb="2">
      <t>シュウケイ</t>
    </rPh>
    <phoneticPr fontId="50"/>
  </si>
  <si>
    <t>３　原単位（2027年度実績）【非表示】</t>
    <rPh sb="2" eb="5">
      <t>ゲンタンイ</t>
    </rPh>
    <rPh sb="10" eb="12">
      <t>ネンド</t>
    </rPh>
    <rPh sb="12" eb="14">
      <t>ジッセキ</t>
    </rPh>
    <phoneticPr fontId="4"/>
  </si>
  <si>
    <t>原単位_2027</t>
    <rPh sb="0" eb="3">
      <t>ゲンタンイ</t>
    </rPh>
    <phoneticPr fontId="4"/>
  </si>
  <si>
    <t>6　集計用（その他）</t>
    <rPh sb="2" eb="5">
      <t>シュウケイヨウ</t>
    </rPh>
    <rPh sb="8" eb="9">
      <t>タ</t>
    </rPh>
    <phoneticPr fontId="4"/>
  </si>
  <si>
    <t>集計_その他欄</t>
    <rPh sb="0" eb="2">
      <t>シュウケイ</t>
    </rPh>
    <rPh sb="5" eb="6">
      <t>タ</t>
    </rPh>
    <rPh sb="6" eb="7">
      <t>ラン</t>
    </rPh>
    <phoneticPr fontId="50"/>
  </si>
  <si>
    <t>１・２号</t>
    <phoneticPr fontId="50"/>
  </si>
  <si>
    <t>まとめ</t>
    <phoneticPr fontId="50"/>
  </si>
  <si>
    <t>３号</t>
    <phoneticPr fontId="50"/>
  </si>
  <si>
    <t>１・２号/３号</t>
    <rPh sb="3" eb="4">
      <t>ゴウ</t>
    </rPh>
    <rPh sb="6" eb="7">
      <t>ゴウ</t>
    </rPh>
    <phoneticPr fontId="50"/>
  </si>
  <si>
    <t>化石燃料</t>
    <rPh sb="0" eb="2">
      <t>カセキ</t>
    </rPh>
    <rPh sb="2" eb="4">
      <t>ネンリョウ</t>
    </rPh>
    <phoneticPr fontId="50"/>
  </si>
  <si>
    <t>その他燃料</t>
    <rPh sb="2" eb="3">
      <t>タ</t>
    </rPh>
    <rPh sb="3" eb="5">
      <t>ネンリョウ</t>
    </rPh>
    <phoneticPr fontId="50"/>
  </si>
  <si>
    <t>非化石燃料</t>
    <rPh sb="0" eb="1">
      <t>ヒ</t>
    </rPh>
    <rPh sb="1" eb="3">
      <t>カセキ</t>
    </rPh>
    <rPh sb="3" eb="5">
      <t>ネンリョウ</t>
    </rPh>
    <phoneticPr fontId="50"/>
  </si>
  <si>
    <t>その他バイオマス</t>
    <rPh sb="2" eb="3">
      <t>タ</t>
    </rPh>
    <phoneticPr fontId="50"/>
  </si>
  <si>
    <t>その他の燃料（非化石）1</t>
    <rPh sb="2" eb="3">
      <t>タ</t>
    </rPh>
    <rPh sb="4" eb="6">
      <t>ネンリョウ</t>
    </rPh>
    <rPh sb="7" eb="8">
      <t>ヒ</t>
    </rPh>
    <rPh sb="8" eb="10">
      <t>カセキ</t>
    </rPh>
    <phoneticPr fontId="55"/>
  </si>
  <si>
    <t>その他の燃料（非化石）2</t>
    <rPh sb="2" eb="3">
      <t>タ</t>
    </rPh>
    <rPh sb="4" eb="6">
      <t>ネンリョウ</t>
    </rPh>
    <rPh sb="7" eb="8">
      <t>ヒ</t>
    </rPh>
    <rPh sb="8" eb="10">
      <t>カセキ</t>
    </rPh>
    <phoneticPr fontId="55"/>
  </si>
  <si>
    <t>熱</t>
    <rPh sb="0" eb="1">
      <t>ネツ</t>
    </rPh>
    <phoneticPr fontId="50"/>
  </si>
  <si>
    <t>その他の熱</t>
    <rPh sb="2" eb="3">
      <t>タ</t>
    </rPh>
    <rPh sb="4" eb="5">
      <t>ネツ</t>
    </rPh>
    <phoneticPr fontId="56"/>
  </si>
  <si>
    <t>その他使用した熱</t>
    <rPh sb="2" eb="3">
      <t>タ</t>
    </rPh>
    <rPh sb="3" eb="5">
      <t>シヨウ</t>
    </rPh>
    <rPh sb="7" eb="8">
      <t>ネツ</t>
    </rPh>
    <phoneticPr fontId="50"/>
  </si>
  <si>
    <t>その他の熱1</t>
    <rPh sb="4" eb="5">
      <t>ネツ</t>
    </rPh>
    <phoneticPr fontId="4"/>
  </si>
  <si>
    <t>その他の熱2</t>
    <rPh sb="2" eb="3">
      <t>タ</t>
    </rPh>
    <rPh sb="4" eb="5">
      <t>ネツ</t>
    </rPh>
    <phoneticPr fontId="4"/>
  </si>
  <si>
    <t>電気</t>
    <rPh sb="0" eb="2">
      <t>デンキ</t>
    </rPh>
    <phoneticPr fontId="50"/>
  </si>
  <si>
    <t>上記以外の自己託送</t>
    <rPh sb="0" eb="2">
      <t>ジョウキ</t>
    </rPh>
    <rPh sb="2" eb="4">
      <t>イガイ</t>
    </rPh>
    <rPh sb="5" eb="9">
      <t>ジコタクソウ</t>
    </rPh>
    <phoneticPr fontId="50"/>
  </si>
  <si>
    <t>その他の買電</t>
    <rPh sb="4" eb="6">
      <t>バイデン</t>
    </rPh>
    <phoneticPr fontId="4"/>
  </si>
  <si>
    <t>その他自家発電(非燃料由来の非化石)1</t>
    <phoneticPr fontId="50"/>
  </si>
  <si>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</si>
  <si>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</si>
  <si>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</si>
  <si>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</si>
  <si>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</si>
  <si>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50"/>
  </si>
  <si>
    <t>その他</t>
    <rPh sb="2" eb="3">
      <t>タ</t>
    </rPh>
    <phoneticPr fontId="50"/>
  </si>
  <si>
    <t>集計_基礎情報</t>
    <rPh sb="0" eb="2">
      <t>シュウケイ</t>
    </rPh>
    <rPh sb="3" eb="5">
      <t>キソ</t>
    </rPh>
    <rPh sb="5" eb="7">
      <t>ジョウホウ</t>
    </rPh>
    <phoneticPr fontId="50"/>
  </si>
  <si>
    <t>最新</t>
    <rPh sb="0" eb="2">
      <t>サイシン</t>
    </rPh>
    <phoneticPr fontId="50"/>
  </si>
  <si>
    <t>報告対象年度</t>
    <rPh sb="0" eb="2">
      <t>ホウコク</t>
    </rPh>
    <rPh sb="2" eb="4">
      <t>タイショウ</t>
    </rPh>
    <rPh sb="4" eb="6">
      <t>ネンド</t>
    </rPh>
    <phoneticPr fontId="50"/>
  </si>
  <si>
    <t>代表者役職</t>
    <phoneticPr fontId="4"/>
  </si>
  <si>
    <t>代表者氏名</t>
    <rPh sb="0" eb="3">
      <t>ダイヒョウシャ</t>
    </rPh>
    <rPh sb="3" eb="5">
      <t>シメイ</t>
    </rPh>
    <phoneticPr fontId="50"/>
  </si>
  <si>
    <t>変更有無</t>
    <rPh sb="0" eb="2">
      <t>ヘンコウ</t>
    </rPh>
    <rPh sb="2" eb="4">
      <t>ウム</t>
    </rPh>
    <phoneticPr fontId="50"/>
  </si>
  <si>
    <t>←計画初年度</t>
    <rPh sb="1" eb="3">
      <t>ケイカク</t>
    </rPh>
    <rPh sb="3" eb="6">
      <t>ショネンド</t>
    </rPh>
    <phoneticPr fontId="50"/>
  </si>
  <si>
    <t>区分（大規模）第１号</t>
    <rPh sb="0" eb="2">
      <t>クブン</t>
    </rPh>
    <rPh sb="3" eb="6">
      <t>ダイキボ</t>
    </rPh>
    <rPh sb="7" eb="8">
      <t>ダイ</t>
    </rPh>
    <rPh sb="9" eb="10">
      <t>ゴウ</t>
    </rPh>
    <phoneticPr fontId="50"/>
  </si>
  <si>
    <t>区分（大規模）第２号</t>
    <rPh sb="0" eb="2">
      <t>クブン</t>
    </rPh>
    <rPh sb="3" eb="6">
      <t>ダイキボ</t>
    </rPh>
    <rPh sb="7" eb="8">
      <t>ダイ</t>
    </rPh>
    <rPh sb="9" eb="10">
      <t>ゴウ</t>
    </rPh>
    <phoneticPr fontId="50"/>
  </si>
  <si>
    <t>区分（大規模）第３号</t>
    <rPh sb="0" eb="2">
      <t>クブン</t>
    </rPh>
    <rPh sb="3" eb="6">
      <t>ダイキボ</t>
    </rPh>
    <rPh sb="7" eb="8">
      <t>ダイ</t>
    </rPh>
    <rPh sb="9" eb="10">
      <t>ゴウ</t>
    </rPh>
    <phoneticPr fontId="50"/>
  </si>
  <si>
    <t>区分（中小）工場等</t>
    <rPh sb="0" eb="2">
      <t>クブン</t>
    </rPh>
    <rPh sb="3" eb="5">
      <t>チュウショウ</t>
    </rPh>
    <rPh sb="6" eb="8">
      <t>コウジョウ</t>
    </rPh>
    <rPh sb="8" eb="9">
      <t>トウ</t>
    </rPh>
    <phoneticPr fontId="50"/>
  </si>
  <si>
    <t>区分（大規模）</t>
    <phoneticPr fontId="50"/>
  </si>
  <si>
    <t>計画書等本体シート（第１面）</t>
    <rPh sb="0" eb="3">
      <t>ケイカクショ</t>
    </rPh>
    <rPh sb="3" eb="4">
      <t>トウ</t>
    </rPh>
    <rPh sb="4" eb="6">
      <t>ホンタイ</t>
    </rPh>
    <rPh sb="10" eb="11">
      <t>ダイ</t>
    </rPh>
    <rPh sb="12" eb="13">
      <t>メン</t>
    </rPh>
    <phoneticPr fontId="4"/>
  </si>
  <si>
    <t>事業者ＩＤ：</t>
    <rPh sb="0" eb="2">
      <t>ジギョウ</t>
    </rPh>
    <rPh sb="2" eb="3">
      <t>シャ</t>
    </rPh>
    <phoneticPr fontId="4"/>
  </si>
  <si>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</si>
  <si>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</si>
  <si>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</si>
  <si>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t>計画初年度に記入</t>
    <rPh sb="0" eb="2">
      <t>ケイカク</t>
    </rPh>
    <rPh sb="2" eb="5">
      <t>ショネンド</t>
    </rPh>
    <rPh sb="6" eb="8">
      <t>キニュウ</t>
    </rPh>
    <phoneticPr fontId="4"/>
  </si>
  <si>
    <t>2026年度に2027年度実績について記入</t>
    <rPh sb="4" eb="6">
      <t>ネンド</t>
    </rPh>
    <rPh sb="11" eb="13">
      <t>ネンド</t>
    </rPh>
    <rPh sb="13" eb="15">
      <t>ジッセキ</t>
    </rPh>
    <rPh sb="19" eb="21">
      <t>キニュウ</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</si>
  <si>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</si>
  <si>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</si>
  <si>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様式第２号（要綱第２条関係）（用紙　日本産業規格Ａ４縦型）</t>
    <rPh sb="6" eb="8">
      <t>ヨウコウ</t>
    </rPh>
    <rPh sb="8" eb="9">
      <t>ダイ</t>
    </rPh>
    <rPh sb="10" eb="11">
      <t>ジョウ</t>
    </rPh>
    <phoneticPr fontId="5"/>
  </si>
  <si>
    <t>計画書本体に掲載する情報は原則公開
⇒非開示請求があれば、横浜市・川崎市とも協議のうえ、個別に対応</t>
    <phoneticPr fontId="4"/>
  </si>
  <si>
    <t>様式第６号（要綱第４条関係）（用紙　日本産業規格Ａ４縦型）</t>
    <rPh sb="6" eb="8">
      <t>ヨウコウ</t>
    </rPh>
    <rPh sb="8" eb="9">
      <t>ダイ</t>
    </rPh>
    <rPh sb="10" eb="11">
      <t>ジョウ</t>
    </rPh>
    <phoneticPr fontId="5"/>
  </si>
  <si>
    <t>（第１面）</t>
    <rPh sb="1" eb="2">
      <t>ダイ</t>
    </rPh>
    <rPh sb="3" eb="4">
      <t>メン</t>
    </rPh>
    <phoneticPr fontId="5"/>
  </si>
  <si>
    <t>中小規模事業者用事業活動温暖化対策計画書</t>
    <rPh sb="0" eb="2">
      <t>チュウショウ</t>
    </rPh>
    <rPh sb="2" eb="4">
      <t>キボ</t>
    </rPh>
    <rPh sb="4" eb="7">
      <t>ジギョウシャ</t>
    </rPh>
    <rPh sb="7" eb="8">
      <t>ヨウ</t>
    </rPh>
    <rPh sb="8" eb="10">
      <t>ジギョウ</t>
    </rPh>
    <rPh sb="10" eb="12">
      <t>カツドウ</t>
    </rPh>
    <rPh sb="12" eb="15">
      <t>オンダンカ</t>
    </rPh>
    <rPh sb="15" eb="17">
      <t>タイサク</t>
    </rPh>
    <rPh sb="17" eb="19">
      <t>ケイカク</t>
    </rPh>
    <rPh sb="19" eb="20">
      <t>ショ</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</si>
  <si>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</si>
  <si>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中小規模事業者用実績報告書</t>
    <rPh sb="0" eb="2">
      <t>チュウショウ</t>
    </rPh>
    <rPh sb="2" eb="4">
      <t>キボ</t>
    </rPh>
    <rPh sb="4" eb="7">
      <t>ジギョウシャ</t>
    </rPh>
    <rPh sb="7" eb="8">
      <t>ヨウ</t>
    </rPh>
    <rPh sb="8" eb="10">
      <t>ジッセキ</t>
    </rPh>
    <rPh sb="10" eb="13">
      <t>ホウコクショ</t>
    </rPh>
    <phoneticPr fontId="5"/>
  </si>
  <si>
    <t>（宛先）神奈川県知事</t>
    <phoneticPr fontId="4"/>
  </si>
  <si>
    <t>（提出者）</t>
    <rPh sb="1" eb="3">
      <t>テイシュツ</t>
    </rPh>
    <rPh sb="3" eb="4">
      <t>シャ</t>
    </rPh>
    <phoneticPr fontId="4"/>
  </si>
  <si>
    <t>住　　所</t>
    <rPh sb="0" eb="1">
      <t>ジュウ</t>
    </rPh>
    <rPh sb="3" eb="4">
      <t>ショ</t>
    </rPh>
    <phoneticPr fontId="5"/>
  </si>
  <si>
    <t>←郵便番号は省力化のため削除(2024.11.13)
←現行のビル名分離記載の運用は廃止</t>
    <rPh sb="1" eb="5">
      <t>ユウビンバンゴウ</t>
    </rPh>
    <rPh sb="6" eb="9">
      <t>ショウリョクカ</t>
    </rPh>
    <rPh sb="12" eb="14">
      <t>サクジョ</t>
    </rPh>
    <rPh sb="36" eb="38">
      <t>キサイ</t>
    </rPh>
    <phoneticPr fontId="4"/>
  </si>
  <si>
    <t>法人・団体名</t>
    <rPh sb="0" eb="2">
      <t>ホウジン</t>
    </rPh>
    <rPh sb="3" eb="5">
      <t>ダンタイ</t>
    </rPh>
    <rPh sb="5" eb="6">
      <t>メイ</t>
    </rPh>
    <phoneticPr fontId="5"/>
  </si>
  <si>
    <t>実績報告書緑セルは前年度記載内容と異なる場合にセルを赤く網掛け⇒</t>
    <rPh sb="0" eb="2">
      <t>ジッセキ</t>
    </rPh>
    <rPh sb="2" eb="5">
      <t>ホウコクショ</t>
    </rPh>
    <rPh sb="28" eb="30">
      <t>アミカ</t>
    </rPh>
    <phoneticPr fontId="4"/>
  </si>
  <si>
    <t>代表者氏名</t>
    <rPh sb="3" eb="5">
      <t>シメイ</t>
    </rPh>
    <phoneticPr fontId="4"/>
  </si>
  <si>
    <t>神奈川県地球温暖化対策推進条例第11条第３項の規定により、次のとおり提出します。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</si>
  <si>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神奈川県地球温暖化対策推進条例第14条第２項の規定により、次のとおり提出します。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</si>
  <si>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１　事業者の名称等</t>
    <rPh sb="2" eb="5">
      <t>ジギョウシャ</t>
    </rPh>
    <rPh sb="6" eb="8">
      <t>メイショウ</t>
    </rPh>
    <rPh sb="8" eb="9">
      <t>トウ</t>
    </rPh>
    <phoneticPr fontId="4"/>
  </si>
  <si>
    <t>事業者の氏名
又は名称</t>
    <rPh sb="0" eb="2">
      <t>ジギョウ</t>
    </rPh>
    <rPh sb="2" eb="3">
      <t>シャ</t>
    </rPh>
    <rPh sb="4" eb="6">
      <t>シメイ</t>
    </rPh>
    <rPh sb="7" eb="8">
      <t>マタ</t>
    </rPh>
    <rPh sb="9" eb="11">
      <t>メイショウ</t>
    </rPh>
    <phoneticPr fontId="5"/>
  </si>
  <si>
    <t>法人・団体名</t>
    <rPh sb="0" eb="2">
      <t>ホウジン</t>
    </rPh>
    <rPh sb="3" eb="5">
      <t>ダンタイ</t>
    </rPh>
    <rPh sb="5" eb="6">
      <t>メイ</t>
    </rPh>
    <phoneticPr fontId="4"/>
  </si>
  <si>
    <t>←Ａ0シートから参照 or 直接入力</t>
    <rPh sb="8" eb="10">
      <t>サンショウ</t>
    </rPh>
    <rPh sb="14" eb="16">
      <t>チョクセツ</t>
    </rPh>
    <rPh sb="16" eb="18">
      <t>ニュウリョク</t>
    </rPh>
    <phoneticPr fontId="4"/>
  </si>
  <si>
    <t>代表者役職</t>
    <rPh sb="0" eb="3">
      <t>ダイヒョウシャ</t>
    </rPh>
    <rPh sb="3" eb="5">
      <t>ヤクショク</t>
    </rPh>
    <phoneticPr fontId="4"/>
  </si>
  <si>
    <t>代表者氏名</t>
    <rPh sb="0" eb="3">
      <t>ダイヒョウシャ</t>
    </rPh>
    <rPh sb="3" eb="5">
      <t>シメイ</t>
    </rPh>
    <phoneticPr fontId="4"/>
  </si>
  <si>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</si>
  <si>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計画の区分等</t>
    <rPh sb="0" eb="2">
      <t>ケイカク</t>
    </rPh>
    <rPh sb="3" eb="5">
      <t>クブン</t>
    </rPh>
    <rPh sb="5" eb="6">
      <t>トウ</t>
    </rPh>
    <phoneticPr fontId="5"/>
  </si>
  <si>
    <t>工場等に関する削減計画</t>
    <rPh sb="0" eb="2">
      <t>コウジョウ</t>
    </rPh>
    <rPh sb="2" eb="3">
      <t>トウ</t>
    </rPh>
    <rPh sb="4" eb="5">
      <t>カン</t>
    </rPh>
    <rPh sb="7" eb="9">
      <t>サクゲン</t>
    </rPh>
    <rPh sb="9" eb="11">
      <t>ケイカク</t>
    </rPh>
    <phoneticPr fontId="5"/>
  </si>
  <si>
    <t>部門</t>
    <rPh sb="0" eb="2">
      <t>ブモン</t>
    </rPh>
    <phoneticPr fontId="5"/>
  </si>
  <si>
    <t>←第１号にチェックするとH21セルで「産業」又は「業務」を選択できるようにする（チェックがない場合は選択肢なし）</t>
    <rPh sb="25" eb="27">
      <t>ギョウム</t>
    </rPh>
    <phoneticPr fontId="4"/>
  </si>
  <si>
    <t>自動車に関する削減計画</t>
    <rPh sb="0" eb="3">
      <t>ジドウシャ</t>
    </rPh>
    <rPh sb="4" eb="5">
      <t>カン</t>
    </rPh>
    <rPh sb="7" eb="9">
      <t>サクゲン</t>
    </rPh>
    <rPh sb="9" eb="11">
      <t>ケイカク</t>
    </rPh>
    <phoneticPr fontId="5"/>
  </si>
  <si>
    <t>←Ｅ列を選択するとＩ列に「運輸」を自動表示（選択しない場合は空欄）…第２号（業務）も同様</t>
    <rPh sb="2" eb="3">
      <t>レツ</t>
    </rPh>
    <rPh sb="4" eb="6">
      <t>センタク</t>
    </rPh>
    <rPh sb="10" eb="11">
      <t>レツ</t>
    </rPh>
    <rPh sb="22" eb="24">
      <t>センタク</t>
    </rPh>
    <rPh sb="38" eb="40">
      <t>ギョウム</t>
    </rPh>
    <phoneticPr fontId="4"/>
  </si>
  <si>
    <t>主たる事業の業種</t>
    <phoneticPr fontId="5"/>
  </si>
  <si>
    <t>大分類</t>
    <rPh sb="0" eb="3">
      <t>ダイブンルイ</t>
    </rPh>
    <phoneticPr fontId="5"/>
  </si>
  <si>
    <t>中分類</t>
    <rPh sb="0" eb="3">
      <t>チュウブンルイ</t>
    </rPh>
    <phoneticPr fontId="5"/>
  </si>
  <si>
    <t>←大分類の選択結果に応じて中分類の選択肢変化</t>
    <phoneticPr fontId="4"/>
  </si>
  <si>
    <t>２　事業の規模等</t>
    <rPh sb="2" eb="4">
      <t>ジギョウ</t>
    </rPh>
    <rPh sb="5" eb="7">
      <t>キボ</t>
    </rPh>
    <rPh sb="7" eb="8">
      <t>トウ</t>
    </rPh>
    <phoneticPr fontId="4"/>
  </si>
  <si>
    <t>事業の規模</t>
    <phoneticPr fontId="4"/>
  </si>
  <si>
    <t>計画対象</t>
    <rPh sb="0" eb="2">
      <t>ケイカク</t>
    </rPh>
    <rPh sb="2" eb="4">
      <t>タイショウ</t>
    </rPh>
    <phoneticPr fontId="4"/>
  </si>
  <si>
    <t>原油換算エネルギー
使用量の合計量</t>
    <rPh sb="14" eb="16">
      <t>ゴウケイ</t>
    </rPh>
    <rPh sb="16" eb="17">
      <t>リョウ</t>
    </rPh>
    <phoneticPr fontId="5"/>
  </si>
  <si>
    <t>全　県</t>
    <rPh sb="0" eb="1">
      <t>ゼン</t>
    </rPh>
    <rPh sb="2" eb="3">
      <t>ケン</t>
    </rPh>
    <phoneticPr fontId="4"/>
  </si>
  <si>
    <t>ｋL</t>
    <phoneticPr fontId="5"/>
  </si>
  <si>
    <t>←原則全県（デフォルト設定）</t>
    <rPh sb="1" eb="3">
      <t>ゲンソク</t>
    </rPh>
    <rPh sb="3" eb="5">
      <t>ゼンケン</t>
    </rPh>
    <rPh sb="11" eb="13">
      <t>セッテイ</t>
    </rPh>
    <phoneticPr fontId="4"/>
  </si>
  <si>
    <t>横浜市・川崎市を除く県域</t>
    <rPh sb="0" eb="3">
      <t>ヨコハマシ</t>
    </rPh>
    <rPh sb="4" eb="6">
      <t>カワサキ</t>
    </rPh>
    <rPh sb="6" eb="7">
      <t>シ</t>
    </rPh>
    <rPh sb="8" eb="9">
      <t>ノゾ</t>
    </rPh>
    <rPh sb="10" eb="11">
      <t>ケン</t>
    </rPh>
    <rPh sb="11" eb="12">
      <t>イキ</t>
    </rPh>
    <phoneticPr fontId="4"/>
  </si>
  <si>
    <t>対象自動車
の使用台数</t>
    <rPh sb="0" eb="2">
      <t>タイショウ</t>
    </rPh>
    <rPh sb="7" eb="9">
      <t>シヨウ</t>
    </rPh>
    <phoneticPr fontId="5"/>
  </si>
  <si>
    <t>台</t>
    <rPh sb="0" eb="1">
      <t>ダイ</t>
    </rPh>
    <phoneticPr fontId="5"/>
  </si>
  <si>
    <t>３　計画期間</t>
    <rPh sb="2" eb="6">
      <t>ケイカクキカン</t>
    </rPh>
    <phoneticPr fontId="5"/>
  </si>
  <si>
    <t>計画期間</t>
    <rPh sb="0" eb="4">
      <t>ケイカクキカン</t>
    </rPh>
    <phoneticPr fontId="4"/>
  </si>
  <si>
    <t>年度～</t>
    <rPh sb="0" eb="1">
      <t>ネン</t>
    </rPh>
    <rPh sb="1" eb="2">
      <t>ド</t>
    </rPh>
    <phoneticPr fontId="4"/>
  </si>
  <si>
    <t>年度</t>
    <rPh sb="0" eb="1">
      <t>ネン</t>
    </rPh>
    <rPh sb="1" eb="2">
      <t>ド</t>
    </rPh>
    <phoneticPr fontId="4"/>
  </si>
  <si>
    <t>（基準年度：</t>
    <rPh sb="1" eb="3">
      <t>キジュン</t>
    </rPh>
    <rPh sb="3" eb="5">
      <t>ネンド</t>
    </rPh>
    <phoneticPr fontId="4"/>
  </si>
  <si>
    <t>年度）</t>
    <rPh sb="0" eb="1">
      <t>ネン</t>
    </rPh>
    <rPh sb="1" eb="2">
      <t>ド</t>
    </rPh>
    <phoneticPr fontId="4"/>
  </si>
  <si>
    <t>←計画書の始期は2025(ﾃﾞﾌｫﾙﾄ)、2026、2027からプルダウン選択</t>
    <rPh sb="1" eb="4">
      <t>ケイカクショ</t>
    </rPh>
    <rPh sb="5" eb="7">
      <t>シキ</t>
    </rPh>
    <rPh sb="37" eb="39">
      <t>センタク</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</si>
  <si>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</si>
  <si>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４　報告対象年度</t>
    <rPh sb="2" eb="4">
      <t>ホウコク</t>
    </rPh>
    <rPh sb="4" eb="6">
      <t>タイショウ</t>
    </rPh>
    <rPh sb="6" eb="8">
      <t>ネンド</t>
    </rPh>
    <phoneticPr fontId="4"/>
  </si>
  <si>
    <t>←現行の第１号様式（第２面）の「基本方針」の記載事項のうち、「県内における事業活動に伴う温室効果ガスの排出削減に向けた基本的な考え方」について端的に記載（５行まで）</t>
    <rPh sb="1" eb="3">
      <t>ゲンコウ</t>
    </rPh>
    <rPh sb="4" eb="5">
      <t>ダイ</t>
    </rPh>
    <rPh sb="6" eb="7">
      <t>ゴウ</t>
    </rPh>
    <rPh sb="7" eb="9">
      <t>ヨウシキ</t>
    </rPh>
    <rPh sb="10" eb="11">
      <t>ダイ</t>
    </rPh>
    <rPh sb="12" eb="13">
      <t>メン</t>
    </rPh>
    <rPh sb="16" eb="18">
      <t>キホン</t>
    </rPh>
    <rPh sb="18" eb="20">
      <t>ホウシン</t>
    </rPh>
    <rPh sb="22" eb="24">
      <t>キサイ</t>
    </rPh>
    <rPh sb="24" eb="26">
      <t>ジコウ</t>
    </rPh>
    <rPh sb="71" eb="73">
      <t>タンテキ</t>
    </rPh>
    <rPh sb="74" eb="76">
      <t>キサイ</t>
    </rPh>
    <rPh sb="78" eb="79">
      <t>ギョウ</t>
    </rPh>
    <phoneticPr fontId="4"/>
  </si>
  <si>
    <t>報告対象年度</t>
    <rPh sb="0" eb="2">
      <t>ホウコク</t>
    </rPh>
    <rPh sb="2" eb="4">
      <t>タイショウ</t>
    </rPh>
    <rPh sb="4" eb="6">
      <t>ネンド</t>
    </rPh>
    <phoneticPr fontId="4"/>
  </si>
  <si>
    <t>計画書等本体シート（第２～４面）</t>
    <rPh sb="0" eb="3">
      <t>ケイカクショ</t>
    </rPh>
    <rPh sb="3" eb="4">
      <t>トウ</t>
    </rPh>
    <rPh sb="4" eb="6">
      <t>ホンタイ</t>
    </rPh>
    <rPh sb="10" eb="11">
      <t>ダイ</t>
    </rPh>
    <rPh sb="14" eb="15">
      <t>メン</t>
    </rPh>
    <phoneticPr fontId="4"/>
  </si>
  <si>
    <t>2025年度に</t>
    <rPh sb="4" eb="6">
      <t>ネンド</t>
    </rPh>
    <phoneticPr fontId="4"/>
  </si>
  <si>
    <t>2026年度に</t>
    <rPh sb="4" eb="6">
      <t>ネンド</t>
    </rPh>
    <phoneticPr fontId="4"/>
  </si>
  <si>
    <t>2027年度に</t>
    <rPh sb="4" eb="6">
      <t>ネンド</t>
    </rPh>
    <phoneticPr fontId="4"/>
  </si>
  <si>
    <t>2028年度に</t>
    <rPh sb="4" eb="6">
      <t>ネンド</t>
    </rPh>
    <phoneticPr fontId="4"/>
  </si>
  <si>
    <t>2024年度実績と2027年度目標</t>
    <rPh sb="4" eb="6">
      <t>ネンド</t>
    </rPh>
    <rPh sb="6" eb="8">
      <t>ジッセキ</t>
    </rPh>
    <rPh sb="13" eb="15">
      <t>ネンド</t>
    </rPh>
    <rPh sb="15" eb="17">
      <t>モクヒョウ</t>
    </rPh>
    <phoneticPr fontId="4"/>
  </si>
  <si>
    <t>2025年度実績</t>
    <rPh sb="4" eb="6">
      <t>ネンド</t>
    </rPh>
    <rPh sb="6" eb="8">
      <t>ジッセキ</t>
    </rPh>
    <phoneticPr fontId="4"/>
  </si>
  <si>
    <t>2026年度実績</t>
    <rPh sb="4" eb="6">
      <t>ネンド</t>
    </rPh>
    <rPh sb="6" eb="8">
      <t>ジッセキ</t>
    </rPh>
    <phoneticPr fontId="4"/>
  </si>
  <si>
    <t>2027年度実績</t>
    <rPh sb="4" eb="6">
      <t>ネンド</t>
    </rPh>
    <rPh sb="6" eb="8">
      <t>ジッセキ</t>
    </rPh>
    <phoneticPr fontId="4"/>
  </si>
  <si>
    <t>について記入</t>
    <rPh sb="4" eb="6">
      <t>キニュウ</t>
    </rPh>
    <phoneticPr fontId="4"/>
  </si>
  <si>
    <t>（第２面）</t>
    <rPh sb="1" eb="2">
      <t>ダイ</t>
    </rPh>
    <rPh sb="3" eb="4">
      <t>メン</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</si>
  <si>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</si>
  <si>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(１)　基準年度の前年度等におけるエネルギー起源二酸化炭素の排出の量</t>
    <rPh sb="4" eb="6">
      <t>キジュン</t>
    </rPh>
    <rPh sb="6" eb="8">
      <t>ネンド</t>
    </rPh>
    <rPh sb="9" eb="12">
      <t>ゼンネンド</t>
    </rPh>
    <rPh sb="12" eb="13">
      <t>トウ</t>
    </rPh>
    <rPh sb="22" eb="24">
      <t>キゲン</t>
    </rPh>
    <rPh sb="24" eb="27">
      <t>ニサンカ</t>
    </rPh>
    <rPh sb="27" eb="29">
      <t>タンソ</t>
    </rPh>
    <rPh sb="30" eb="32">
      <t>ハイシュツ</t>
    </rPh>
    <rPh sb="33" eb="34">
      <t>リョウ</t>
    </rPh>
    <phoneticPr fontId="4"/>
  </si>
  <si>
    <t>比較年度の排出量</t>
    <rPh sb="0" eb="2">
      <t>ヒカク</t>
    </rPh>
    <rPh sb="2" eb="4">
      <t>ネンド</t>
    </rPh>
    <rPh sb="5" eb="7">
      <t>ハイシュツ</t>
    </rPh>
    <rPh sb="7" eb="8">
      <t>リョウ</t>
    </rPh>
    <phoneticPr fontId="4"/>
  </si>
  <si>
    <t>(基)</t>
    <rPh sb="1" eb="2">
      <t>モトイ</t>
    </rPh>
    <phoneticPr fontId="4"/>
  </si>
  <si>
    <r>
      <t>tCO</t>
    </r>
    <r>
      <rPr>
        <vertAlign val="subscript"/>
        <sz val="12"/>
        <color theme="1"/>
        <rFont val="游明朝"/>
        <family val="1"/>
        <charset val="128"/>
      </rPr>
      <t>2</t>
    </r>
    <phoneticPr fontId="4"/>
  </si>
  <si>
    <t>（</t>
    <phoneticPr fontId="4"/>
  </si>
  <si>
    <t>年度)</t>
    <rPh sb="0" eb="1">
      <t>ネン</t>
    </rPh>
    <rPh sb="1" eb="2">
      <t>ド</t>
    </rPh>
    <phoneticPr fontId="4"/>
  </si>
  <si>
    <t>(調)</t>
    <rPh sb="1" eb="2">
      <t>シラ</t>
    </rPh>
    <phoneticPr fontId="4"/>
  </si>
  <si>
    <t>←比較年度：2013（デフォルト）～2029から選択</t>
    <rPh sb="1" eb="3">
      <t>ヒカク</t>
    </rPh>
    <rPh sb="3" eb="5">
      <t>ネンド</t>
    </rPh>
    <rPh sb="24" eb="26">
      <t>センタク</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</si>
  <si>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</si>
  <si>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</si>
  <si>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</si>
  <si>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計画</t>
    <rPh sb="0" eb="2">
      <t>ケイカク</t>
    </rPh>
    <phoneticPr fontId="4"/>
  </si>
  <si>
    <t>実績</t>
    <rPh sb="0" eb="2">
      <t>ジッセキ</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</si>
  <si>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</si>
  <si>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基準年度</t>
    <rPh sb="0" eb="4">
      <t>キジュンネンド</t>
    </rPh>
    <phoneticPr fontId="4"/>
  </si>
  <si>
    <t>目標年度</t>
    <rPh sb="0" eb="2">
      <t>モクヒョウ</t>
    </rPh>
    <rPh sb="2" eb="4">
      <t>ネンド</t>
    </rPh>
    <phoneticPr fontId="4"/>
  </si>
  <si>
    <t>排出量</t>
    <rPh sb="0" eb="3">
      <t>ハイシュツリョウ</t>
    </rPh>
    <phoneticPr fontId="4"/>
  </si>
  <si>
    <t>基礎</t>
    <rPh sb="0" eb="2">
      <t>キソ</t>
    </rPh>
    <phoneticPr fontId="4"/>
  </si>
  <si>
    <t>基準年度比
削減率</t>
    <rPh sb="0" eb="2">
      <t>キジュン</t>
    </rPh>
    <rPh sb="2" eb="4">
      <t>ネンド</t>
    </rPh>
    <rPh sb="4" eb="5">
      <t>ヒ</t>
    </rPh>
    <rPh sb="6" eb="8">
      <t>サクゲン</t>
    </rPh>
    <rPh sb="8" eb="9">
      <t>リツ</t>
    </rPh>
    <phoneticPr fontId="4"/>
  </si>
  <si>
    <t>％</t>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</si>
  <si>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</si>
  <si>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</si>
  <si>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</si>
  <si>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</si>
  <si>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過去からの削減率
(比較年度比)</t>
    <rPh sb="0" eb="2">
      <t>カコ</t>
    </rPh>
    <rPh sb="5" eb="7">
      <t>サクゲン</t>
    </rPh>
    <rPh sb="7" eb="8">
      <t>リツ</t>
    </rPh>
    <rPh sb="10" eb="12">
      <t>ヒカク</t>
    </rPh>
    <rPh sb="12" eb="14">
      <t>ネンド</t>
    </rPh>
    <rPh sb="14" eb="15">
      <t>ヒ</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</si>
  <si>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</si>
  <si>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</si>
  <si>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</si>
  <si>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【選択肢（案）】</t>
    <rPh sb="1" eb="4">
      <t>センタクシ</t>
    </rPh>
    <rPh sb="4" eb="7">
      <t>アン</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</si>
  <si>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</si>
  <si>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名称</t>
    <rPh sb="0" eb="2">
      <t>メイショウ</t>
    </rPh>
    <phoneticPr fontId="4"/>
  </si>
  <si>
    <t>所在地</t>
    <rPh sb="0" eb="3">
      <t>ショザイチ</t>
    </rPh>
    <phoneticPr fontId="4"/>
  </si>
  <si>
    <t>（第２－２面）</t>
    <rPh sb="1" eb="2">
      <t>ダイ</t>
    </rPh>
    <rPh sb="5" eb="6">
      <t>メン</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</si>
  <si>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</si>
  <si>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（第３面）</t>
    <rPh sb="1" eb="2">
      <t>ダイ</t>
    </rPh>
    <rPh sb="3" eb="4">
      <t>メン</t>
    </rPh>
    <phoneticPr fontId="4"/>
  </si>
  <si>
    <t>(１)　エネルギー消費原単位の指標</t>
    <rPh sb="9" eb="11">
      <t>ショウヒ</t>
    </rPh>
    <rPh sb="11" eb="14">
      <t>ゲンタンイ</t>
    </rPh>
    <rPh sb="15" eb="17">
      <t>シヒョウ</t>
    </rPh>
    <phoneticPr fontId="4"/>
  </si>
  <si>
    <t>指標の名称</t>
    <rPh sb="0" eb="2">
      <t>シヒョウ</t>
    </rPh>
    <rPh sb="3" eb="5">
      <t>メイショウ</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</si>
  <si>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</si>
  <si>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</si>
  <si>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指標の単位</t>
    <rPh sb="0" eb="2">
      <t>シヒョウ</t>
    </rPh>
    <rPh sb="3" eb="5">
      <t>タンイ</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</si>
  <si>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</si>
  <si>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(２)　エネルギー消費原単位の改善目標標及び改善の状況</t>
    <rPh sb="9" eb="11">
      <t>ショウヒ</t>
    </rPh>
    <rPh sb="11" eb="14">
      <t>ゲンタンイ</t>
    </rPh>
    <rPh sb="15" eb="17">
      <t>カイゼン</t>
    </rPh>
    <rPh sb="17" eb="19">
      <t>モクヒョウ</t>
    </rPh>
    <rPh sb="19" eb="20">
      <t>シルベ</t>
    </rPh>
    <rPh sb="20" eb="21">
      <t>オヨ</t>
    </rPh>
    <rPh sb="22" eb="24">
      <t>カイゼン</t>
    </rPh>
    <rPh sb="25" eb="27">
      <t>ジョウキョウ</t>
    </rPh>
    <phoneticPr fontId="4"/>
  </si>
  <si>
    <r>
      <t>エネルギー消費原単位</t>
    </r>
    <r>
      <rPr>
        <vertAlign val="superscript"/>
        <sz val="12"/>
        <color theme="1"/>
        <rFont val="游明朝"/>
        <family val="1"/>
        <charset val="128"/>
      </rPr>
      <t>※3</t>
    </r>
    <rPh sb="5" eb="10">
      <t>ショウヒゲンタンイ</t>
    </rPh>
    <phoneticPr fontId="4"/>
  </si>
  <si>
    <t>改善率(対前年度比)</t>
    <rPh sb="0" eb="2">
      <t>カイゼン</t>
    </rPh>
    <rPh sb="2" eb="3">
      <t>リツ</t>
    </rPh>
    <rPh sb="4" eb="5">
      <t>タイ</t>
    </rPh>
    <rPh sb="5" eb="8">
      <t>ゼンネンド</t>
    </rPh>
    <rPh sb="8" eb="9">
      <t>ヒ</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</si>
  <si>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</si>
  <si>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</si>
  <si>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</si>
  <si>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エネルギー消費原単位</t>
    <rPh sb="5" eb="10">
      <t>ショウヒゲンタンイ</t>
    </rPh>
    <phoneticPr fontId="4"/>
  </si>
  <si>
    <r>
      <t>%</t>
    </r>
    <r>
      <rPr>
        <vertAlign val="superscript"/>
        <sz val="12"/>
        <color theme="1"/>
        <rFont val="游明朝"/>
        <family val="1"/>
        <charset val="128"/>
      </rPr>
      <t>※5</t>
    </r>
    <phoneticPr fontId="4"/>
  </si>
  <si>
    <t>※5) 年率</t>
    <phoneticPr fontId="4"/>
  </si>
  <si>
    <t>７－１　再生可能エネルギー等の利用又は導入に係る事項（工場等に関する計画）</t>
    <rPh sb="4" eb="6">
      <t>サイセイ</t>
    </rPh>
    <rPh sb="6" eb="8">
      <t>カノウ</t>
    </rPh>
    <rPh sb="13" eb="14">
      <t>トウ</t>
    </rPh>
    <rPh sb="15" eb="17">
      <t>リヨウ</t>
    </rPh>
    <rPh sb="17" eb="18">
      <t>マタ</t>
    </rPh>
    <rPh sb="19" eb="21">
      <t>ドウニュウ</t>
    </rPh>
    <rPh sb="22" eb="23">
      <t>カカ</t>
    </rPh>
    <rPh sb="24" eb="26">
      <t>ジコウ</t>
    </rPh>
    <phoneticPr fontId="5"/>
  </si>
  <si>
    <t>割合</t>
    <rPh sb="0" eb="2">
      <t>ワリアイ</t>
    </rPh>
    <phoneticPr fontId="4"/>
  </si>
  <si>
    <t>７－２　再生可能エネルギー等の利用又は導入に係る事項（自動車に関する計画）</t>
    <rPh sb="4" eb="6">
      <t>サイセイ</t>
    </rPh>
    <rPh sb="6" eb="8">
      <t>カノウ</t>
    </rPh>
    <rPh sb="13" eb="14">
      <t>トウ</t>
    </rPh>
    <rPh sb="15" eb="17">
      <t>リヨウ</t>
    </rPh>
    <rPh sb="17" eb="18">
      <t>マタ</t>
    </rPh>
    <rPh sb="19" eb="21">
      <t>ドウニュウ</t>
    </rPh>
    <rPh sb="22" eb="23">
      <t>カカ</t>
    </rPh>
    <rPh sb="24" eb="26">
      <t>ジコウ</t>
    </rPh>
    <phoneticPr fontId="5"/>
  </si>
  <si>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</si>
  <si>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</si>
  <si>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①電気自動車</t>
    <rPh sb="1" eb="3">
      <t>デンキ</t>
    </rPh>
    <rPh sb="3" eb="5">
      <t>ジドウ</t>
    </rPh>
    <rPh sb="5" eb="6">
      <t>シャ</t>
    </rPh>
    <phoneticPr fontId="4"/>
  </si>
  <si>
    <t>台</t>
    <rPh sb="0" eb="1">
      <t>ダイ</t>
    </rPh>
    <phoneticPr fontId="4"/>
  </si>
  <si>
    <t>②燃料電池自動車</t>
    <rPh sb="1" eb="3">
      <t>ネンリョウ</t>
    </rPh>
    <rPh sb="3" eb="5">
      <t>デンチ</t>
    </rPh>
    <rPh sb="5" eb="8">
      <t>ジドウシャ</t>
    </rPh>
    <phoneticPr fontId="4"/>
  </si>
  <si>
    <t>③その他</t>
    <phoneticPr fontId="4"/>
  </si>
  <si>
    <t>所有台数の合計</t>
    <rPh sb="0" eb="2">
      <t>ショユウ</t>
    </rPh>
    <rPh sb="2" eb="4">
      <t>ダイスウ</t>
    </rPh>
    <rPh sb="5" eb="7">
      <t>ゴウケイ</t>
    </rPh>
    <phoneticPr fontId="4"/>
  </si>
  <si>
    <t>①・②の割合</t>
    <phoneticPr fontId="4"/>
  </si>
  <si>
    <t>%</t>
    <phoneticPr fontId="4"/>
  </si>
  <si>
    <t>所有台数</t>
    <rPh sb="0" eb="2">
      <t>ショユウ</t>
    </rPh>
    <rPh sb="2" eb="4">
      <t>ダイスウ</t>
    </rPh>
    <phoneticPr fontId="4"/>
  </si>
  <si>
    <t>（第４面）</t>
    <rPh sb="1" eb="2">
      <t>ダイ</t>
    </rPh>
    <rPh sb="3" eb="4">
      <t>メン</t>
    </rPh>
    <phoneticPr fontId="4"/>
  </si>
  <si>
    <t>(１)　2050年までの脱炭素化の表明（対象年度末時点）</t>
    <rPh sb="8" eb="9">
      <t>ネン</t>
    </rPh>
    <rPh sb="12" eb="13">
      <t>ダツ</t>
    </rPh>
    <rPh sb="13" eb="15">
      <t>タンソ</t>
    </rPh>
    <rPh sb="15" eb="16">
      <t>カ</t>
    </rPh>
    <rPh sb="17" eb="19">
      <t>ヒョウメイ</t>
    </rPh>
    <phoneticPr fontId="4"/>
  </si>
  <si>
    <t>脱炭素化の表明の有無</t>
    <rPh sb="0" eb="1">
      <t>ダツ</t>
    </rPh>
    <rPh sb="1" eb="3">
      <t>タンソ</t>
    </rPh>
    <rPh sb="3" eb="4">
      <t>カ</t>
    </rPh>
    <rPh sb="5" eb="7">
      <t>ヒョウメイ</t>
    </rPh>
    <rPh sb="8" eb="10">
      <t>ウム</t>
    </rPh>
    <phoneticPr fontId="4"/>
  </si>
  <si>
    <t>←有り、無し、未定（…未定は目標年度のみ）</t>
    <rPh sb="1" eb="2">
      <t>ア</t>
    </rPh>
    <rPh sb="4" eb="5">
      <t>ナ</t>
    </rPh>
    <rPh sb="7" eb="9">
      <t>ミテイ</t>
    </rPh>
    <rPh sb="11" eb="13">
      <t>ミテイ</t>
    </rPh>
    <rPh sb="14" eb="16">
      <t>モクヒョウ</t>
    </rPh>
    <rPh sb="16" eb="18">
      <t>ネンド</t>
    </rPh>
    <phoneticPr fontId="4"/>
  </si>
  <si>
    <t>脱炭素化目標年度</t>
    <rPh sb="0" eb="1">
      <t>ダツ</t>
    </rPh>
    <rPh sb="1" eb="3">
      <t>タンソ</t>
    </rPh>
    <rPh sb="3" eb="4">
      <t>カ</t>
    </rPh>
    <rPh sb="4" eb="6">
      <t>モクヒョウ</t>
    </rPh>
    <rPh sb="6" eb="8">
      <t>ネンド</t>
    </rPh>
    <phoneticPr fontId="4"/>
  </si>
  <si>
    <t>主たる表明者</t>
    <rPh sb="0" eb="1">
      <t>シュ</t>
    </rPh>
    <rPh sb="3" eb="5">
      <t>ヒョウメイ</t>
    </rPh>
    <rPh sb="5" eb="6">
      <t>シャ</t>
    </rPh>
    <phoneticPr fontId="4"/>
  </si>
  <si>
    <t>URL</t>
    <phoneticPr fontId="4"/>
  </si>
  <si>
    <t>←変更があれば毎年度上書き</t>
    <rPh sb="1" eb="3">
      <t>ヘンコウ</t>
    </rPh>
    <rPh sb="7" eb="10">
      <t>マイネンド</t>
    </rPh>
    <rPh sb="10" eb="12">
      <t>ウワガ</t>
    </rPh>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</si>
  <si>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</si>
  <si>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r>
      <t>(２)　2050年までの脱炭素化を前提とした中長期計画の策定及び公表（対象年度末時点）</t>
    </r>
    <r>
      <rPr>
        <b/>
        <sz val="12"/>
        <color rgb="FFFF0000"/>
        <rFont val="游ゴシック"/>
        <family val="3"/>
        <charset val="128"/>
      </rPr>
      <t>（任意）</t>
    </r>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rPh sb="44" eb="46">
      <t>ニンイ</t>
    </rPh>
    <phoneticPr fontId="4"/>
  </si>
  <si>
    <t>計画の策定等の状況</t>
    <rPh sb="0" eb="2">
      <t>ケイカク</t>
    </rPh>
    <rPh sb="3" eb="5">
      <t>サクテイ</t>
    </rPh>
    <rPh sb="5" eb="6">
      <t>トウ</t>
    </rPh>
    <rPh sb="7" eb="9">
      <t>ジョウキョウ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</si>
  <si>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</si>
  <si>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主たる策定者</t>
    <rPh sb="0" eb="1">
      <t>シュ</t>
    </rPh>
    <rPh sb="3" eb="5">
      <t>サクテイ</t>
    </rPh>
    <rPh sb="5" eb="6">
      <t>シャ</t>
    </rPh>
    <phoneticPr fontId="4"/>
  </si>
  <si>
    <r>
      <t>(３)　SBT等イニシアティブに関する取組（対象年度末時点）</t>
    </r>
    <r>
      <rPr>
        <b/>
        <sz val="12"/>
        <color rgb="FFFF0000"/>
        <rFont val="游ゴシック"/>
        <family val="3"/>
        <charset val="128"/>
      </rPr>
      <t>（任意）</t>
    </r>
    <rPh sb="7" eb="8">
      <t>トウ</t>
    </rPh>
    <rPh sb="16" eb="17">
      <t>カン</t>
    </rPh>
    <rPh sb="19" eb="21">
      <t>トリクミ</t>
    </rPh>
    <phoneticPr fontId="4"/>
  </si>
  <si>
    <t>SBT認定の取得</t>
    <rPh sb="3" eb="5">
      <t>ニンテイ</t>
    </rPh>
    <rPh sb="6" eb="8">
      <t>シュトク</t>
    </rPh>
    <phoneticPr fontId="4"/>
  </si>
  <si>
    <t>TCFD提言への賛同</t>
    <rPh sb="4" eb="6">
      <t>テイゲン</t>
    </rPh>
    <rPh sb="8" eb="10">
      <t>サンドウ</t>
    </rPh>
    <phoneticPr fontId="4"/>
  </si>
  <si>
    <t>RE100への参加</t>
    <rPh sb="7" eb="9">
      <t>サンカ</t>
    </rPh>
    <phoneticPr fontId="4"/>
  </si>
  <si>
    <t>RE Actionへの参加</t>
    <rPh sb="11" eb="13">
      <t>サンカ</t>
    </rPh>
    <phoneticPr fontId="4"/>
  </si>
  <si>
    <r>
      <t>(４)　サプライチェーン全体での削減の取組</t>
    </r>
    <r>
      <rPr>
        <b/>
        <sz val="12"/>
        <color rgb="FFFF0000"/>
        <rFont val="游ゴシック"/>
        <family val="3"/>
        <charset val="128"/>
      </rPr>
      <t>（任意）</t>
    </r>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</si>
  <si>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</si>
  <si>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※SC：サプライチェーンの略</t>
    <rPh sb="13" eb="14">
      <t>リャク</t>
    </rPh>
    <phoneticPr fontId="4"/>
  </si>
  <si>
    <t>９　地域の地球温暖化対策の推進への貢献に係る事項</t>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</si>
  <si>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</si>
  <si>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取組の有無</t>
    <rPh sb="0" eb="2">
      <t>トリクミ</t>
    </rPh>
    <rPh sb="3" eb="5">
      <t>ウム</t>
    </rPh>
    <phoneticPr fontId="4"/>
  </si>
  <si>
    <t>取組の内容</t>
    <rPh sb="0" eb="2">
      <t>トリクミ</t>
    </rPh>
    <rPh sb="3" eb="5">
      <t>ナイヨウ</t>
    </rPh>
    <phoneticPr fontId="4"/>
  </si>
  <si>
    <t>評価結果確認シート</t>
    <phoneticPr fontId="4"/>
  </si>
  <si>
    <t>評価項目</t>
    <rPh sb="0" eb="2">
      <t>ヒョウカ</t>
    </rPh>
    <rPh sb="2" eb="4">
      <t>コウモク</t>
    </rPh>
    <phoneticPr fontId="5"/>
  </si>
  <si>
    <t>計画書提出</t>
    <rPh sb="0" eb="3">
      <t>ケイカクショ</t>
    </rPh>
    <rPh sb="3" eb="5">
      <t>テイシュツ</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</si>
  <si>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</si>
  <si>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</si>
  <si>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</si>
  <si>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</si>
  <si>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</si>
  <si>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</si>
  <si>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</si>
  <si>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評価</t>
    <rPh sb="0" eb="2">
      <t>ヒョウカ</t>
    </rPh>
    <phoneticPr fontId="5"/>
  </si>
  <si>
    <t>単位</t>
    <rPh sb="0" eb="2">
      <t>タンイ</t>
    </rPh>
    <phoneticPr fontId="4"/>
  </si>
  <si>
    <t>配点</t>
    <rPh sb="0" eb="2">
      <t>ハイテン</t>
    </rPh>
    <phoneticPr fontId="4"/>
  </si>
  <si>
    <t>温室効果ガス排出量削減</t>
    <phoneticPr fontId="4"/>
  </si>
  <si>
    <t>%/年</t>
    <rPh sb="2" eb="3">
      <t>ネン</t>
    </rPh>
    <phoneticPr fontId="7"/>
  </si>
  <si>
    <t>%
(計画期間）</t>
    <rPh sb="3" eb="5">
      <t>ケイカク</t>
    </rPh>
    <rPh sb="5" eb="7">
      <t>キカン</t>
    </rPh>
    <phoneticPr fontId="7"/>
  </si>
  <si>
    <t>エネルギー消費原単位の削減率</t>
    <phoneticPr fontId="4"/>
  </si>
  <si>
    <t>%</t>
    <phoneticPr fontId="7"/>
  </si>
  <si>
    <t>-</t>
  </si>
  <si>
    <t>2050年までの脱炭素化を前提とした中長期計画の策定等</t>
    <phoneticPr fontId="4"/>
  </si>
  <si>
    <t>SBT</t>
    <phoneticPr fontId="4"/>
  </si>
  <si>
    <t>TCFD</t>
    <phoneticPr fontId="4"/>
  </si>
  <si>
    <t>RE100</t>
    <phoneticPr fontId="4"/>
  </si>
  <si>
    <t>RE Action</t>
    <phoneticPr fontId="4"/>
  </si>
  <si>
    <t>計画書</t>
    <rPh sb="0" eb="3">
      <t>ケイカクショ</t>
    </rPh>
    <phoneticPr fontId="5"/>
  </si>
  <si>
    <t>台以上</t>
    <rPh sb="0" eb="1">
      <t>ダイ</t>
    </rPh>
    <rPh sb="1" eb="3">
      <t>イジョウ</t>
    </rPh>
    <phoneticPr fontId="7"/>
  </si>
  <si>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</si>
  <si>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</si>
  <si>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</si>
  <si>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</si>
  <si>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原油換算エネルギー使用量計算表</t>
    <rPh sb="0" eb="4">
      <t>ゲンユカンサン</t>
    </rPh>
    <rPh sb="9" eb="12">
      <t>シヨウリョウ</t>
    </rPh>
    <rPh sb="12" eb="14">
      <t>ケイサン</t>
    </rPh>
    <rPh sb="14" eb="15">
      <t>ヒョウ</t>
    </rPh>
    <phoneticPr fontId="4"/>
  </si>
  <si>
    <t>シート内リンク</t>
    <rPh sb="3" eb="4">
      <t>ナイ</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</si>
  <si>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</si>
  <si>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</si>
  <si>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</si>
  <si>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事 業 者 名：</t>
    <rPh sb="0" eb="1">
      <t>コト</t>
    </rPh>
    <rPh sb="2" eb="3">
      <t>ギョウ</t>
    </rPh>
    <rPh sb="4" eb="5">
      <t>シャ</t>
    </rPh>
    <rPh sb="6" eb="7">
      <t>メイ</t>
    </rPh>
    <phoneticPr fontId="4"/>
  </si>
  <si>
    <t>単位発熱量</t>
    <rPh sb="0" eb="2">
      <t>タンイ</t>
    </rPh>
    <rPh sb="2" eb="4">
      <t>ハツネツ</t>
    </rPh>
    <rPh sb="4" eb="5">
      <t>リョウ</t>
    </rPh>
    <phoneticPr fontId="5"/>
  </si>
  <si>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</si>
  <si>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</si>
  <si>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</si>
  <si>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</si>
  <si>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</si>
  <si>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エネルギー管理指定工場等</t>
    <rPh sb="5" eb="7">
      <t>カンリ</t>
    </rPh>
    <rPh sb="7" eb="9">
      <t>シテイ</t>
    </rPh>
    <rPh sb="9" eb="11">
      <t>コウジョウ</t>
    </rPh>
    <phoneticPr fontId="5"/>
  </si>
  <si>
    <t>原単位の指標：</t>
    <rPh sb="0" eb="3">
      <t>ゲンタンイ</t>
    </rPh>
    <rPh sb="4" eb="6">
      <t>シヒョウ</t>
    </rPh>
    <phoneticPr fontId="4"/>
  </si>
  <si>
    <t>名　称</t>
    <rPh sb="0" eb="1">
      <t>ナ</t>
    </rPh>
    <rPh sb="2" eb="3">
      <t>ショウ</t>
    </rPh>
    <phoneticPr fontId="4"/>
  </si>
  <si>
    <t>原油換算エネルギー使用量</t>
    <rPh sb="0" eb="2">
      <t>ゲンユ</t>
    </rPh>
    <rPh sb="2" eb="4">
      <t>カンサン</t>
    </rPh>
    <rPh sb="9" eb="12">
      <t>シヨウリョウ</t>
    </rPh>
    <phoneticPr fontId="4"/>
  </si>
  <si>
    <t>第１号、第２号該当事業者</t>
    <rPh sb="0" eb="1">
      <t>ダイ</t>
    </rPh>
    <rPh sb="2" eb="3">
      <t>ゴウ</t>
    </rPh>
    <rPh sb="4" eb="5">
      <t>ダイ</t>
    </rPh>
    <rPh sb="6" eb="7">
      <t>ゴウ</t>
    </rPh>
    <rPh sb="7" eb="12">
      <t>ガイトウジギョウシャ</t>
    </rPh>
    <phoneticPr fontId="4"/>
  </si>
  <si>
    <t>燃料</t>
    <rPh sb="0" eb="2">
      <t>ネンリョウ</t>
    </rPh>
    <phoneticPr fontId="4"/>
  </si>
  <si>
    <t>化石燃料</t>
    <rPh sb="0" eb="2">
      <t>カセキ</t>
    </rPh>
    <phoneticPr fontId="4"/>
  </si>
  <si>
    <t>原油のうちコンデンセート(NGL)</t>
    <rPh sb="0" eb="2">
      <t>ゲンユ</t>
    </rPh>
    <phoneticPr fontId="7"/>
  </si>
  <si>
    <t>揮発油（ガソリン）</t>
    <phoneticPr fontId="4"/>
  </si>
  <si>
    <t>ジェット燃料油</t>
    <rPh sb="4" eb="7">
      <t>ネンリョウユ</t>
    </rPh>
    <phoneticPr fontId="5"/>
  </si>
  <si>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</si>
  <si>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</si>
  <si>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</si>
  <si>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</si>
  <si>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</si>
  <si>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</si>
  <si>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</si>
  <si>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</si>
  <si>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</si>
  <si>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</si>
  <si>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発電用高炉ガス</t>
    <rPh sb="2" eb="3">
      <t>ヨウ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</si>
  <si>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</si>
  <si>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</si>
  <si>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</si>
  <si>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黒液</t>
    <rPh sb="0" eb="2">
      <t>クロエキ</t>
    </rPh>
    <phoneticPr fontId="5"/>
  </si>
  <si>
    <t>木材</t>
    <rPh sb="0" eb="2">
      <t>モクザイ</t>
    </rPh>
    <phoneticPr fontId="5"/>
  </si>
  <si>
    <t>木質廃材</t>
    <rPh sb="0" eb="4">
      <t>モクシツハイザイ</t>
    </rPh>
    <phoneticPr fontId="5"/>
  </si>
  <si>
    <t>その他バイオマス</t>
    <rPh sb="2" eb="3">
      <t>タ</t>
    </rPh>
    <phoneticPr fontId="5"/>
  </si>
  <si>
    <t>廃タイヤ</t>
    <rPh sb="0" eb="1">
      <t>ハイ</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</si>
  <si>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</si>
  <si>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</si>
  <si>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</si>
  <si>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</si>
  <si>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</si>
  <si>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</si>
  <si>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</si>
  <si>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</si>
  <si>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</si>
  <si>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</si>
  <si>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</si>
  <si>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</si>
  <si>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</si>
  <si>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</si>
  <si>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</si>
  <si>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</si>
  <si>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</si>
  <si>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</si>
  <si>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</si>
  <si>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</si>
  <si>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</si>
  <si>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</si>
  <si>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</si>
  <si>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7"/>
  </si>
  <si>
    <t>千kWh</t>
    <rPh sb="0" eb="1">
      <t>セン</t>
    </rPh>
    <phoneticPr fontId="51"/>
  </si>
  <si>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</si>
  <si>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</si>
  <si>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</si>
  <si>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</si>
  <si>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うち非化石</t>
    <rPh sb="2" eb="3">
      <t>ヒ</t>
    </rPh>
    <rPh sb="3" eb="5">
      <t>カセキ</t>
    </rPh>
    <phoneticPr fontId="4"/>
  </si>
  <si>
    <t>その他の買電</t>
    <rPh sb="2" eb="3">
      <t>タ</t>
    </rPh>
    <rPh sb="4" eb="6">
      <t>カイデン</t>
    </rPh>
    <phoneticPr fontId="4"/>
  </si>
  <si>
    <t>自家発電</t>
    <rPh sb="0" eb="2">
      <t>ジカ</t>
    </rPh>
    <rPh sb="2" eb="4">
      <t>ハツデン</t>
    </rPh>
    <phoneticPr fontId="5"/>
  </si>
  <si>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</si>
  <si>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</si>
  <si>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</si>
  <si>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</si>
  <si>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</si>
  <si>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</si>
  <si>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</si>
  <si>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</si>
  <si>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</si>
  <si>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</si>
  <si>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</si>
  <si>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E</t>
    <phoneticPr fontId="4"/>
  </si>
  <si>
    <t>GJ</t>
    <phoneticPr fontId="4"/>
  </si>
  <si>
    <t>小計（熱）</t>
    <rPh sb="0" eb="2">
      <t>ショウケイ</t>
    </rPh>
    <rPh sb="3" eb="4">
      <t>ネツ</t>
    </rPh>
    <phoneticPr fontId="4"/>
  </si>
  <si>
    <t>F</t>
    <phoneticPr fontId="4"/>
  </si>
  <si>
    <t>小計（電気）</t>
    <rPh sb="0" eb="2">
      <t>ショウケイ</t>
    </rPh>
    <rPh sb="3" eb="5">
      <t>デンキ</t>
    </rPh>
    <phoneticPr fontId="4"/>
  </si>
  <si>
    <t>（A～Dを除く）</t>
    <rPh sb="5" eb="6">
      <t>ノゾ</t>
    </rPh>
    <phoneticPr fontId="4"/>
  </si>
  <si>
    <t>G</t>
    <phoneticPr fontId="4"/>
  </si>
  <si>
    <t>合計</t>
    <rPh sb="0" eb="2">
      <t>ゴウケイ</t>
    </rPh>
    <phoneticPr fontId="4"/>
  </si>
  <si>
    <t>（E+F+G）</t>
    <phoneticPr fontId="4"/>
  </si>
  <si>
    <t>H</t>
    <phoneticPr fontId="4"/>
  </si>
  <si>
    <t>原油換算エネルギー使用量</t>
    <rPh sb="0" eb="4">
      <t>ゲンユカンサン</t>
    </rPh>
    <rPh sb="9" eb="12">
      <t>シヨウリョウ</t>
    </rPh>
    <phoneticPr fontId="4"/>
  </si>
  <si>
    <t>（H×0.0258）</t>
    <phoneticPr fontId="4"/>
  </si>
  <si>
    <t>I</t>
    <phoneticPr fontId="4"/>
  </si>
  <si>
    <t>ｋＬ</t>
    <phoneticPr fontId="4"/>
  </si>
  <si>
    <t>エネルギー消費原単位</t>
    <phoneticPr fontId="15"/>
  </si>
  <si>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</si>
  <si>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</si>
  <si>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</si>
  <si>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</si>
  <si>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</si>
  <si>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</si>
  <si>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</si>
  <si>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</si>
  <si>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</si>
  <si>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</si>
  <si>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</si>
  <si>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</si>
  <si>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</si>
  <si>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</si>
  <si>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</si>
  <si>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</si>
  <si>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</si>
  <si>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</si>
  <si>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</si>
  <si>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</si>
  <si>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</si>
  <si>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</si>
  <si>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</si>
  <si>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</si>
  <si>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</si>
  <si>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</si>
  <si>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再生可能エネルギー等の割合</t>
    <phoneticPr fontId="4"/>
  </si>
  <si>
    <t>電気由来クレジット量</t>
    <rPh sb="0" eb="2">
      <t>デンキ</t>
    </rPh>
    <rPh sb="2" eb="4">
      <t>ユライ</t>
    </rPh>
    <rPh sb="9" eb="10">
      <t>リョウ</t>
    </rPh>
    <phoneticPr fontId="4"/>
  </si>
  <si>
    <t>千kWh</t>
    <rPh sb="0" eb="1">
      <t>セン</t>
    </rPh>
    <phoneticPr fontId="4"/>
  </si>
  <si>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</si>
  <si>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</si>
  <si>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　販売した副生エネルギー除く</t>
    <rPh sb="1" eb="3">
      <t>ハンバイ</t>
    </rPh>
    <rPh sb="5" eb="7">
      <t>フクセイ</t>
    </rPh>
    <rPh sb="12" eb="13">
      <t>ノゾ</t>
    </rPh>
    <phoneticPr fontId="4"/>
  </si>
  <si>
    <t>使用電力量合計</t>
    <rPh sb="0" eb="2">
      <t>シヨウ</t>
    </rPh>
    <rPh sb="2" eb="4">
      <t>デンリョク</t>
    </rPh>
    <rPh sb="4" eb="5">
      <t>リョウ</t>
    </rPh>
    <rPh sb="5" eb="7">
      <t>ゴウケイ</t>
    </rPh>
    <phoneticPr fontId="4"/>
  </si>
  <si>
    <t>再生可能エネルギー等の割合</t>
    <rPh sb="0" eb="2">
      <t>サイセイ</t>
    </rPh>
    <rPh sb="2" eb="4">
      <t>カノウ</t>
    </rPh>
    <rPh sb="9" eb="10">
      <t>トウ</t>
    </rPh>
    <rPh sb="11" eb="13">
      <t>ワリアイ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</si>
  <si>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</si>
  <si>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</si>
  <si>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</si>
  <si>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</si>
  <si>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</si>
  <si>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kl</t>
    <phoneticPr fontId="4"/>
  </si>
  <si>
    <t>t</t>
    <phoneticPr fontId="4"/>
  </si>
  <si>
    <t>都市ガス(ＣＮＧ含む)</t>
    <rPh sb="0" eb="2">
      <t>トシ</t>
    </rPh>
    <rPh sb="8" eb="9">
      <t>フク</t>
    </rPh>
    <phoneticPr fontId="4"/>
  </si>
  <si>
    <t>その他の非化石燃料</t>
    <rPh sb="2" eb="3">
      <t>タ</t>
    </rPh>
    <rPh sb="4" eb="5">
      <t>ヒ</t>
    </rPh>
    <rPh sb="5" eb="7">
      <t>カセキ</t>
    </rPh>
    <rPh sb="7" eb="9">
      <t>ネンリョウ</t>
    </rPh>
    <phoneticPr fontId="50"/>
  </si>
  <si>
    <t>千kWh</t>
    <phoneticPr fontId="4"/>
  </si>
  <si>
    <t>kW</t>
    <phoneticPr fontId="4"/>
  </si>
  <si>
    <t>その他の熱(化石)</t>
    <rPh sb="4" eb="5">
      <t>ネツ</t>
    </rPh>
    <rPh sb="6" eb="8">
      <t>カセキ</t>
    </rPh>
    <phoneticPr fontId="5"/>
  </si>
  <si>
    <t>その他の熱(非化石)</t>
    <rPh sb="4" eb="5">
      <t>ネツ</t>
    </rPh>
    <rPh sb="6" eb="7">
      <t>ヒ</t>
    </rPh>
    <rPh sb="7" eb="9">
      <t>カセキ</t>
    </rPh>
    <phoneticPr fontId="5"/>
  </si>
  <si>
    <t>d</t>
    <phoneticPr fontId="4"/>
  </si>
  <si>
    <t>e</t>
    <phoneticPr fontId="4"/>
  </si>
  <si>
    <t>（a~dを除く）</t>
    <rPh sb="5" eb="6">
      <t>ノゾ</t>
    </rPh>
    <phoneticPr fontId="4"/>
  </si>
  <si>
    <t>g</t>
    <phoneticPr fontId="4"/>
  </si>
  <si>
    <t>（e+g）</t>
    <phoneticPr fontId="4"/>
  </si>
  <si>
    <t>h</t>
    <phoneticPr fontId="4"/>
  </si>
  <si>
    <t>i</t>
    <phoneticPr fontId="4"/>
  </si>
  <si>
    <t>k</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</si>
  <si>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</si>
  <si>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</si>
  <si>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</si>
  <si>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</si>
  <si>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</si>
  <si>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</si>
  <si>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</si>
  <si>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</si>
  <si>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</si>
  <si>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</si>
  <si>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</si>
  <si>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</si>
  <si>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</si>
  <si>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</si>
  <si>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</si>
  <si>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</si>
  <si>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</si>
  <si>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</si>
  <si>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</si>
  <si>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</si>
  <si>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</si>
  <si>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</si>
  <si>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</si>
  <si>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</si>
  <si>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</si>
  <si>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</si>
  <si>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</si>
  <si>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</si>
  <si>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</si>
  <si>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</si>
  <si>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</si>
  <si>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</si>
  <si>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</si>
  <si>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</si>
  <si>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</si>
  <si>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</si>
  <si>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購入した未利用熱の量</t>
    <rPh sb="0" eb="2">
      <t>コウニュウ</t>
    </rPh>
    <rPh sb="4" eb="7">
      <t>ミリヨウ</t>
    </rPh>
    <rPh sb="7" eb="8">
      <t>ネツ</t>
    </rPh>
    <rPh sb="9" eb="10">
      <t>リョウ</t>
    </rPh>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</si>
  <si>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</si>
  <si>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</si>
  <si>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</si>
  <si>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</si>
  <si>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</si>
  <si>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</si>
  <si>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排出係数</t>
    <rPh sb="0" eb="2">
      <t>ハイシュツ</t>
    </rPh>
    <rPh sb="2" eb="4">
      <t>ケイスウ</t>
    </rPh>
    <phoneticPr fontId="5"/>
  </si>
  <si>
    <t>指定工場等1</t>
    <rPh sb="0" eb="2">
      <t>シテイ</t>
    </rPh>
    <rPh sb="2" eb="4">
      <t>コウジョウ</t>
    </rPh>
    <phoneticPr fontId="5"/>
  </si>
  <si>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</si>
  <si>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</si>
  <si>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</si>
  <si>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</si>
  <si>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</si>
  <si>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</si>
  <si>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</si>
  <si>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</si>
  <si>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</si>
  <si>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</si>
  <si>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</si>
  <si>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</si>
  <si>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</si>
  <si>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</si>
  <si>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</si>
  <si>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</si>
  <si>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</si>
  <si>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</si>
  <si>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</si>
  <si>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国内認証排出削減量</t>
    <rPh sb="4" eb="6">
      <t>ハイシュツ</t>
    </rPh>
    <rPh sb="6" eb="8">
      <t>サクゲン</t>
    </rPh>
    <rPh sb="8" eb="9">
      <t>リョウ</t>
    </rPh>
    <phoneticPr fontId="15"/>
  </si>
  <si>
    <t>国内クレジット</t>
    <phoneticPr fontId="15"/>
  </si>
  <si>
    <r>
      <t>t-CO</t>
    </r>
    <r>
      <rPr>
        <vertAlign val="subscript"/>
        <sz val="12"/>
        <rFont val="Yu Gothic"/>
        <family val="3"/>
        <charset val="128"/>
        <scheme val="minor"/>
      </rPr>
      <t>2</t>
    </r>
    <phoneticPr fontId="4"/>
  </si>
  <si>
    <t>オフセット・クレジット</t>
    <phoneticPr fontId="15"/>
  </si>
  <si>
    <t>Ｊ－クレジット</t>
    <phoneticPr fontId="15"/>
  </si>
  <si>
    <t>再エネ電力由来</t>
    <rPh sb="0" eb="1">
      <t>サイ</t>
    </rPh>
    <rPh sb="3" eb="5">
      <t>デンリョク</t>
    </rPh>
    <rPh sb="5" eb="7">
      <t>ユライ</t>
    </rPh>
    <phoneticPr fontId="15"/>
  </si>
  <si>
    <t>kWh</t>
    <phoneticPr fontId="4"/>
  </si>
  <si>
    <t>再エネ熱由来</t>
    <rPh sb="0" eb="1">
      <t>サイ</t>
    </rPh>
    <rPh sb="3" eb="4">
      <t>ネツ</t>
    </rPh>
    <rPh sb="4" eb="6">
      <t>ユライ</t>
    </rPh>
    <phoneticPr fontId="15"/>
  </si>
  <si>
    <t>その他</t>
    <rPh sb="2" eb="3">
      <t>タ</t>
    </rPh>
    <phoneticPr fontId="15"/>
  </si>
  <si>
    <t>グリーンエネルギーCO2削減相当量</t>
    <phoneticPr fontId="15"/>
  </si>
  <si>
    <t>グリーン電力証書</t>
    <rPh sb="4" eb="6">
      <t>デンリョク</t>
    </rPh>
    <rPh sb="6" eb="8">
      <t>ショウショ</t>
    </rPh>
    <phoneticPr fontId="15"/>
  </si>
  <si>
    <t>グリーン熱証書</t>
    <rPh sb="4" eb="5">
      <t>ネツ</t>
    </rPh>
    <rPh sb="5" eb="7">
      <t>ショウショ</t>
    </rPh>
    <phoneticPr fontId="15"/>
  </si>
  <si>
    <t>その他</t>
    <phoneticPr fontId="15"/>
  </si>
  <si>
    <t>海外認証排出削減量（ＪＣＭクレジット）</t>
    <rPh sb="4" eb="6">
      <t>ハイシュツ</t>
    </rPh>
    <rPh sb="6" eb="8">
      <t>サクゲン</t>
    </rPh>
    <rPh sb="8" eb="9">
      <t>リョウ</t>
    </rPh>
    <phoneticPr fontId="15"/>
  </si>
  <si>
    <t>全国平均係数</t>
    <rPh sb="0" eb="2">
      <t>ゼンコク</t>
    </rPh>
    <rPh sb="2" eb="4">
      <t>ヘイキン</t>
    </rPh>
    <rPh sb="4" eb="6">
      <t>ケイスウ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</si>
  <si>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9"/>
  </si>
  <si>
    <t>FIT非化石証書</t>
    <phoneticPr fontId="15"/>
  </si>
  <si>
    <t>非化石証書の量</t>
    <phoneticPr fontId="15"/>
  </si>
  <si>
    <t>二酸化炭素削減相当量</t>
    <phoneticPr fontId="15"/>
  </si>
  <si>
    <t>FIT補正率</t>
    <rPh sb="3" eb="5">
      <t>ホセイ</t>
    </rPh>
    <rPh sb="5" eb="6">
      <t>リツ</t>
    </rPh>
    <phoneticPr fontId="4"/>
  </si>
  <si>
    <t>非FIT非化石証書(再エネ指定)</t>
    <phoneticPr fontId="15"/>
  </si>
  <si>
    <t>非FIT補正率</t>
    <rPh sb="0" eb="1">
      <t>ヒ</t>
    </rPh>
    <rPh sb="4" eb="6">
      <t>ホセイ</t>
    </rPh>
    <rPh sb="6" eb="7">
      <t>リツ</t>
    </rPh>
    <phoneticPr fontId="4"/>
  </si>
  <si>
    <t>非FIT非化石証書(再エネ指定無し)</t>
    <phoneticPr fontId="15"/>
  </si>
  <si>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</si>
  <si>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</si>
  <si>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（A+B+C+D-E-H-I-K-L-M-O)</t>
    <phoneticPr fontId="4"/>
  </si>
  <si>
    <t>（調整後）</t>
    <rPh sb="1" eb="3">
      <t>チョウセイ</t>
    </rPh>
    <rPh sb="3" eb="4">
      <t>ゴ</t>
    </rPh>
    <phoneticPr fontId="4"/>
  </si>
  <si>
    <t>他人に供給した電気又は熱に伴う調整後排出量(調整後）</t>
    <rPh sb="15" eb="17">
      <t>チョウセイ</t>
    </rPh>
    <rPh sb="17" eb="18">
      <t>ゴ</t>
    </rPh>
    <rPh sb="18" eb="20">
      <t>ハイシュツ</t>
    </rPh>
    <rPh sb="22" eb="25">
      <t>チョウセイゴ</t>
    </rPh>
    <phoneticPr fontId="4"/>
  </si>
  <si>
    <t>K'</t>
    <phoneticPr fontId="4"/>
  </si>
  <si>
    <t>M'</t>
    <phoneticPr fontId="4"/>
  </si>
  <si>
    <t>N'</t>
    <phoneticPr fontId="4"/>
  </si>
  <si>
    <t>O1'</t>
    <phoneticPr fontId="4"/>
  </si>
  <si>
    <t>非FIT非化石証書(再エネ指定)</t>
  </si>
  <si>
    <t>O2'</t>
    <phoneticPr fontId="4"/>
  </si>
  <si>
    <t>非FIT非化石証書(再エネ指定無し)</t>
  </si>
  <si>
    <t>O3'</t>
    <phoneticPr fontId="4"/>
  </si>
  <si>
    <t>O'</t>
    <phoneticPr fontId="4"/>
  </si>
  <si>
    <t>P'</t>
    <phoneticPr fontId="4"/>
  </si>
  <si>
    <t>電力合計削減相当量（H'+K'+O1’+O2'）</t>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</si>
  <si>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</si>
  <si>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</si>
  <si>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（A'+C'+D'-E'-F'-G'-H'-I'-J'-K'-L'-M'-N'-O')</t>
    <phoneticPr fontId="4"/>
  </si>
  <si>
    <t>非化石燃料</t>
    <phoneticPr fontId="4"/>
  </si>
  <si>
    <t>間接排出</t>
    <rPh sb="0" eb="4">
      <t>カンセツハイシュツ</t>
    </rPh>
    <phoneticPr fontId="4"/>
  </si>
  <si>
    <t>再エネ指定FIT非化石証書</t>
    <phoneticPr fontId="15"/>
  </si>
  <si>
    <t>再エネ指定非FIT非化石証書</t>
    <phoneticPr fontId="15"/>
  </si>
  <si>
    <t>再エネ指定無し非FIT非化石証書</t>
    <phoneticPr fontId="15"/>
  </si>
  <si>
    <t>（a+b+c+d-e-f-g-i-k-l)</t>
    <phoneticPr fontId="4"/>
  </si>
  <si>
    <t>a'</t>
    <phoneticPr fontId="4"/>
  </si>
  <si>
    <t>d'</t>
  </si>
  <si>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</si>
  <si>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</si>
  <si>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</si>
  <si>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</si>
  <si>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</si>
  <si>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</si>
  <si>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</si>
  <si>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</si>
  <si>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</si>
  <si>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</si>
  <si>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</si>
  <si>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（a'+c'+d'-e'-f'-g'-h'-i'-j'-k'-l')</t>
    <phoneticPr fontId="4"/>
  </si>
  <si>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</si>
  <si>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</si>
  <si>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</si>
  <si>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調整後排出係数</t>
    <rPh sb="0" eb="3">
      <t>チョウセイゴ</t>
    </rPh>
    <rPh sb="3" eb="5">
      <t>ハイシュツ</t>
    </rPh>
    <rPh sb="5" eb="7">
      <t>ケイスウ</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</si>
  <si>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</si>
  <si>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非表示</t>
    <rPh sb="0" eb="3">
      <t>ヒヒョウジ</t>
    </rPh>
    <phoneticPr fontId="4"/>
  </si>
  <si>
    <t>分類</t>
    <rPh sb="0" eb="2">
      <t>ブンルイ</t>
    </rPh>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</si>
  <si>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</si>
  <si>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</si>
  <si>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</si>
  <si>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報告対象年度2024年度</t>
  </si>
  <si>
    <t>年度（4/1～3/31）</t>
    <rPh sb="0" eb="2">
      <t>ネンド</t>
    </rPh>
    <phoneticPr fontId="4"/>
  </si>
  <si>
    <t>前年度からの法人情報変更有無</t>
    <rPh sb="0" eb="3">
      <t>ゼンネンド</t>
    </rPh>
    <rPh sb="6" eb="8">
      <t>ホウジン</t>
    </rPh>
    <rPh sb="8" eb="10">
      <t>ジョウホウ</t>
    </rPh>
    <rPh sb="10" eb="12">
      <t>ヘンコウ</t>
    </rPh>
    <rPh sb="12" eb="14">
      <t>ウム</t>
    </rPh>
    <phoneticPr fontId="4"/>
  </si>
  <si>
    <t>区分（大規模）</t>
    <rPh sb="0" eb="2">
      <t>クブン</t>
    </rPh>
    <rPh sb="3" eb="6">
      <t>ダイキボ</t>
    </rPh>
    <phoneticPr fontId="4"/>
  </si>
  <si>
    <t>区分（中小）</t>
    <rPh sb="0" eb="2">
      <t>クブン</t>
    </rPh>
    <rPh sb="3" eb="5">
      <t>チュウショウ</t>
    </rPh>
    <phoneticPr fontId="4"/>
  </si>
  <si>
    <t>入力補助</t>
    <rPh sb="0" eb="2">
      <t>ニュウリョク</t>
    </rPh>
    <rPh sb="2" eb="4">
      <t>ホジョ</t>
    </rPh>
    <phoneticPr fontId="4"/>
  </si>
  <si>
    <t>事業者ＩＤ</t>
    <rPh sb="0" eb="3">
      <t>ジギョウシャ</t>
    </rPh>
    <phoneticPr fontId="4"/>
  </si>
  <si>
    <t>第１号</t>
    <rPh sb="0" eb="1">
      <t>ダイ</t>
    </rPh>
    <rPh sb="2" eb="3">
      <t>ゴウ</t>
    </rPh>
    <phoneticPr fontId="4"/>
  </si>
  <si>
    <t>工場等</t>
    <rPh sb="0" eb="2">
      <t>コウジョウ</t>
    </rPh>
    <rPh sb="2" eb="3">
      <t>トウ</t>
    </rPh>
    <phoneticPr fontId="4"/>
  </si>
  <si>
    <t>原単位分母の名称</t>
    <rPh sb="0" eb="3">
      <t>ゲンタンイ</t>
    </rPh>
    <rPh sb="3" eb="5">
      <t>ブンボ</t>
    </rPh>
    <rPh sb="6" eb="8">
      <t>メイショウ</t>
    </rPh>
    <phoneticPr fontId="19"/>
  </si>
  <si>
    <t>代表者役職・氏名</t>
    <rPh sb="6" eb="8">
      <t>シメイ</t>
    </rPh>
    <phoneticPr fontId="4"/>
  </si>
  <si>
    <t>(役職）</t>
    <rPh sb="1" eb="3">
      <t>ヤクショク</t>
    </rPh>
    <phoneticPr fontId="4"/>
  </si>
  <si>
    <t>（氏名）</t>
    <rPh sb="1" eb="3">
      <t>シメイ</t>
    </rPh>
    <phoneticPr fontId="4"/>
  </si>
  <si>
    <t>第２号</t>
    <rPh sb="0" eb="1">
      <t>ダイ</t>
    </rPh>
    <rPh sb="2" eb="3">
      <t>ゴウ</t>
    </rPh>
    <phoneticPr fontId="4"/>
  </si>
  <si>
    <t>自動車</t>
    <rPh sb="0" eb="3">
      <t>ジドウシャ</t>
    </rPh>
    <phoneticPr fontId="4"/>
  </si>
  <si>
    <t>原単位分母の単位</t>
    <rPh sb="0" eb="3">
      <t>ゲンタンイ</t>
    </rPh>
    <rPh sb="3" eb="5">
      <t>ブンボ</t>
    </rPh>
    <rPh sb="6" eb="8">
      <t>タンイ</t>
    </rPh>
    <phoneticPr fontId="19"/>
  </si>
  <si>
    <t>第３号</t>
    <rPh sb="0" eb="1">
      <t>ダイ</t>
    </rPh>
    <rPh sb="2" eb="3">
      <t>ゴウ</t>
    </rPh>
    <phoneticPr fontId="4"/>
  </si>
  <si>
    <t>区分</t>
    <rPh sb="0" eb="2">
      <t>クブン</t>
    </rPh>
    <phoneticPr fontId="4"/>
  </si>
  <si>
    <t>区域</t>
    <rPh sb="0" eb="2">
      <t>クイキ</t>
    </rPh>
    <phoneticPr fontId="5"/>
  </si>
  <si>
    <t>エネルギー種別の</t>
    <rPh sb="5" eb="7">
      <t>シュベツ</t>
    </rPh>
    <phoneticPr fontId="4"/>
  </si>
  <si>
    <t>横浜1</t>
    <rPh sb="0" eb="2">
      <t>ヨコハマ</t>
    </rPh>
    <phoneticPr fontId="19"/>
  </si>
  <si>
    <t>事業所数</t>
    <rPh sb="0" eb="2">
      <t>ジギョウ</t>
    </rPh>
    <rPh sb="2" eb="3">
      <t>ショ</t>
    </rPh>
    <rPh sb="3" eb="4">
      <t>スウ</t>
    </rPh>
    <phoneticPr fontId="4"/>
  </si>
  <si>
    <t>横浜2</t>
    <rPh sb="0" eb="2">
      <t>ヨコハマ</t>
    </rPh>
    <phoneticPr fontId="4"/>
  </si>
  <si>
    <t>横浜3</t>
    <rPh sb="0" eb="2">
      <t>ヨコハマ</t>
    </rPh>
    <phoneticPr fontId="19"/>
  </si>
  <si>
    <t>県域1</t>
    <rPh sb="0" eb="2">
      <t>ケンイキ</t>
    </rPh>
    <phoneticPr fontId="19"/>
  </si>
  <si>
    <t>県域2</t>
    <rPh sb="0" eb="2">
      <t>ケンイキ</t>
    </rPh>
    <phoneticPr fontId="19"/>
  </si>
  <si>
    <t>県域3</t>
    <rPh sb="0" eb="2">
      <t>ケンイキ</t>
    </rPh>
    <phoneticPr fontId="19"/>
  </si>
  <si>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4"/>
  </si>
  <si>
    <t>事業所名</t>
    <rPh sb="0" eb="2">
      <t>ジギョウ</t>
    </rPh>
    <rPh sb="2" eb="3">
      <t>ショ</t>
    </rPh>
    <rPh sb="3" eb="4">
      <t>メイ</t>
    </rPh>
    <phoneticPr fontId="5"/>
  </si>
  <si>
    <t>発熱量・排出係数</t>
    <rPh sb="0" eb="2">
      <t>ハツネツ</t>
    </rPh>
    <rPh sb="2" eb="3">
      <t>リョウ</t>
    </rPh>
    <rPh sb="4" eb="6">
      <t>ハイシュツ</t>
    </rPh>
    <rPh sb="6" eb="8">
      <t>ケイスウ</t>
    </rPh>
    <phoneticPr fontId="4"/>
  </si>
  <si>
    <t>（３号該当事業者）</t>
    <rPh sb="2" eb="3">
      <t>ゴウ</t>
    </rPh>
    <rPh sb="3" eb="5">
      <t>ガイトウ</t>
    </rPh>
    <rPh sb="5" eb="7">
      <t>ジギョウ</t>
    </rPh>
    <rPh sb="7" eb="8">
      <t>シャ</t>
    </rPh>
    <phoneticPr fontId="4"/>
  </si>
  <si>
    <t>所在地</t>
    <rPh sb="0" eb="3">
      <t>ショザイチ</t>
    </rPh>
    <phoneticPr fontId="5"/>
  </si>
  <si>
    <t>横浜・川崎</t>
    <rPh sb="0" eb="2">
      <t>ヨコハマ</t>
    </rPh>
    <rPh sb="3" eb="5">
      <t>カワサキ</t>
    </rPh>
    <phoneticPr fontId="4"/>
  </si>
  <si>
    <t>エネルギーの種類</t>
    <rPh sb="6" eb="8">
      <t>シュルイ</t>
    </rPh>
    <phoneticPr fontId="20"/>
  </si>
  <si>
    <t>単位</t>
    <rPh sb="0" eb="2">
      <t>タンイ</t>
    </rPh>
    <phoneticPr fontId="20"/>
  </si>
  <si>
    <t>GJ/単位</t>
    <rPh sb="3" eb="5">
      <t>タンイ</t>
    </rPh>
    <phoneticPr fontId="4"/>
  </si>
  <si>
    <t>使用量</t>
    <rPh sb="0" eb="3">
      <t>シヨウリョウ</t>
    </rPh>
    <phoneticPr fontId="20"/>
  </si>
  <si>
    <t>未利用熱</t>
    <rPh sb="0" eb="3">
      <t>ミリヨウ</t>
    </rPh>
    <rPh sb="3" eb="4">
      <t>ネツ</t>
    </rPh>
    <phoneticPr fontId="20"/>
  </si>
  <si>
    <t>化石燃料</t>
    <rPh sb="0" eb="2">
      <t>カセキ</t>
    </rPh>
    <rPh sb="2" eb="4">
      <t>ネンリョウ</t>
    </rPh>
    <phoneticPr fontId="21"/>
  </si>
  <si>
    <t>原油のうちコンデンセート(NGL)</t>
    <rPh sb="0" eb="2">
      <t>ゲンユ</t>
    </rPh>
    <phoneticPr fontId="21"/>
  </si>
  <si>
    <t>ジェット燃料油</t>
    <rPh sb="4" eb="7">
      <t>ネンリョウユ</t>
    </rPh>
    <phoneticPr fontId="20"/>
  </si>
  <si>
    <t>輸入原料炭</t>
    <rPh sb="0" eb="2">
      <t>ユニュウ</t>
    </rPh>
    <phoneticPr fontId="20"/>
  </si>
  <si>
    <t>コークス用原料炭</t>
    <rPh sb="4" eb="5">
      <t>ヨウ</t>
    </rPh>
    <rPh sb="5" eb="7">
      <t>ゲンリョウ</t>
    </rPh>
    <rPh sb="7" eb="8">
      <t>スミ</t>
    </rPh>
    <phoneticPr fontId="20"/>
  </si>
  <si>
    <t>吹込用原料炭</t>
    <rPh sb="0" eb="2">
      <t>フキコ</t>
    </rPh>
    <rPh sb="2" eb="3">
      <t>ヨウ</t>
    </rPh>
    <rPh sb="3" eb="5">
      <t>ゲンリョウ</t>
    </rPh>
    <rPh sb="5" eb="6">
      <t>スミ</t>
    </rPh>
    <phoneticPr fontId="20"/>
  </si>
  <si>
    <t>輸入一般炭</t>
    <rPh sb="0" eb="2">
      <t>ユニュウ</t>
    </rPh>
    <phoneticPr fontId="20"/>
  </si>
  <si>
    <t>国産一般炭</t>
    <rPh sb="0" eb="2">
      <t>コクサン</t>
    </rPh>
    <rPh sb="2" eb="4">
      <t>イッパン</t>
    </rPh>
    <rPh sb="4" eb="5">
      <t>スミ</t>
    </rPh>
    <phoneticPr fontId="20"/>
  </si>
  <si>
    <t>輸入無煙炭</t>
    <rPh sb="0" eb="2">
      <t>ユニュウ</t>
    </rPh>
    <phoneticPr fontId="20"/>
  </si>
  <si>
    <t>発電用高炉ガス</t>
    <rPh sb="2" eb="3">
      <t>ヨウ</t>
    </rPh>
    <phoneticPr fontId="20"/>
  </si>
  <si>
    <t>その他燃料</t>
    <rPh sb="2" eb="3">
      <t>タ</t>
    </rPh>
    <rPh sb="3" eb="5">
      <t>ネンリョウ</t>
    </rPh>
    <phoneticPr fontId="4"/>
  </si>
  <si>
    <t>非化石燃料</t>
    <rPh sb="0" eb="1">
      <t>ヒ</t>
    </rPh>
    <rPh sb="1" eb="3">
      <t>カセキ</t>
    </rPh>
    <rPh sb="3" eb="5">
      <t>ネンリョウ</t>
    </rPh>
    <phoneticPr fontId="4"/>
  </si>
  <si>
    <t>黒液</t>
    <rPh sb="0" eb="2">
      <t>クロエキ</t>
    </rPh>
    <phoneticPr fontId="20"/>
  </si>
  <si>
    <t>木材</t>
    <rPh sb="0" eb="2">
      <t>モクザイ</t>
    </rPh>
    <phoneticPr fontId="20"/>
  </si>
  <si>
    <t>木質廃材</t>
    <rPh sb="0" eb="4">
      <t>モクシツハイザイ</t>
    </rPh>
    <phoneticPr fontId="20"/>
  </si>
  <si>
    <t>その他バイオマス</t>
    <rPh sb="2" eb="3">
      <t>タ</t>
    </rPh>
    <phoneticPr fontId="20"/>
  </si>
  <si>
    <t>廃タイヤ</t>
    <rPh sb="0" eb="1">
      <t>ハイ</t>
    </rPh>
    <phoneticPr fontId="20"/>
  </si>
  <si>
    <t>廃プラスチック（一般廃棄物）</t>
    <rPh sb="0" eb="1">
      <t>ハイ</t>
    </rPh>
    <rPh sb="8" eb="13">
      <t>イッパンハイキブツ</t>
    </rPh>
    <phoneticPr fontId="20"/>
  </si>
  <si>
    <t>廃プラスチック（産業廃棄物）</t>
    <rPh sb="0" eb="1">
      <t>ハイ</t>
    </rPh>
    <rPh sb="8" eb="13">
      <t>サンギョウハイキブツ</t>
    </rPh>
    <phoneticPr fontId="20"/>
  </si>
  <si>
    <t>廃油</t>
    <rPh sb="0" eb="2">
      <t>ハイユ</t>
    </rPh>
    <phoneticPr fontId="20"/>
  </si>
  <si>
    <t>廃棄物ガス</t>
    <rPh sb="0" eb="3">
      <t>ハイキブツ</t>
    </rPh>
    <phoneticPr fontId="20"/>
  </si>
  <si>
    <t>混合廃材</t>
    <rPh sb="0" eb="4">
      <t>コンゴウハイザイ</t>
    </rPh>
    <phoneticPr fontId="20"/>
  </si>
  <si>
    <t>水素</t>
    <rPh sb="0" eb="2">
      <t>スイソ</t>
    </rPh>
    <phoneticPr fontId="20"/>
  </si>
  <si>
    <t>その他の燃料（非化石）1</t>
    <rPh sb="2" eb="3">
      <t>タ</t>
    </rPh>
    <rPh sb="4" eb="6">
      <t>ネンリョウ</t>
    </rPh>
    <rPh sb="7" eb="8">
      <t>ヒ</t>
    </rPh>
    <rPh sb="8" eb="10">
      <t>カセキ</t>
    </rPh>
    <phoneticPr fontId="20"/>
  </si>
  <si>
    <t>その他の燃料（非化石）2</t>
    <rPh sb="2" eb="3">
      <t>タ</t>
    </rPh>
    <rPh sb="4" eb="6">
      <t>ネンリョウ</t>
    </rPh>
    <rPh sb="7" eb="8">
      <t>ヒ</t>
    </rPh>
    <rPh sb="8" eb="10">
      <t>カセキ</t>
    </rPh>
    <phoneticPr fontId="20"/>
  </si>
  <si>
    <t>うち非化石（任意）</t>
    <rPh sb="2" eb="3">
      <t>ヒ</t>
    </rPh>
    <rPh sb="3" eb="5">
      <t>カセキ</t>
    </rPh>
    <rPh sb="6" eb="8">
      <t>ニンイ</t>
    </rPh>
    <phoneticPr fontId="4"/>
  </si>
  <si>
    <t>産業用以外の蒸気</t>
    <rPh sb="0" eb="3">
      <t>サンギョウヨウ</t>
    </rPh>
    <rPh sb="3" eb="5">
      <t>イガイ</t>
    </rPh>
    <rPh sb="6" eb="8">
      <t>ジョウキ</t>
    </rPh>
    <phoneticPr fontId="21"/>
  </si>
  <si>
    <t>うち非化石（任意）</t>
    <rPh sb="2" eb="3">
      <t>ヒ</t>
    </rPh>
    <rPh sb="3" eb="5">
      <t>カセキ</t>
    </rPh>
    <phoneticPr fontId="21"/>
  </si>
  <si>
    <t>温水</t>
    <rPh sb="0" eb="2">
      <t>オンスイ</t>
    </rPh>
    <phoneticPr fontId="21"/>
  </si>
  <si>
    <t>うち非化石（任意）</t>
    <rPh sb="2" eb="3">
      <t>ヒ</t>
    </rPh>
    <rPh sb="3" eb="5">
      <t>カセキ</t>
    </rPh>
    <phoneticPr fontId="4"/>
  </si>
  <si>
    <t>冷水</t>
    <rPh sb="0" eb="2">
      <t>レイスイ</t>
    </rPh>
    <phoneticPr fontId="21"/>
  </si>
  <si>
    <t>その他の熱</t>
    <rPh sb="2" eb="3">
      <t>タ</t>
    </rPh>
    <rPh sb="4" eb="5">
      <t>ネツ</t>
    </rPh>
    <phoneticPr fontId="21"/>
  </si>
  <si>
    <t>その他使用した熱</t>
    <rPh sb="2" eb="3">
      <t>タ</t>
    </rPh>
    <rPh sb="3" eb="5">
      <t>シヨウ</t>
    </rPh>
    <rPh sb="7" eb="8">
      <t>ネツ</t>
    </rPh>
    <phoneticPr fontId="4"/>
  </si>
  <si>
    <t>雪氷熱</t>
    <rPh sb="0" eb="2">
      <t>セッピョウ</t>
    </rPh>
    <rPh sb="2" eb="3">
      <t>ネツ</t>
    </rPh>
    <phoneticPr fontId="4"/>
  </si>
  <si>
    <t>電
気</t>
    <rPh sb="0" eb="1">
      <t>デン</t>
    </rPh>
    <rPh sb="3" eb="4">
      <t>キ</t>
    </rPh>
    <phoneticPr fontId="21"/>
  </si>
  <si>
    <t>電気事業者からの買電</t>
    <rPh sb="0" eb="2">
      <t>デンキ</t>
    </rPh>
    <rPh sb="8" eb="10">
      <t>カイデン</t>
    </rPh>
    <phoneticPr fontId="21"/>
  </si>
  <si>
    <t>電気事業者</t>
    <rPh sb="0" eb="2">
      <t>デンキ</t>
    </rPh>
    <rPh sb="2" eb="5">
      <t>ジギョウシャ</t>
    </rPh>
    <phoneticPr fontId="21"/>
  </si>
  <si>
    <t>千kWh</t>
    <rPh sb="0" eb="1">
      <t>セン</t>
    </rPh>
    <phoneticPr fontId="21"/>
  </si>
  <si>
    <t>うち非化石分</t>
    <rPh sb="2" eb="6">
      <t>ヒカセキブン</t>
    </rPh>
    <phoneticPr fontId="21"/>
  </si>
  <si>
    <t>上記以外の買電</t>
    <rPh sb="0" eb="2">
      <t>ジョウキ</t>
    </rPh>
    <rPh sb="2" eb="4">
      <t>イガイ</t>
    </rPh>
    <rPh sb="5" eb="7">
      <t>バイデン</t>
    </rPh>
    <phoneticPr fontId="4"/>
  </si>
  <si>
    <t>オフサイト型PPA(重み付けなし）</t>
    <rPh sb="5" eb="6">
      <t>ガタ</t>
    </rPh>
    <rPh sb="10" eb="11">
      <t>オモ</t>
    </rPh>
    <rPh sb="12" eb="13">
      <t>ヅ</t>
    </rPh>
    <phoneticPr fontId="21"/>
  </si>
  <si>
    <t>オフサイト型PPA(重み付けあり）</t>
    <rPh sb="5" eb="6">
      <t>ガタ</t>
    </rPh>
    <rPh sb="10" eb="11">
      <t>オモ</t>
    </rPh>
    <rPh sb="12" eb="13">
      <t>ヅ</t>
    </rPh>
    <phoneticPr fontId="21"/>
  </si>
  <si>
    <t>自己託送（非燃料由来の非化石電気）</t>
    <rPh sb="0" eb="2">
      <t>ジコ</t>
    </rPh>
    <rPh sb="2" eb="4">
      <t>タクソウ</t>
    </rPh>
    <rPh sb="5" eb="8">
      <t>ヒネンリョウ</t>
    </rPh>
    <rPh sb="8" eb="10">
      <t>ユライ</t>
    </rPh>
    <rPh sb="11" eb="14">
      <t>ヒカセキ</t>
    </rPh>
    <rPh sb="14" eb="16">
      <t>デンキ</t>
    </rPh>
    <phoneticPr fontId="20"/>
  </si>
  <si>
    <t>上記以外の自己託送</t>
    <rPh sb="0" eb="2">
      <t>ジョウキ</t>
    </rPh>
    <rPh sb="2" eb="4">
      <t>イガイ</t>
    </rPh>
    <rPh sb="5" eb="7">
      <t>ジコ</t>
    </rPh>
    <rPh sb="7" eb="9">
      <t>タクソウ</t>
    </rPh>
    <phoneticPr fontId="20"/>
  </si>
  <si>
    <t>うち非化石</t>
    <rPh sb="2" eb="3">
      <t>ヒ</t>
    </rPh>
    <rPh sb="3" eb="5">
      <t>カセキ</t>
    </rPh>
    <phoneticPr fontId="20"/>
  </si>
  <si>
    <t>うち重み付け非化石</t>
    <rPh sb="2" eb="3">
      <t>オモ</t>
    </rPh>
    <rPh sb="4" eb="5">
      <t>ヅ</t>
    </rPh>
    <rPh sb="6" eb="7">
      <t>ヒ</t>
    </rPh>
    <rPh sb="7" eb="9">
      <t>カセキ</t>
    </rPh>
    <phoneticPr fontId="20"/>
  </si>
  <si>
    <t>その他の買電</t>
    <rPh sb="2" eb="3">
      <t>タ</t>
    </rPh>
    <rPh sb="4" eb="6">
      <t>カイデン</t>
    </rPh>
    <phoneticPr fontId="20"/>
  </si>
  <si>
    <t>自家発電</t>
    <rPh sb="0" eb="4">
      <t>ジカハツデン</t>
    </rPh>
    <phoneticPr fontId="20"/>
  </si>
  <si>
    <t>太陽光</t>
    <rPh sb="0" eb="3">
      <t>タイヨウコウ</t>
    </rPh>
    <phoneticPr fontId="20"/>
  </si>
  <si>
    <t>風力</t>
    <rPh sb="0" eb="2">
      <t>フウリョク</t>
    </rPh>
    <phoneticPr fontId="20"/>
  </si>
  <si>
    <t>地熱</t>
    <rPh sb="0" eb="2">
      <t>チネツ</t>
    </rPh>
    <phoneticPr fontId="20"/>
  </si>
  <si>
    <t>水力</t>
    <rPh sb="0" eb="2">
      <t>スイリョク</t>
    </rPh>
    <phoneticPr fontId="20"/>
  </si>
  <si>
    <t>その他自家発電(非燃料由来の非化石)</t>
    <rPh sb="3" eb="5">
      <t>ジカ</t>
    </rPh>
    <rPh sb="5" eb="6">
      <t>ハツ</t>
    </rPh>
    <rPh sb="6" eb="7">
      <t>デン</t>
    </rPh>
    <phoneticPr fontId="4"/>
  </si>
  <si>
    <t>その他自家発電（燃料）</t>
    <rPh sb="3" eb="6">
      <t>ジカハツ</t>
    </rPh>
    <rPh sb="6" eb="7">
      <t>デン</t>
    </rPh>
    <rPh sb="8" eb="10">
      <t>ネンリョウ</t>
    </rPh>
    <phoneticPr fontId="4"/>
  </si>
  <si>
    <t>化石</t>
    <rPh sb="0" eb="2">
      <t>カセキ</t>
    </rPh>
    <phoneticPr fontId="4"/>
  </si>
  <si>
    <t>その他自家発電（熱）</t>
    <rPh sb="2" eb="3">
      <t>タ</t>
    </rPh>
    <rPh sb="3" eb="5">
      <t>ジカ</t>
    </rPh>
    <rPh sb="5" eb="7">
      <t>ハツデン</t>
    </rPh>
    <rPh sb="8" eb="9">
      <t>ネツ</t>
    </rPh>
    <phoneticPr fontId="4"/>
  </si>
  <si>
    <t>原単位</t>
    <rPh sb="0" eb="3">
      <t>ゲンタンイ</t>
    </rPh>
    <phoneticPr fontId="19"/>
  </si>
  <si>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19"/>
  </si>
  <si>
    <t>排出係数等</t>
    <rPh sb="0" eb="2">
      <t>ハイシュツ</t>
    </rPh>
    <rPh sb="2" eb="4">
      <t>ケイスウ</t>
    </rPh>
    <rPh sb="4" eb="5">
      <t>トウ</t>
    </rPh>
    <phoneticPr fontId="4"/>
  </si>
  <si>
    <t>供給事業者の登録番号</t>
    <rPh sb="0" eb="2">
      <t>キョウキュウ</t>
    </rPh>
    <rPh sb="2" eb="5">
      <t>ジギョウシャ</t>
    </rPh>
    <rPh sb="6" eb="8">
      <t>トウロク</t>
    </rPh>
    <rPh sb="8" eb="10">
      <t>バンゴウ</t>
    </rPh>
    <phoneticPr fontId="19"/>
  </si>
  <si>
    <t>メニュー名</t>
    <rPh sb="4" eb="5">
      <t>メイ</t>
    </rPh>
    <phoneticPr fontId="4"/>
  </si>
  <si>
    <t>基礎排出係数</t>
    <rPh sb="0" eb="2">
      <t>キソ</t>
    </rPh>
    <rPh sb="2" eb="4">
      <t>ハイシュツ</t>
    </rPh>
    <rPh sb="4" eb="6">
      <t>ケイスウ</t>
    </rPh>
    <phoneticPr fontId="4"/>
  </si>
  <si>
    <t>都市ガス1</t>
    <rPh sb="0" eb="2">
      <t>トシ</t>
    </rPh>
    <phoneticPr fontId="2"/>
  </si>
  <si>
    <t>都市ガス2</t>
    <rPh sb="0" eb="2">
      <t>トシ</t>
    </rPh>
    <phoneticPr fontId="2"/>
  </si>
  <si>
    <t>都市ガス3</t>
    <rPh sb="0" eb="2">
      <t>トシ</t>
    </rPh>
    <phoneticPr fontId="2"/>
  </si>
  <si>
    <t>都市ガス4</t>
    <rPh sb="0" eb="2">
      <t>トシ</t>
    </rPh>
    <phoneticPr fontId="2"/>
  </si>
  <si>
    <t>都市ガス5</t>
    <rPh sb="0" eb="2">
      <t>トシ</t>
    </rPh>
    <phoneticPr fontId="2"/>
  </si>
  <si>
    <t>都市ガス6</t>
    <rPh sb="0" eb="2">
      <t>トシ</t>
    </rPh>
    <phoneticPr fontId="2"/>
  </si>
  <si>
    <t>都市ガス7</t>
    <rPh sb="0" eb="2">
      <t>トシ</t>
    </rPh>
    <phoneticPr fontId="2"/>
  </si>
  <si>
    <t>都市ガス8</t>
    <rPh sb="0" eb="2">
      <t>トシ</t>
    </rPh>
    <phoneticPr fontId="2"/>
  </si>
  <si>
    <t>都市ガス9</t>
    <rPh sb="0" eb="2">
      <t>トシ</t>
    </rPh>
    <phoneticPr fontId="2"/>
  </si>
  <si>
    <t>都市ガス10</t>
    <rPh sb="0" eb="2">
      <t>トシ</t>
    </rPh>
    <phoneticPr fontId="2"/>
  </si>
  <si>
    <t>蒸気1</t>
    <rPh sb="0" eb="2">
      <t>ジョウキ</t>
    </rPh>
    <phoneticPr fontId="2"/>
  </si>
  <si>
    <t>蒸気2</t>
    <rPh sb="0" eb="2">
      <t>ジョウキ</t>
    </rPh>
    <phoneticPr fontId="2"/>
  </si>
  <si>
    <t>蒸気3</t>
    <rPh sb="0" eb="2">
      <t>ジョウキ</t>
    </rPh>
    <phoneticPr fontId="2"/>
  </si>
  <si>
    <t>温水1</t>
    <rPh sb="0" eb="2">
      <t>オンスイ</t>
    </rPh>
    <phoneticPr fontId="2"/>
  </si>
  <si>
    <t>温水2</t>
    <rPh sb="0" eb="2">
      <t>オンスイ</t>
    </rPh>
    <phoneticPr fontId="2"/>
  </si>
  <si>
    <t>温水3</t>
    <rPh sb="0" eb="2">
      <t>オンスイ</t>
    </rPh>
    <phoneticPr fontId="2"/>
  </si>
  <si>
    <t>冷水1</t>
    <rPh sb="0" eb="2">
      <t>レイスイ</t>
    </rPh>
    <phoneticPr fontId="2"/>
  </si>
  <si>
    <t>冷水2</t>
    <rPh sb="0" eb="2">
      <t>レイスイ</t>
    </rPh>
    <phoneticPr fontId="2"/>
  </si>
  <si>
    <t>冷水3</t>
    <rPh sb="0" eb="2">
      <t>レイスイ</t>
    </rPh>
    <phoneticPr fontId="2"/>
  </si>
  <si>
    <t>電気1</t>
    <rPh sb="0" eb="2">
      <t>デンキ</t>
    </rPh>
    <phoneticPr fontId="2"/>
  </si>
  <si>
    <t>電気2</t>
    <rPh sb="0" eb="2">
      <t>デンキ</t>
    </rPh>
    <phoneticPr fontId="2"/>
  </si>
  <si>
    <t>電気3</t>
    <rPh sb="0" eb="2">
      <t>デンキ</t>
    </rPh>
    <phoneticPr fontId="2"/>
  </si>
  <si>
    <t>電気4</t>
    <rPh sb="0" eb="2">
      <t>デンキ</t>
    </rPh>
    <phoneticPr fontId="2"/>
  </si>
  <si>
    <t>電気5</t>
    <rPh sb="0" eb="2">
      <t>デンキ</t>
    </rPh>
    <phoneticPr fontId="2"/>
  </si>
  <si>
    <t>電気6</t>
    <rPh sb="0" eb="2">
      <t>デンキ</t>
    </rPh>
    <phoneticPr fontId="2"/>
  </si>
  <si>
    <t>電気7</t>
    <rPh sb="0" eb="2">
      <t>デンキ</t>
    </rPh>
    <phoneticPr fontId="2"/>
  </si>
  <si>
    <t>電気8</t>
    <rPh sb="0" eb="2">
      <t>デンキ</t>
    </rPh>
    <phoneticPr fontId="2"/>
  </si>
  <si>
    <t>電気9</t>
    <rPh sb="0" eb="2">
      <t>デンキ</t>
    </rPh>
    <phoneticPr fontId="2"/>
  </si>
  <si>
    <t>電気10</t>
    <rPh sb="0" eb="2">
      <t>デンキ</t>
    </rPh>
    <phoneticPr fontId="2"/>
  </si>
  <si>
    <t>電気11</t>
    <rPh sb="0" eb="2">
      <t>デンキ</t>
    </rPh>
    <phoneticPr fontId="2"/>
  </si>
  <si>
    <t>電気12</t>
    <rPh sb="0" eb="2">
      <t>デンキ</t>
    </rPh>
    <phoneticPr fontId="2"/>
  </si>
  <si>
    <t>電気13</t>
    <rPh sb="0" eb="2">
      <t>デンキ</t>
    </rPh>
    <phoneticPr fontId="2"/>
  </si>
  <si>
    <t>電気14</t>
    <rPh sb="0" eb="2">
      <t>デンキ</t>
    </rPh>
    <phoneticPr fontId="2"/>
  </si>
  <si>
    <t>電気15</t>
    <rPh sb="0" eb="2">
      <t>デンキ</t>
    </rPh>
    <phoneticPr fontId="2"/>
  </si>
  <si>
    <t>電気16</t>
    <rPh sb="0" eb="2">
      <t>デンキ</t>
    </rPh>
    <phoneticPr fontId="2"/>
  </si>
  <si>
    <t>電気17</t>
    <rPh sb="0" eb="2">
      <t>デンキ</t>
    </rPh>
    <phoneticPr fontId="2"/>
  </si>
  <si>
    <t>電気18</t>
    <rPh sb="0" eb="2">
      <t>デンキ</t>
    </rPh>
    <phoneticPr fontId="2"/>
  </si>
  <si>
    <t>電気19</t>
    <rPh sb="0" eb="2">
      <t>デンキ</t>
    </rPh>
    <phoneticPr fontId="2"/>
  </si>
  <si>
    <t>電気20</t>
    <rPh sb="0" eb="2">
      <t>デンキ</t>
    </rPh>
    <phoneticPr fontId="2"/>
  </si>
  <si>
    <t>電気21</t>
    <rPh sb="0" eb="2">
      <t>デンキ</t>
    </rPh>
    <phoneticPr fontId="2"/>
  </si>
  <si>
    <t>電気22</t>
    <rPh sb="0" eb="2">
      <t>デンキ</t>
    </rPh>
    <phoneticPr fontId="2"/>
  </si>
  <si>
    <t>電気23</t>
    <rPh sb="0" eb="2">
      <t>デンキ</t>
    </rPh>
    <phoneticPr fontId="2"/>
  </si>
  <si>
    <t>電気24</t>
    <rPh sb="0" eb="2">
      <t>デンキ</t>
    </rPh>
    <phoneticPr fontId="2"/>
  </si>
  <si>
    <t>電気25</t>
    <rPh sb="0" eb="2">
      <t>デンキ</t>
    </rPh>
    <phoneticPr fontId="2"/>
  </si>
  <si>
    <t>電気26</t>
    <rPh sb="0" eb="2">
      <t>デンキ</t>
    </rPh>
    <phoneticPr fontId="2"/>
  </si>
  <si>
    <t>電気27</t>
    <rPh sb="0" eb="2">
      <t>デンキ</t>
    </rPh>
    <phoneticPr fontId="2"/>
  </si>
  <si>
    <t>電気28</t>
    <rPh sb="0" eb="2">
      <t>デンキ</t>
    </rPh>
    <phoneticPr fontId="2"/>
  </si>
  <si>
    <t>電気29</t>
    <rPh sb="0" eb="2">
      <t>デンキ</t>
    </rPh>
    <phoneticPr fontId="2"/>
  </si>
  <si>
    <t>電気30</t>
    <rPh sb="0" eb="2">
      <t>デンキ</t>
    </rPh>
    <phoneticPr fontId="2"/>
  </si>
  <si>
    <t>種類</t>
    <rPh sb="0" eb="2">
      <t>シュルイ</t>
    </rPh>
    <phoneticPr fontId="4"/>
  </si>
  <si>
    <t>横浜市内の削減量</t>
  </si>
  <si>
    <t>川崎市内の削減量</t>
    <rPh sb="0" eb="3">
      <t>カワサキシ</t>
    </rPh>
    <rPh sb="3" eb="4">
      <t>ナイ</t>
    </rPh>
    <rPh sb="5" eb="7">
      <t>サクゲン</t>
    </rPh>
    <rPh sb="7" eb="8">
      <t>リョウ</t>
    </rPh>
    <phoneticPr fontId="4"/>
  </si>
  <si>
    <t>県域の削減量(自）</t>
    <rPh sb="7" eb="8">
      <t>ジ</t>
    </rPh>
    <phoneticPr fontId="4"/>
  </si>
  <si>
    <t>横浜市内の削減量（自）</t>
    <rPh sb="9" eb="10">
      <t>ジ</t>
    </rPh>
    <phoneticPr fontId="4"/>
  </si>
  <si>
    <t>川崎市内の削減量（自）</t>
    <rPh sb="0" eb="3">
      <t>カワサキシ</t>
    </rPh>
    <rPh sb="3" eb="4">
      <t>ナイ</t>
    </rPh>
    <rPh sb="5" eb="7">
      <t>サクゲン</t>
    </rPh>
    <rPh sb="7" eb="8">
      <t>リョウ</t>
    </rPh>
    <rPh sb="9" eb="10">
      <t>ジ</t>
    </rPh>
    <phoneticPr fontId="4"/>
  </si>
  <si>
    <t>国内認証排出削減量</t>
    <rPh sb="4" eb="6">
      <t>ハイシュツ</t>
    </rPh>
    <rPh sb="6" eb="8">
      <t>サクゲン</t>
    </rPh>
    <rPh sb="8" eb="9">
      <t>リョウ</t>
    </rPh>
    <phoneticPr fontId="4"/>
  </si>
  <si>
    <t>再エネ電力由来(t-CO2)</t>
    <rPh sb="0" eb="1">
      <t>サイ</t>
    </rPh>
    <rPh sb="3" eb="5">
      <t>デンリョク</t>
    </rPh>
    <rPh sb="5" eb="7">
      <t>ユライ</t>
    </rPh>
    <phoneticPr fontId="8"/>
  </si>
  <si>
    <t>再エネ熱由来(t-CO2)</t>
    <rPh sb="0" eb="1">
      <t>サイ</t>
    </rPh>
    <rPh sb="3" eb="4">
      <t>ネツ</t>
    </rPh>
    <rPh sb="4" eb="6">
      <t>ユライ</t>
    </rPh>
    <phoneticPr fontId="8"/>
  </si>
  <si>
    <t>再エネ熱由来(GJ)</t>
    <rPh sb="0" eb="1">
      <t>サイ</t>
    </rPh>
    <rPh sb="3" eb="4">
      <t>ネツ</t>
    </rPh>
    <rPh sb="4" eb="6">
      <t>ユライ</t>
    </rPh>
    <phoneticPr fontId="8"/>
  </si>
  <si>
    <t>その他</t>
    <rPh sb="2" eb="3">
      <t>タ</t>
    </rPh>
    <phoneticPr fontId="8"/>
  </si>
  <si>
    <t>グリーン電力証書(t-CO2)</t>
    <rPh sb="4" eb="6">
      <t>デンリョク</t>
    </rPh>
    <rPh sb="6" eb="8">
      <t>ショウショ</t>
    </rPh>
    <phoneticPr fontId="2"/>
  </si>
  <si>
    <t>グリーン電力証書(kWh)</t>
    <rPh sb="4" eb="6">
      <t>デンリョク</t>
    </rPh>
    <rPh sb="6" eb="8">
      <t>ショウショ</t>
    </rPh>
    <phoneticPr fontId="2"/>
  </si>
  <si>
    <t>グリーン熱証書(t-CO2)</t>
    <rPh sb="4" eb="5">
      <t>ネツ</t>
    </rPh>
    <rPh sb="5" eb="7">
      <t>ショウショ</t>
    </rPh>
    <phoneticPr fontId="2"/>
  </si>
  <si>
    <t>グリーン熱証書(GJ)</t>
    <rPh sb="4" eb="5">
      <t>ネツ</t>
    </rPh>
    <rPh sb="5" eb="7">
      <t>ショウショ</t>
    </rPh>
    <phoneticPr fontId="2"/>
  </si>
  <si>
    <t>海外認証排出削減量（ＪＣＭクレジット）</t>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</si>
  <si>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19"/>
  </si>
  <si>
    <t>全国平均係数(t-CO₂/kWh)</t>
  </si>
  <si>
    <t>非FIT補正率</t>
    <rPh sb="4" eb="6">
      <t>ホセイ</t>
    </rPh>
    <rPh sb="6" eb="7">
      <t>リツ</t>
    </rPh>
    <phoneticPr fontId="4"/>
  </si>
  <si>
    <t>予備１</t>
    <rPh sb="0" eb="2">
      <t>ヨビ</t>
    </rPh>
    <phoneticPr fontId="4"/>
  </si>
  <si>
    <t>予備２</t>
    <rPh sb="0" eb="2">
      <t>ヨビ</t>
    </rPh>
    <phoneticPr fontId="4"/>
  </si>
  <si>
    <t>予備３</t>
    <rPh sb="0" eb="2">
      <t>ヨビ</t>
    </rPh>
    <phoneticPr fontId="4"/>
  </si>
  <si>
    <t>予備４</t>
    <rPh sb="0" eb="2">
      <t>ヨビ</t>
    </rPh>
    <phoneticPr fontId="4"/>
  </si>
  <si>
    <t>予備５</t>
    <rPh sb="0" eb="2">
      <t>ヨビ</t>
    </rPh>
    <phoneticPr fontId="4"/>
  </si>
  <si>
    <t>予備６</t>
    <rPh sb="0" eb="2">
      <t>ヨビ</t>
    </rPh>
    <phoneticPr fontId="4"/>
  </si>
  <si>
    <t>予備７</t>
    <rPh sb="0" eb="2">
      <t>ヨビ</t>
    </rPh>
    <phoneticPr fontId="4"/>
  </si>
  <si>
    <t>予備８</t>
    <rPh sb="0" eb="2">
      <t>ヨビ</t>
    </rPh>
    <phoneticPr fontId="4"/>
  </si>
  <si>
    <t>予備９</t>
    <rPh sb="0" eb="2">
      <t>ヨビ</t>
    </rPh>
    <phoneticPr fontId="4"/>
  </si>
  <si>
    <t>予備１０</t>
    <rPh sb="0" eb="2">
      <t>ヨビ</t>
    </rPh>
    <phoneticPr fontId="4"/>
  </si>
  <si>
    <t>予備１１</t>
    <rPh sb="0" eb="2">
      <t>ヨビ</t>
    </rPh>
    <phoneticPr fontId="4"/>
  </si>
  <si>
    <t>予備１２</t>
    <rPh sb="0" eb="2">
      <t>ヨビ</t>
    </rPh>
    <phoneticPr fontId="4"/>
  </si>
  <si>
    <t>予備１３</t>
    <rPh sb="0" eb="2">
      <t>ヨビ</t>
    </rPh>
    <phoneticPr fontId="4"/>
  </si>
  <si>
    <t>予備１４</t>
    <rPh sb="0" eb="2">
      <t>ヨビ</t>
    </rPh>
    <phoneticPr fontId="4"/>
  </si>
  <si>
    <t>予備１５</t>
    <rPh sb="0" eb="2">
      <t>ヨビ</t>
    </rPh>
    <phoneticPr fontId="4"/>
  </si>
  <si>
    <t>予備１６</t>
    <rPh sb="0" eb="2">
      <t>ヨビ</t>
    </rPh>
    <phoneticPr fontId="4"/>
  </si>
  <si>
    <t>予備１７</t>
    <rPh sb="0" eb="2">
      <t>ヨビ</t>
    </rPh>
    <phoneticPr fontId="4"/>
  </si>
  <si>
    <t>予備１８</t>
    <rPh sb="0" eb="2">
      <t>ヨビ</t>
    </rPh>
    <phoneticPr fontId="4"/>
  </si>
  <si>
    <t>予備１９</t>
    <rPh sb="0" eb="2">
      <t>ヨビ</t>
    </rPh>
    <phoneticPr fontId="4"/>
  </si>
  <si>
    <t>予備２０</t>
    <rPh sb="0" eb="2">
      <t>ヨビ</t>
    </rPh>
    <phoneticPr fontId="4"/>
  </si>
  <si>
    <t>予備２１</t>
    <rPh sb="0" eb="2">
      <t>ヨビ</t>
    </rPh>
    <phoneticPr fontId="4"/>
  </si>
  <si>
    <t>予備２２</t>
    <rPh sb="0" eb="2">
      <t>ヨビ</t>
    </rPh>
    <phoneticPr fontId="4"/>
  </si>
  <si>
    <t>予備２３</t>
    <rPh sb="0" eb="2">
      <t>ヨビ</t>
    </rPh>
    <phoneticPr fontId="4"/>
  </si>
  <si>
    <t>予備２４</t>
    <rPh sb="0" eb="2">
      <t>ヨビ</t>
    </rPh>
    <phoneticPr fontId="4"/>
  </si>
  <si>
    <t>予備２５</t>
    <rPh sb="0" eb="2">
      <t>ヨビ</t>
    </rPh>
    <phoneticPr fontId="4"/>
  </si>
  <si>
    <t>予備２６</t>
    <rPh sb="0" eb="2">
      <t>ヨビ</t>
    </rPh>
    <phoneticPr fontId="4"/>
  </si>
  <si>
    <t>予備２７</t>
    <rPh sb="0" eb="2">
      <t>ヨビ</t>
    </rPh>
    <phoneticPr fontId="4"/>
  </si>
  <si>
    <t>予備２８</t>
    <rPh sb="0" eb="2">
      <t>ヨビ</t>
    </rPh>
    <phoneticPr fontId="4"/>
  </si>
  <si>
    <t>予備２９</t>
    <rPh sb="0" eb="2">
      <t>ヨビ</t>
    </rPh>
    <phoneticPr fontId="4"/>
  </si>
  <si>
    <t>予備３０</t>
    <rPh sb="0" eb="2">
      <t>ヨビ</t>
    </rPh>
    <phoneticPr fontId="4"/>
  </si>
  <si>
    <t>排出係数等(自動車）</t>
    <rPh sb="0" eb="2">
      <t>ハイシュツ</t>
    </rPh>
    <rPh sb="2" eb="4">
      <t>ケイスウ</t>
    </rPh>
    <rPh sb="4" eb="5">
      <t>トウ</t>
    </rPh>
    <rPh sb="6" eb="9">
      <t>ジドウシャ</t>
    </rPh>
    <phoneticPr fontId="4"/>
  </si>
  <si>
    <t>横浜・川崎
使用量</t>
    <rPh sb="6" eb="9">
      <t>シヨウリョウ</t>
    </rPh>
    <phoneticPr fontId="20"/>
  </si>
  <si>
    <t>県域
使用量</t>
    <rPh sb="0" eb="2">
      <t>ケンイキ</t>
    </rPh>
    <rPh sb="3" eb="6">
      <t>シヨウリョウ</t>
    </rPh>
    <phoneticPr fontId="20"/>
  </si>
  <si>
    <t>対象自動車の台数</t>
    <rPh sb="0" eb="2">
      <t>タイショウ</t>
    </rPh>
    <rPh sb="2" eb="5">
      <t>ジドウシャ</t>
    </rPh>
    <rPh sb="6" eb="8">
      <t>ダイスウ</t>
    </rPh>
    <phoneticPr fontId="4"/>
  </si>
  <si>
    <t>県域以外</t>
    <rPh sb="0" eb="1">
      <t>ケン</t>
    </rPh>
    <rPh sb="1" eb="2">
      <t>イキ</t>
    </rPh>
    <rPh sb="2" eb="4">
      <t>イガイ</t>
    </rPh>
    <phoneticPr fontId="4"/>
  </si>
  <si>
    <t>県域</t>
    <rPh sb="0" eb="1">
      <t>ケン</t>
    </rPh>
    <rPh sb="1" eb="2">
      <t>イキ</t>
    </rPh>
    <phoneticPr fontId="4"/>
  </si>
  <si>
    <t>自動車のその他エネルギー</t>
    <rPh sb="0" eb="3">
      <t>ジドウシャ</t>
    </rPh>
    <rPh sb="6" eb="7">
      <t>タ</t>
    </rPh>
    <phoneticPr fontId="4"/>
  </si>
  <si>
    <t>単位発熱量</t>
    <rPh sb="0" eb="2">
      <t>タンイ</t>
    </rPh>
    <rPh sb="2" eb="4">
      <t>ハツネツ</t>
    </rPh>
    <rPh sb="4" eb="5">
      <t>リョウ</t>
    </rPh>
    <phoneticPr fontId="4"/>
  </si>
  <si>
    <t>調整後</t>
    <rPh sb="0" eb="2">
      <t>チョウセイ</t>
    </rPh>
    <rPh sb="2" eb="3">
      <t>ゴ</t>
    </rPh>
    <phoneticPr fontId="4"/>
  </si>
  <si>
    <t>都市ガス1(自)</t>
    <rPh sb="0" eb="2">
      <t>トシ</t>
    </rPh>
    <rPh sb="6" eb="7">
      <t>ジ</t>
    </rPh>
    <phoneticPr fontId="4"/>
  </si>
  <si>
    <t>前年度末所有台数</t>
    <rPh sb="0" eb="3">
      <t>ゼンネンド</t>
    </rPh>
    <rPh sb="3" eb="4">
      <t>マツ</t>
    </rPh>
    <rPh sb="4" eb="6">
      <t>ショユウ</t>
    </rPh>
    <rPh sb="6" eb="8">
      <t>ダイスウ</t>
    </rPh>
    <phoneticPr fontId="4"/>
  </si>
  <si>
    <t>その他の化石燃料</t>
    <rPh sb="2" eb="3">
      <t>タ</t>
    </rPh>
    <rPh sb="4" eb="6">
      <t>カセキ</t>
    </rPh>
    <rPh sb="6" eb="8">
      <t>ネンリョウ</t>
    </rPh>
    <phoneticPr fontId="5"/>
  </si>
  <si>
    <t>都市ガス2(自)</t>
    <rPh sb="0" eb="2">
      <t>トシ</t>
    </rPh>
    <phoneticPr fontId="4"/>
  </si>
  <si>
    <t>うち廃止台数</t>
    <rPh sb="2" eb="4">
      <t>ハイシ</t>
    </rPh>
    <rPh sb="4" eb="6">
      <t>ダイスウ</t>
    </rPh>
    <phoneticPr fontId="4"/>
  </si>
  <si>
    <t>その他の非化石燃料1</t>
    <rPh sb="2" eb="3">
      <t>タ</t>
    </rPh>
    <rPh sb="4" eb="5">
      <t>ヒ</t>
    </rPh>
    <rPh sb="5" eb="7">
      <t>カセキ</t>
    </rPh>
    <rPh sb="7" eb="9">
      <t>ネンリョウ</t>
    </rPh>
    <phoneticPr fontId="5"/>
  </si>
  <si>
    <t>都市ガス3(自)</t>
    <rPh sb="0" eb="2">
      <t>トシ</t>
    </rPh>
    <phoneticPr fontId="4"/>
  </si>
  <si>
    <t>新規取得台数</t>
    <rPh sb="0" eb="2">
      <t>シンキ</t>
    </rPh>
    <rPh sb="2" eb="4">
      <t>シュトク</t>
    </rPh>
    <rPh sb="4" eb="6">
      <t>ダイスウ</t>
    </rPh>
    <phoneticPr fontId="4"/>
  </si>
  <si>
    <t>上記以外の自己託送</t>
    <rPh sb="0" eb="2">
      <t>ジョウキ</t>
    </rPh>
    <rPh sb="2" eb="4">
      <t>イガイ</t>
    </rPh>
    <rPh sb="5" eb="7">
      <t>ジコ</t>
    </rPh>
    <rPh sb="7" eb="9">
      <t>タクソウ</t>
    </rPh>
    <phoneticPr fontId="5"/>
  </si>
  <si>
    <t>都市ガス4(自)</t>
    <rPh sb="0" eb="2">
      <t>トシ</t>
    </rPh>
    <phoneticPr fontId="4"/>
  </si>
  <si>
    <t>その他の買電</t>
    <rPh sb="2" eb="3">
      <t>タ</t>
    </rPh>
    <rPh sb="4" eb="6">
      <t>カイデン</t>
    </rPh>
    <phoneticPr fontId="5"/>
  </si>
  <si>
    <t>都市ガス5(自)</t>
    <rPh sb="0" eb="2">
      <t>トシ</t>
    </rPh>
    <phoneticPr fontId="4"/>
  </si>
  <si>
    <t>乗用自動車_EV</t>
    <rPh sb="0" eb="2">
      <t>ジョウヨウ</t>
    </rPh>
    <rPh sb="2" eb="5">
      <t>ジドウシャ</t>
    </rPh>
    <phoneticPr fontId="4"/>
  </si>
  <si>
    <t>電気1(自)</t>
    <rPh sb="0" eb="2">
      <t>デンキ</t>
    </rPh>
    <phoneticPr fontId="4"/>
  </si>
  <si>
    <t>乗用自動車_FCV</t>
    <rPh sb="0" eb="2">
      <t>ジョウヨウ</t>
    </rPh>
    <rPh sb="2" eb="5">
      <t>ジドウシャ</t>
    </rPh>
    <phoneticPr fontId="4"/>
  </si>
  <si>
    <t>電気2(自)</t>
    <rPh sb="0" eb="2">
      <t>デンキ</t>
    </rPh>
    <phoneticPr fontId="4"/>
  </si>
  <si>
    <t>乗用自動車_PHV</t>
    <rPh sb="0" eb="2">
      <t>ジョウヨウ</t>
    </rPh>
    <rPh sb="2" eb="5">
      <t>ジドウシャ</t>
    </rPh>
    <phoneticPr fontId="4"/>
  </si>
  <si>
    <t>電気3(自)</t>
    <rPh sb="0" eb="2">
      <t>デンキ</t>
    </rPh>
    <phoneticPr fontId="4"/>
  </si>
  <si>
    <t>乗用自動車_HV</t>
    <rPh sb="0" eb="2">
      <t>ジョウヨウ</t>
    </rPh>
    <rPh sb="2" eb="5">
      <t>ジドウシャ</t>
    </rPh>
    <phoneticPr fontId="4"/>
  </si>
  <si>
    <t>電気4(自)</t>
    <rPh sb="0" eb="2">
      <t>デンキ</t>
    </rPh>
    <phoneticPr fontId="4"/>
  </si>
  <si>
    <t>乗用自動車_その他</t>
    <rPh sb="0" eb="2">
      <t>ジョウヨウ</t>
    </rPh>
    <rPh sb="2" eb="5">
      <t>ジドウシャ</t>
    </rPh>
    <rPh sb="8" eb="9">
      <t>タ</t>
    </rPh>
    <phoneticPr fontId="4"/>
  </si>
  <si>
    <t>その他の燃料(化石)</t>
    <rPh sb="4" eb="6">
      <t>ネンリョウ</t>
    </rPh>
    <rPh sb="7" eb="9">
      <t>カセキ</t>
    </rPh>
    <phoneticPr fontId="5"/>
  </si>
  <si>
    <t>電気5(自)</t>
    <rPh sb="0" eb="2">
      <t>デンキ</t>
    </rPh>
    <phoneticPr fontId="4"/>
  </si>
  <si>
    <t>バス・貨物自動車_EV</t>
    <rPh sb="3" eb="5">
      <t>カモツ</t>
    </rPh>
    <rPh sb="5" eb="8">
      <t>ジドウシャ</t>
    </rPh>
    <phoneticPr fontId="4"/>
  </si>
  <si>
    <t>その他の燃料(非化石)</t>
    <rPh sb="4" eb="6">
      <t>ネンリョウ</t>
    </rPh>
    <rPh sb="7" eb="8">
      <t>ヒ</t>
    </rPh>
    <rPh sb="8" eb="10">
      <t>カセキ</t>
    </rPh>
    <phoneticPr fontId="5"/>
  </si>
  <si>
    <t>電気6(自)</t>
    <rPh sb="0" eb="2">
      <t>デンキ</t>
    </rPh>
    <phoneticPr fontId="4"/>
  </si>
  <si>
    <t>バス・貨物自動車_FCV</t>
    <rPh sb="3" eb="5">
      <t>カモツ</t>
    </rPh>
    <rPh sb="5" eb="8">
      <t>ジドウシャ</t>
    </rPh>
    <phoneticPr fontId="4"/>
  </si>
  <si>
    <t>電気7(自)</t>
    <rPh sb="0" eb="2">
      <t>デンキ</t>
    </rPh>
    <phoneticPr fontId="4"/>
  </si>
  <si>
    <t>バス・貨物自動車_PHV</t>
    <rPh sb="3" eb="5">
      <t>カモツ</t>
    </rPh>
    <rPh sb="5" eb="8">
      <t>ジドウシャ</t>
    </rPh>
    <phoneticPr fontId="4"/>
  </si>
  <si>
    <t>電気8(自)</t>
    <rPh sb="0" eb="2">
      <t>デンキ</t>
    </rPh>
    <phoneticPr fontId="4"/>
  </si>
  <si>
    <t>バス・貨物自動車_HV</t>
    <rPh sb="3" eb="5">
      <t>カモツ</t>
    </rPh>
    <rPh sb="5" eb="8">
      <t>ジドウシャ</t>
    </rPh>
    <phoneticPr fontId="4"/>
  </si>
  <si>
    <t>電気9(自)</t>
    <rPh sb="0" eb="2">
      <t>デンキ</t>
    </rPh>
    <phoneticPr fontId="4"/>
  </si>
  <si>
    <t>バス・貨物自動車_その他</t>
    <rPh sb="3" eb="5">
      <t>カモツ</t>
    </rPh>
    <rPh sb="5" eb="8">
      <t>ジドウシャ</t>
    </rPh>
    <rPh sb="11" eb="12">
      <t>タ</t>
    </rPh>
    <phoneticPr fontId="4"/>
  </si>
  <si>
    <t>電気10(自)</t>
    <rPh sb="0" eb="2">
      <t>デンキ</t>
    </rPh>
    <phoneticPr fontId="4"/>
  </si>
  <si>
    <t>特殊自動車</t>
    <rPh sb="0" eb="2">
      <t>トクシュ</t>
    </rPh>
    <rPh sb="2" eb="4">
      <t>ジドウ</t>
    </rPh>
    <rPh sb="4" eb="5">
      <t>シャ</t>
    </rPh>
    <phoneticPr fontId="4"/>
  </si>
  <si>
    <t>省エネ</t>
    <phoneticPr fontId="4"/>
  </si>
  <si>
    <t>再エネ等</t>
    <rPh sb="3" eb="4">
      <t>ナド</t>
    </rPh>
    <phoneticPr fontId="4"/>
  </si>
  <si>
    <t>乗用自動車におけるのEV・FCVの導入割合</t>
    <rPh sb="2" eb="4">
      <t>ジドウ</t>
    </rPh>
    <rPh sb="17" eb="19">
      <t>ドウニュウ</t>
    </rPh>
    <phoneticPr fontId="4"/>
  </si>
  <si>
    <t>バス・貨物自動車におけるEV・FCVの導入状況</t>
    <phoneticPr fontId="4"/>
  </si>
  <si>
    <t>中長期取組1</t>
    <rPh sb="3" eb="5">
      <t>トリクミ</t>
    </rPh>
    <phoneticPr fontId="4"/>
  </si>
  <si>
    <t>中長期取組2</t>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</si>
  <si>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</si>
  <si>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自動車に関する削減計画策定者</t>
    <rPh sb="0" eb="3">
      <t>ジドウシャ</t>
    </rPh>
    <rPh sb="4" eb="5">
      <t>カン</t>
    </rPh>
    <rPh sb="7" eb="9">
      <t>サクゲン</t>
    </rPh>
    <rPh sb="9" eb="11">
      <t>ケイカク</t>
    </rPh>
    <rPh sb="11" eb="13">
      <t>サクテイ</t>
    </rPh>
    <rPh sb="13" eb="14">
      <t>シャ</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</si>
  <si>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</si>
  <si>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</si>
  <si>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</si>
  <si>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参考１～３</t>
    <rPh sb="0" eb="2">
      <t>サンコウ</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</si>
  <si>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</si>
  <si>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145、155行目</t>
    <rPh sb="7" eb="9">
      <t>ギョウメ</t>
    </rPh>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</si>
  <si>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</si>
  <si>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</si>
  <si>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</si>
  <si>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147、156行目</t>
    <rPh sb="7" eb="9">
      <t>ギョウメ</t>
    </rPh>
    <phoneticPr fontId="4"/>
  </si>
  <si>
    <t>選択肢から「－」削除</t>
    <rPh sb="0" eb="3">
      <t>センタクシ</t>
    </rPh>
    <rPh sb="8" eb="10">
      <t>サクジョ</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</si>
  <si>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</si>
  <si>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</si>
  <si>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172～175行目</t>
    <rPh sb="7" eb="9">
      <t>ギョウメ</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</si>
  <si>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</si>
  <si>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</si>
  <si>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参考１</t>
    <rPh sb="0" eb="2">
      <t>サンコウ</t>
    </rPh>
    <phoneticPr fontId="4"/>
  </si>
  <si>
    <t>D10;D15、D31;D36</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</si>
  <si>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</si>
  <si>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非表示→</t>
    <rPh sb="0" eb="3">
      <t>ヒヒョウジ</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</si>
  <si>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</si>
  <si>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</si>
  <si>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</si>
  <si>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【選択肢】</t>
    <rPh sb="1" eb="4">
      <t>センタクシ</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</si>
  <si>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</si>
  <si>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F145,L145,O145,R145</t>
    <phoneticPr fontId="4"/>
  </si>
  <si>
    <t>I145</t>
    <phoneticPr fontId="4"/>
  </si>
  <si>
    <t>F147</t>
    <phoneticPr fontId="4"/>
  </si>
  <si>
    <t>F155,L155,O155,R155</t>
    <phoneticPr fontId="4"/>
  </si>
  <si>
    <t>I155</t>
    <phoneticPr fontId="4"/>
  </si>
  <si>
    <t>F164～F167,L164～L167,O164～O167,R164～R167</t>
    <phoneticPr fontId="4"/>
  </si>
  <si>
    <t>I164~167</t>
    <phoneticPr fontId="4"/>
  </si>
  <si>
    <t>F172~F175</t>
    <phoneticPr fontId="4"/>
  </si>
  <si>
    <t>L172~R175</t>
    <phoneticPr fontId="4"/>
  </si>
  <si>
    <t>F183,L183,O183,R183</t>
    <phoneticPr fontId="4"/>
  </si>
  <si>
    <t>I183</t>
    <phoneticPr fontId="4"/>
  </si>
  <si>
    <t>記号誤記修正（漢数字の○⇒記号の○）</t>
    <rPh sb="0" eb="2">
      <t>キゴウ</t>
    </rPh>
    <rPh sb="2" eb="4">
      <t>ゴキ</t>
    </rPh>
    <rPh sb="4" eb="6">
      <t>シュウセイ</t>
    </rPh>
    <rPh sb="7" eb="10">
      <t>カンスウジ</t>
    </rPh>
    <rPh sb="13" eb="15">
      <t>キゴウ</t>
    </rPh>
    <phoneticPr fontId="4"/>
  </si>
  <si>
    <t>○</t>
  </si>
  <si>
    <t>E23,E25</t>
    <phoneticPr fontId="4"/>
  </si>
  <si>
    <r>
      <t>関数修正
旧：=OFFSET(INDIRECT("貼付け_"&amp;H39&amp;"実績"),1,6)
新：=OFFSET(INDIRECT("貼付け_"&amp;H39&amp;"実績"),1,</t>
    </r>
    <r>
      <rPr>
        <sz val="11"/>
        <color rgb="FFFF0000"/>
        <rFont val="Yu Gothic"/>
        <family val="3"/>
        <charset val="128"/>
        <scheme val="minor"/>
      </rPr>
      <t>8</t>
    </r>
    <r>
      <rPr>
        <sz val="11"/>
        <color theme="1"/>
        <rFont val="Yu Gothic"/>
        <family val="2"/>
        <scheme val="minor"/>
      </rPr>
      <t>)
E25も同様</t>
    </r>
    <rPh sb="0" eb="2">
      <t>カンスウ</t>
    </rPh>
    <rPh sb="2" eb="4">
      <t>シュウセイ</t>
    </rPh>
    <rPh sb="5" eb="6">
      <t>キュウ</t>
    </rPh>
    <rPh sb="46" eb="47">
      <t>シン</t>
    </rPh>
    <rPh sb="91" eb="93">
      <t>ドウヨウ</t>
    </rPh>
    <phoneticPr fontId="4"/>
  </si>
  <si>
    <t>G32,G33</t>
    <phoneticPr fontId="4"/>
  </si>
  <si>
    <t>関数修正
旧：=INDEX(参考2_エネ使用量経年!$L$95:$O$95,H39-2023)
新：=INDEX(参考2_エネ使用量経年!$L$95:$O$95,H39-2023)
G33も同様</t>
    <rPh sb="0" eb="2">
      <t>カンスウ</t>
    </rPh>
    <rPh sb="2" eb="4">
      <t>シュウセイ</t>
    </rPh>
    <rPh sb="5" eb="6">
      <t>キュウ</t>
    </rPh>
    <rPh sb="48" eb="49">
      <t>シン</t>
    </rPh>
    <rPh sb="95" eb="97">
      <t>ドウヨウ</t>
    </rPh>
    <phoneticPr fontId="4"/>
  </si>
  <si>
    <t>2050年までの脱炭素化の表明</t>
  </si>
  <si>
    <t>SBT等イニシアティブに関する取組</t>
  </si>
  <si>
    <t>サプライチェーン全体での削減の取組</t>
  </si>
  <si>
    <t>参考2,3</t>
    <rPh sb="0" eb="2">
      <t>サンコウ</t>
    </rPh>
    <phoneticPr fontId="4"/>
  </si>
  <si>
    <t>全体</t>
    <rPh sb="0" eb="2">
      <t>ゼンタイ</t>
    </rPh>
    <phoneticPr fontId="4"/>
  </si>
  <si>
    <t>条件付き書式設定を全て解除</t>
    <rPh sb="0" eb="3">
      <t>ジョウケンツ</t>
    </rPh>
    <rPh sb="4" eb="8">
      <t>ショシキセッテイ</t>
    </rPh>
    <rPh sb="9" eb="10">
      <t>ゼン</t>
    </rPh>
    <rPh sb="11" eb="13">
      <t>カイジョ</t>
    </rPh>
    <phoneticPr fontId="4"/>
  </si>
  <si>
    <t>Ｎ12</t>
    <phoneticPr fontId="4"/>
  </si>
  <si>
    <t>５－１　温室効果ガスの排出の量及び当該量の削減に係る事項（第１号又は第２号該当事業者）</t>
  </si>
  <si>
    <t>６－１　原油換算エネルギー使用量及び当該量の削減に係る事項（第１号又は第２号該当事業者）</t>
  </si>
  <si>
    <t>H10</t>
    <phoneticPr fontId="4"/>
  </si>
  <si>
    <t>H11</t>
  </si>
  <si>
    <t>J10</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</si>
  <si>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</si>
  <si>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</si>
  <si>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</si>
  <si>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</si>
  <si>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</si>
  <si>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</si>
  <si>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</si>
  <si>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</si>
  <si>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</si>
  <si>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</si>
  <si>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Ａ</t>
    <phoneticPr fontId="4"/>
  </si>
  <si>
    <t>F9,H10;H12,J10;J11,N11</t>
    <phoneticPr fontId="4"/>
  </si>
  <si>
    <t>入力規則の参照先誤り修正</t>
    <rPh sb="0" eb="2">
      <t>ニュウリョク</t>
    </rPh>
    <rPh sb="2" eb="4">
      <t>キソク</t>
    </rPh>
    <rPh sb="5" eb="7">
      <t>サンショウ</t>
    </rPh>
    <rPh sb="7" eb="8">
      <t>サキ</t>
    </rPh>
    <rPh sb="8" eb="9">
      <t>アヤマ</t>
    </rPh>
    <rPh sb="10" eb="12">
      <t>シュウセイ</t>
    </rPh>
    <phoneticPr fontId="4"/>
  </si>
  <si>
    <t>名前の管理の参照先修正（A1_集計2024～2027）</t>
    <rPh sb="0" eb="2">
      <t>ナマエ</t>
    </rPh>
    <rPh sb="3" eb="5">
      <t>カンリ</t>
    </rPh>
    <rPh sb="6" eb="8">
      <t>サンショウ</t>
    </rPh>
    <rPh sb="8" eb="9">
      <t>サキ</t>
    </rPh>
    <rPh sb="9" eb="11">
      <t>シュウセイ</t>
    </rPh>
    <rPh sb="15" eb="17">
      <t>シュウケイ</t>
    </rPh>
    <phoneticPr fontId="4"/>
  </si>
  <si>
    <t>参考2</t>
    <phoneticPr fontId="4"/>
  </si>
  <si>
    <t>P91;S91,X91;AA91</t>
    <phoneticPr fontId="4"/>
  </si>
  <si>
    <t>関数の再設定</t>
    <rPh sb="0" eb="2">
      <t>カンスウ</t>
    </rPh>
    <rPh sb="3" eb="6">
      <t>サイセッテイ</t>
    </rPh>
    <phoneticPr fontId="4"/>
  </si>
  <si>
    <t>P111;W111</t>
    <phoneticPr fontId="4"/>
  </si>
  <si>
    <t>P251;S251,X251;AA251</t>
    <phoneticPr fontId="4"/>
  </si>
  <si>
    <t>P340;S340,X340;AA340</t>
    <phoneticPr fontId="4"/>
  </si>
  <si>
    <t>参考３</t>
    <phoneticPr fontId="4"/>
  </si>
  <si>
    <t>P35;S35,X35;AA35</t>
    <phoneticPr fontId="4"/>
  </si>
  <si>
    <t>P57;S59,X57;AA59</t>
    <phoneticPr fontId="4"/>
  </si>
  <si>
    <t>P67;S67,X67;AA67</t>
    <phoneticPr fontId="4"/>
  </si>
  <si>
    <t>P167;S169,X167;AA169</t>
    <phoneticPr fontId="4"/>
  </si>
  <si>
    <t>P177;S177,X177;AA177</t>
    <phoneticPr fontId="4"/>
  </si>
  <si>
    <t>P348;S348,X348;AA348</t>
    <phoneticPr fontId="4"/>
  </si>
  <si>
    <t>P370;S372,X370;AA372</t>
    <phoneticPr fontId="4"/>
  </si>
  <si>
    <t>P402;S405,X402;AA405</t>
    <phoneticPr fontId="4"/>
  </si>
  <si>
    <t>エネルギー使用量等入力ファイルで対応</t>
    <rPh sb="5" eb="8">
      <t>シヨウリョウ</t>
    </rPh>
    <rPh sb="8" eb="9">
      <t>トウ</t>
    </rPh>
    <rPh sb="9" eb="11">
      <t>ニュウリョク</t>
    </rPh>
    <rPh sb="16" eb="18">
      <t>タイオウ</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</si>
  <si>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</si>
  <si>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</si>
  <si>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B1</t>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</si>
  <si>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</si>
  <si>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</si>
  <si>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B2</t>
    <phoneticPr fontId="4"/>
  </si>
  <si>
    <t>S2</t>
    <phoneticPr fontId="4"/>
  </si>
  <si>
    <t>参考２</t>
    <rPh sb="0" eb="2">
      <t>サンコウ</t>
    </rPh>
    <phoneticPr fontId="4"/>
  </si>
  <si>
    <t>Ｘ～AA列</t>
    <rPh sb="4" eb="5">
      <t>レツ</t>
    </rPh>
    <phoneticPr fontId="4"/>
  </si>
  <si>
    <t>中小には不要なため非表示化</t>
    <rPh sb="0" eb="2">
      <t>チュウショウ</t>
    </rPh>
    <rPh sb="4" eb="6">
      <t>フヨウ</t>
    </rPh>
    <rPh sb="9" eb="12">
      <t>ヒヒョウジ</t>
    </rPh>
    <rPh sb="12" eb="13">
      <t>カ</t>
    </rPh>
    <phoneticPr fontId="4"/>
  </si>
  <si>
    <t>参考３</t>
    <rPh sb="0" eb="2">
      <t>サンコウ</t>
    </rPh>
    <phoneticPr fontId="4"/>
  </si>
  <si>
    <t>排出量がマイナスにならないように注意</t>
    <rPh sb="0" eb="2">
      <t>ハイシュツ</t>
    </rPh>
    <rPh sb="2" eb="3">
      <t>リョウ</t>
    </rPh>
    <rPh sb="16" eb="18">
      <t>チュウイ</t>
    </rPh>
    <phoneticPr fontId="4"/>
  </si>
  <si>
    <t>備忘メモ</t>
    <rPh sb="0" eb="2">
      <t>ビボウ</t>
    </rPh>
    <phoneticPr fontId="4"/>
  </si>
  <si>
    <t>No.14,17</t>
    <phoneticPr fontId="4"/>
  </si>
  <si>
    <t>追記</t>
    <rPh sb="0" eb="2">
      <t>ツイキ</t>
    </rPh>
    <phoneticPr fontId="4"/>
  </si>
  <si>
    <t>B2</t>
    <phoneticPr fontId="4"/>
  </si>
  <si>
    <t>I68;R71</t>
    <phoneticPr fontId="4"/>
  </si>
  <si>
    <t>文字の色修正（赤→黒）</t>
    <rPh sb="0" eb="2">
      <t>モジ</t>
    </rPh>
    <rPh sb="3" eb="4">
      <t>イロ</t>
    </rPh>
    <rPh sb="4" eb="6">
      <t>シュウセイ</t>
    </rPh>
    <rPh sb="7" eb="8">
      <t>アカ</t>
    </rPh>
    <rPh sb="9" eb="10">
      <t>クロ</t>
    </rPh>
    <phoneticPr fontId="4"/>
  </si>
  <si>
    <t>参考１</t>
    <rPh sb="0" eb="2">
      <t>サンコウ</t>
    </rPh>
    <phoneticPr fontId="4"/>
  </si>
  <si>
    <t>12,13,33,34行目</t>
    <rPh sb="11" eb="13">
      <t>ギョウメ</t>
    </rPh>
    <phoneticPr fontId="4"/>
  </si>
  <si>
    <t>ー</t>
    <phoneticPr fontId="4"/>
  </si>
  <si>
    <t>B全般</t>
    <rPh sb="1" eb="3">
      <t>ゼンパン</t>
    </rPh>
    <phoneticPr fontId="4"/>
  </si>
  <si>
    <t>５－１　温室効果ガスの排出の量及び当該量の削減に係る事項（第１号又は第２号該当事業者）</t>
    <rPh sb="32" eb="33">
      <t>マタ</t>
    </rPh>
    <phoneticPr fontId="4"/>
  </si>
  <si>
    <t>第1年度</t>
    <rPh sb="0" eb="1">
      <t>ダイ</t>
    </rPh>
    <rPh sb="2" eb="4">
      <t>ネンド</t>
    </rPh>
    <phoneticPr fontId="4"/>
  </si>
  <si>
    <t>集計用シート</t>
    <rPh sb="0" eb="3">
      <t>シュウケイヨウ</t>
    </rPh>
    <phoneticPr fontId="4"/>
  </si>
  <si>
    <t>全体</t>
    <rPh sb="0" eb="2">
      <t>ゼンタイ</t>
    </rPh>
    <phoneticPr fontId="4"/>
  </si>
  <si>
    <t>大規模事業者向け最新版（20250309版）から移植</t>
    <rPh sb="0" eb="7">
      <t>ダイキボジギョウシャム</t>
    </rPh>
    <rPh sb="8" eb="11">
      <t>サイシンバン</t>
    </rPh>
    <rPh sb="20" eb="21">
      <t>バン</t>
    </rPh>
    <rPh sb="24" eb="26">
      <t>イショク</t>
    </rPh>
    <phoneticPr fontId="4"/>
  </si>
  <si>
    <t>集計対象列
（C10：VX10）</t>
    <rPh sb="0" eb="4">
      <t>シュウケイタイショウ</t>
    </rPh>
    <rPh sb="4" eb="5">
      <t>レツ</t>
    </rPh>
    <phoneticPr fontId="4"/>
  </si>
  <si>
    <t>改善率(対基準年度比)</t>
    <rPh sb="0" eb="2">
      <t>カイゼン</t>
    </rPh>
    <rPh sb="2" eb="3">
      <t>リツ</t>
    </rPh>
    <rPh sb="4" eb="5">
      <t>タイ</t>
    </rPh>
    <rPh sb="5" eb="7">
      <t>キジュン</t>
    </rPh>
    <rPh sb="7" eb="9">
      <t>ネンド</t>
    </rPh>
    <rPh sb="9" eb="10">
      <t>ヒ</t>
    </rPh>
    <phoneticPr fontId="4"/>
  </si>
  <si>
    <t>参考1_評価結果</t>
    <rPh sb="0" eb="2">
      <t>サンコウ</t>
    </rPh>
    <rPh sb="4" eb="6">
      <t>ヒョウカ</t>
    </rPh>
    <rPh sb="6" eb="8">
      <t>ケッカ</t>
    </rPh>
    <phoneticPr fontId="4"/>
  </si>
  <si>
    <t>「（メーター設置）」及び「（メーター非設置）」を削除</t>
    <rPh sb="10" eb="11">
      <t>オヨ</t>
    </rPh>
    <rPh sb="18" eb="19">
      <t>ヒ</t>
    </rPh>
    <rPh sb="24" eb="26">
      <t>サクジョ</t>
    </rPh>
    <phoneticPr fontId="4"/>
  </si>
  <si>
    <t>太陽光</t>
    <rPh sb="0" eb="3">
      <t>タイヨウコウ</t>
    </rPh>
    <phoneticPr fontId="5"/>
  </si>
  <si>
    <t>風力</t>
    <rPh sb="0" eb="2">
      <t>フウリョク</t>
    </rPh>
    <phoneticPr fontId="4"/>
  </si>
  <si>
    <t>水力</t>
    <rPh sb="0" eb="2">
      <t>スイリョク</t>
    </rPh>
    <phoneticPr fontId="4"/>
  </si>
  <si>
    <t>水力</t>
    <phoneticPr fontId="4"/>
  </si>
  <si>
    <t>CI10</t>
    <phoneticPr fontId="4"/>
  </si>
  <si>
    <t>関数抜け修正</t>
    <rPh sb="0" eb="3">
      <t>カンスウヌ</t>
    </rPh>
    <rPh sb="4" eb="6">
      <t>シュウセイ</t>
    </rPh>
    <phoneticPr fontId="4"/>
  </si>
  <si>
    <t>新制度様式</t>
    <rPh sb="0" eb="3">
      <t>シンセイド</t>
    </rPh>
    <rPh sb="3" eb="5">
      <t>ヨウシキ</t>
    </rPh>
    <phoneticPr fontId="15"/>
  </si>
  <si>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5"/>
  </si>
  <si>
    <r>
      <t>設計メモ</t>
    </r>
    <r>
      <rPr>
        <b/>
        <sz val="14"/>
        <color rgb="FFFF0000"/>
        <rFont val="Yu Gothic"/>
        <family val="3"/>
        <charset val="128"/>
        <scheme val="minor"/>
      </rPr>
      <t>（非表示）</t>
    </r>
    <rPh sb="0" eb="2">
      <t>セッケイ</t>
    </rPh>
    <rPh sb="5" eb="8">
      <t>ヒヒョウジ</t>
    </rPh>
    <phoneticPr fontId="4"/>
  </si>
  <si>
    <t>作業の流れ</t>
    <rPh sb="0" eb="2">
      <t>サギョウ</t>
    </rPh>
    <rPh sb="3" eb="4">
      <t>ナガ</t>
    </rPh>
    <phoneticPr fontId="4"/>
  </si>
  <si>
    <t>2025～2027年度計画用</t>
    <rPh sb="9" eb="11">
      <t>ネンド</t>
    </rPh>
    <rPh sb="11" eb="13">
      <t>ケイカク</t>
    </rPh>
    <rPh sb="13" eb="14">
      <t>ヨウ</t>
    </rPh>
    <phoneticPr fontId="4"/>
  </si>
  <si>
    <t>制度改正に関する注意点</t>
    <phoneticPr fontId="15"/>
  </si>
  <si>
    <t>・</t>
    <phoneticPr fontId="15"/>
  </si>
  <si>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5"/>
  </si>
  <si>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5"/>
  </si>
  <si>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5"/>
  </si>
  <si>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5"/>
  </si>
  <si>
    <t>※ただし、2026年度又は2027年度に、従前の計画を更新する場合や、
　新たに特定大規模事業者に該当した場合は、当該年度から2027年度までの３年未満の計画を作成してください。</t>
    <phoneticPr fontId="15"/>
  </si>
  <si>
    <t>※事業の廃止、休止等の場合を除く。</t>
    <phoneticPr fontId="15"/>
  </si>
  <si>
    <t>一般的な書類作成作業の流れ</t>
    <rPh sb="0" eb="3">
      <t>イッパンテキ</t>
    </rPh>
    <rPh sb="4" eb="6">
      <t>ショルイ</t>
    </rPh>
    <rPh sb="6" eb="8">
      <t>サクセイ</t>
    </rPh>
    <rPh sb="8" eb="10">
      <t>サギョウ</t>
    </rPh>
    <rPh sb="11" eb="12">
      <t>ナガ</t>
    </rPh>
    <phoneticPr fontId="15"/>
  </si>
  <si>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5"/>
  </si>
  <si>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</si>
  <si>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</si>
  <si>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</si>
  <si>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</si>
  <si>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</si>
  <si>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</si>
  <si>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</si>
  <si>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</si>
  <si>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</si>
  <si>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</si>
  <si>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</si>
  <si>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</si>
  <si>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</si>
  <si>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</si>
  <si>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Ｂシートに削減対策や目標値などを入力</t>
    <rPh sb="5" eb="7">
      <t>サクゲン</t>
    </rPh>
    <rPh sb="7" eb="9">
      <t>タイサク</t>
    </rPh>
    <rPh sb="10" eb="13">
      <t>モクヒョウチ</t>
    </rPh>
    <rPh sb="16" eb="18">
      <t>ニュウリョク</t>
    </rPh>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</si>
  <si>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</si>
  <si>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</si>
  <si>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</si>
  <si>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</si>
  <si>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</si>
  <si>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</si>
  <si>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</si>
  <si>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</si>
  <si>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</si>
  <si>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このファイルの作業手順</t>
    <rPh sb="7" eb="9">
      <t>サギョウ</t>
    </rPh>
    <rPh sb="9" eb="11">
      <t>テジュン</t>
    </rPh>
    <phoneticPr fontId="15"/>
  </si>
  <si>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5"/>
  </si>
  <si>
    <t>次の手順に沿って、提出年度に応じたＡシートにデータを貼付け後、Ｂシートの該当欄に必要事項を入力してください。</t>
    <phoneticPr fontId="4"/>
  </si>
  <si>
    <t>【シート一覧】</t>
    <rPh sb="4" eb="6">
      <t>イチラン</t>
    </rPh>
    <phoneticPr fontId="4"/>
  </si>
  <si>
    <t>手順</t>
    <rPh sb="0" eb="2">
      <t>テジュン</t>
    </rPh>
    <phoneticPr fontId="15"/>
  </si>
  <si>
    <t>シートタブ</t>
    <phoneticPr fontId="15"/>
  </si>
  <si>
    <t>シート名</t>
    <rPh sb="3" eb="4">
      <t>メイ</t>
    </rPh>
    <phoneticPr fontId="15"/>
  </si>
  <si>
    <t>概要</t>
    <rPh sb="0" eb="2">
      <t>ガイヨウ</t>
    </rPh>
    <phoneticPr fontId="15"/>
  </si>
  <si>
    <t>A.貼付_2025提出</t>
    <phoneticPr fontId="4"/>
  </si>
  <si>
    <t>コピーデータ貼付けシート（2025年度提出用）</t>
    <phoneticPr fontId="4"/>
  </si>
  <si>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</si>
  <si>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t>A.貼付_2026提出</t>
  </si>
  <si>
    <t>コピーデータ貼付けシート（2026年度提出用）</t>
  </si>
  <si>
    <t>A.貼付_2027提出</t>
  </si>
  <si>
    <t>コピーデータ貼付けシート（2027年度提出用）</t>
  </si>
  <si>
    <t>A.貼付_2028提出</t>
  </si>
  <si>
    <t>コピーデータ貼付けシート（2028年度提出用）</t>
  </si>
  <si>
    <t>B1.入力_第1面</t>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</si>
  <si>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</si>
  <si>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t>B2.入力_第2~4面</t>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</si>
  <si>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</si>
  <si>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t>評価結果確認シート</t>
  </si>
  <si>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</si>
  <si>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t>参考2_エネ使用量経年</t>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</si>
  <si>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</si>
  <si>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t>参考3_排出量経年</t>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</si>
  <si>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</si>
  <si>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</si>
  <si>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</si>
  <si>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</si>
  <si>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</si>
  <si>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L10</t>
    <phoneticPr fontId="4"/>
  </si>
  <si>
    <t>売上高</t>
  </si>
  <si>
    <t>稼動時間</t>
  </si>
  <si>
    <t>従業員数</t>
  </si>
  <si>
    <t>店舗数</t>
  </si>
  <si>
    <t>M10</t>
    <phoneticPr fontId="4"/>
  </si>
  <si>
    <t>HE10</t>
    <phoneticPr fontId="4"/>
  </si>
  <si>
    <t>L11</t>
    <phoneticPr fontId="4"/>
  </si>
  <si>
    <t>円</t>
  </si>
  <si>
    <t>h</t>
  </si>
  <si>
    <t>人</t>
  </si>
  <si>
    <t>件</t>
  </si>
  <si>
    <t>M11</t>
    <phoneticPr fontId="4"/>
  </si>
  <si>
    <t>HE11</t>
    <phoneticPr fontId="4"/>
  </si>
  <si>
    <t>I108</t>
    <phoneticPr fontId="4"/>
  </si>
  <si>
    <t>走行距離</t>
  </si>
  <si>
    <t>輸送トンキロ</t>
  </si>
  <si>
    <t>作業時間</t>
  </si>
  <si>
    <t>J108</t>
    <phoneticPr fontId="4"/>
  </si>
  <si>
    <t>I109</t>
    <phoneticPr fontId="4"/>
  </si>
  <si>
    <t>km</t>
  </si>
  <si>
    <t>万t・km</t>
  </si>
  <si>
    <t>J109</t>
    <phoneticPr fontId="4"/>
  </si>
  <si>
    <t>工場ごと</t>
    <rPh sb="0" eb="2">
      <t>コウジョウ</t>
    </rPh>
    <phoneticPr fontId="4"/>
  </si>
  <si>
    <t>K108ほか</t>
    <phoneticPr fontId="4"/>
  </si>
  <si>
    <t>K109ほか</t>
    <phoneticPr fontId="4"/>
  </si>
  <si>
    <t>原単位分母の名称（工場等）</t>
    <rPh sb="9" eb="11">
      <t>コウジョウ</t>
    </rPh>
    <rPh sb="11" eb="12">
      <t>トウ</t>
    </rPh>
    <phoneticPr fontId="4"/>
  </si>
  <si>
    <t>原単位分母の単位（工場等）</t>
    <rPh sb="9" eb="11">
      <t>コウジョウ</t>
    </rPh>
    <rPh sb="11" eb="12">
      <t>トウ</t>
    </rPh>
    <phoneticPr fontId="4"/>
  </si>
  <si>
    <t>原単位分母の名称（自動車）</t>
    <rPh sb="9" eb="12">
      <t>ジドウシャ</t>
    </rPh>
    <phoneticPr fontId="4"/>
  </si>
  <si>
    <t>原単位分母の単位（自動車）</t>
    <rPh sb="9" eb="11">
      <t>ジドウ</t>
    </rPh>
    <rPh sb="11" eb="12">
      <t>クルマ</t>
    </rPh>
    <phoneticPr fontId="4"/>
  </si>
  <si>
    <t>原単位の選択肢を追加</t>
    <rPh sb="0" eb="3">
      <t>ゲンタンイ</t>
    </rPh>
    <rPh sb="4" eb="7">
      <t>センタクシ</t>
    </rPh>
    <rPh sb="8" eb="10">
      <t>ツイカ</t>
    </rPh>
    <phoneticPr fontId="4"/>
  </si>
  <si>
    <t>30~49行目</t>
    <rPh sb="5" eb="7">
      <t>ギョウメ</t>
    </rPh>
    <phoneticPr fontId="4"/>
  </si>
  <si>
    <t>HG11</t>
    <phoneticPr fontId="4"/>
  </si>
  <si>
    <t>HG10</t>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</si>
  <si>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</si>
  <si>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</si>
  <si>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108～110行目</t>
    <rPh sb="7" eb="9">
      <t>ギョウメ</t>
    </rPh>
    <phoneticPr fontId="4"/>
  </si>
  <si>
    <t>手順①</t>
    <rPh sb="0" eb="2">
      <t>テジュン</t>
    </rPh>
    <phoneticPr fontId="15"/>
  </si>
  <si>
    <t>手順②</t>
    <rPh sb="0" eb="2">
      <t>テジュン</t>
    </rPh>
    <phoneticPr fontId="15"/>
  </si>
  <si>
    <t>手順③</t>
    <rPh sb="0" eb="2">
      <t>テジュン</t>
    </rPh>
    <phoneticPr fontId="15"/>
  </si>
  <si>
    <t>手順④</t>
    <rPh sb="0" eb="2">
      <t>テジュン</t>
    </rPh>
    <phoneticPr fontId="15"/>
  </si>
  <si>
    <t>Ｂ９セルに2027年度排出量実績を貼付けてください。</t>
    <phoneticPr fontId="4"/>
  </si>
  <si>
    <t>次に、「計画書本体」（Ｂ１シート）に必要事項を入力してください。</t>
    <phoneticPr fontId="4"/>
  </si>
  <si>
    <t>報告対象年度2027年度</t>
    <phoneticPr fontId="4"/>
  </si>
  <si>
    <t>報告対象年度2026年度</t>
    <phoneticPr fontId="4"/>
  </si>
  <si>
    <t>Ｂ９セルに2026年度排出量実績を貼付けてください。</t>
    <phoneticPr fontId="4"/>
  </si>
  <si>
    <t>報告対象年度2025年度</t>
    <phoneticPr fontId="4"/>
  </si>
  <si>
    <t>Ｂ９セルに2025年度排出量実績を貼付けてください。</t>
    <phoneticPr fontId="4"/>
  </si>
  <si>
    <t>Ｂ９セルに2024年度排出量実績を貼付けてください。</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</si>
  <si>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</si>
  <si>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</si>
  <si>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</si>
  <si>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入力上の注意点</t>
    <rPh sb="0" eb="2">
      <t>ニュウリョク</t>
    </rPh>
    <rPh sb="2" eb="3">
      <t>ジョウ</t>
    </rPh>
    <rPh sb="4" eb="7">
      <t>チュウイテン</t>
    </rPh>
    <phoneticPr fontId="4"/>
  </si>
  <si>
    <t>■公表の範囲</t>
    <rPh sb="1" eb="3">
      <t>コウヒョウ</t>
    </rPh>
    <rPh sb="4" eb="6">
      <t>ハンイ</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</si>
  <si>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</si>
  <si>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t>■入力範囲</t>
    <rPh sb="1" eb="3">
      <t>ニュウリョク</t>
    </rPh>
    <rPh sb="3" eb="5">
      <t>ハンイ</t>
    </rPh>
    <phoneticPr fontId="4"/>
  </si>
  <si>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</si>
  <si>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</si>
  <si>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</si>
  <si>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</si>
  <si>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</si>
  <si>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</si>
  <si>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</si>
  <si>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</si>
  <si>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</si>
  <si>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</si>
  <si>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</si>
  <si>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シートの保護、セルのロック設定（とりあえずパスワードなし保護）</t>
    <rPh sb="4" eb="6">
      <t>ホゴ</t>
    </rPh>
    <rPh sb="13" eb="15">
      <t>セッテイ</t>
    </rPh>
    <rPh sb="28" eb="30">
      <t>ホゴ</t>
    </rPh>
    <phoneticPr fontId="4"/>
  </si>
  <si>
    <t>B1シートのI2セルを参照するよう関数化</t>
    <rPh sb="11" eb="13">
      <t>サンショウ</t>
    </rPh>
    <rPh sb="17" eb="19">
      <t>カンスウ</t>
    </rPh>
    <rPh sb="19" eb="20">
      <t>カ</t>
    </rPh>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</si>
  <si>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</si>
  <si>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</si>
  <si>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このシートのB~T列の内容は原則全て公表します。</t>
    <rPh sb="9" eb="10">
      <t>レツ</t>
    </rPh>
    <rPh sb="11" eb="13">
      <t>ナイヨウ</t>
    </rPh>
    <rPh sb="14" eb="16">
      <t>ゲンソク</t>
    </rPh>
    <rPh sb="16" eb="17">
      <t>スベ</t>
    </rPh>
    <rPh sb="18" eb="20">
      <t>コウヒョウ</t>
    </rPh>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</si>
  <si>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</si>
  <si>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</si>
  <si>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</si>
  <si>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</si>
  <si>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</si>
  <si>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t>■指定工場の所在地</t>
    <rPh sb="1" eb="3">
      <t>シテイ</t>
    </rPh>
    <rPh sb="3" eb="5">
      <t>コウジョウ</t>
    </rPh>
    <rPh sb="6" eb="9">
      <t>ショザイチ</t>
    </rPh>
    <phoneticPr fontId="4"/>
  </si>
  <si>
    <t>↓下の欄に各指定工場等の所在地を都道府県名から入力してください。</t>
    <rPh sb="1" eb="2">
      <t>シタ</t>
    </rPh>
    <rPh sb="3" eb="4">
      <t>ラン</t>
    </rPh>
    <rPh sb="5" eb="6">
      <t>カク</t>
    </rPh>
    <rPh sb="6" eb="8">
      <t>シテイ</t>
    </rPh>
    <rPh sb="8" eb="10">
      <t>コウジョウ</t>
    </rPh>
    <rPh sb="10" eb="11">
      <t>トウ</t>
    </rPh>
    <rPh sb="12" eb="15">
      <t>ショザイチ</t>
    </rPh>
    <rPh sb="16" eb="20">
      <t>トドウフケン</t>
    </rPh>
    <rPh sb="20" eb="21">
      <t>メイ</t>
    </rPh>
    <rPh sb="23" eb="25">
      <t>ニュウリョク</t>
    </rPh>
    <phoneticPr fontId="4"/>
  </si>
  <si>
    <t>↓HPでは、市町村名まで公開します（字名以降は非公開とします）。</t>
    <rPh sb="6" eb="9">
      <t>シチョウソン</t>
    </rPh>
    <rPh sb="9" eb="10">
      <t>メイ</t>
    </rPh>
    <rPh sb="12" eb="14">
      <t>コウカイ</t>
    </rPh>
    <rPh sb="18" eb="19">
      <t>アザ</t>
    </rPh>
    <rPh sb="19" eb="20">
      <t>メイ</t>
    </rPh>
    <rPh sb="20" eb="22">
      <t>イコウ</t>
    </rPh>
    <rPh sb="23" eb="26">
      <t>ヒコウカイ</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</si>
  <si>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</si>
  <si>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</si>
  <si>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</si>
  <si>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</si>
  <si>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</si>
  <si>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</si>
  <si>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</si>
  <si>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</si>
  <si>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</si>
  <si>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</si>
  <si>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</si>
  <si>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</si>
  <si>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</si>
  <si>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</si>
  <si>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</si>
  <si>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</si>
  <si>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</si>
  <si>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</si>
  <si>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</si>
  <si>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</si>
  <si>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</si>
  <si>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</si>
  <si>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</si>
  <si>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</si>
  <si>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</si>
  <si>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設計メモ</t>
    </r>
    <r>
      <rPr>
        <b/>
        <sz val="14"/>
        <color rgb="FFFF0000"/>
        <rFont val="游ゴシック"/>
        <family val="3"/>
        <charset val="128"/>
      </rPr>
      <t>（非表示）</t>
    </r>
    <rPh sb="0" eb="2">
      <t>セッケイ</t>
    </rPh>
    <rPh sb="5" eb="8">
      <t>ヒヒョウジ</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</si>
  <si>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</si>
  <si>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</si>
  <si>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</si>
  <si>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</si>
  <si>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t>リストの参照ミス修正</t>
    <rPh sb="4" eb="6">
      <t>サンショウ</t>
    </rPh>
    <rPh sb="8" eb="10">
      <t>シュウセイ</t>
    </rPh>
    <phoneticPr fontId="4"/>
  </si>
  <si>
    <t>L155,O155,R155</t>
    <phoneticPr fontId="4"/>
  </si>
  <si>
    <t>L145,O145,R145</t>
    <phoneticPr fontId="4"/>
  </si>
  <si>
    <t>L32~R34</t>
    <phoneticPr fontId="4"/>
  </si>
  <si>
    <t>L78~R80</t>
    <phoneticPr fontId="4"/>
  </si>
  <si>
    <t>L32;R34,L78~R80</t>
    <phoneticPr fontId="4"/>
  </si>
  <si>
    <t>L164;R167</t>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</si>
  <si>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</si>
  <si>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I10の元関数…=IF(OFFSET(INDIRECT("貼付け_"&amp;B1.入力_第1面!$H$39&amp;"実績"),1,15)="","",OFFSET(INDIRECT("貼付け_"&amp;B1.入力_第1面!$H$39&amp;"実績"),1,15))</t>
    <rPh sb="4" eb="5">
      <t>モト</t>
    </rPh>
    <rPh sb="5" eb="7">
      <t>カンスウ</t>
    </rPh>
    <phoneticPr fontId="4"/>
  </si>
  <si>
    <t>I11の元関数…=IF(OFFSET(INDIRECT("貼付け_"&amp;B1.入力_第1面!$H$39&amp;"実績"),2,15)="","",OFFSET(INDIRECT("貼付け_"&amp;B1.入力_第1面!$H$39&amp;"実績"),2,15))</t>
    <rPh sb="4" eb="5">
      <t>モト</t>
    </rPh>
    <rPh sb="5" eb="7">
      <t>カンスウ</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</si>
  <si>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</si>
  <si>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</si>
  <si>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</si>
  <si>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I56の元関数…=IF(OFFSET(INDIRECT("貼付け_"&amp;B1.入力_第1面!$H$39&amp;"実績"),1,18)="","",OFFSET(INDIRECT("貼付け_"&amp;B1.入力_第1面!$H$39&amp;"実績"),1,18))</t>
    <rPh sb="4" eb="5">
      <t>モト</t>
    </rPh>
    <rPh sb="5" eb="7">
      <t>カンスウ</t>
    </rPh>
    <phoneticPr fontId="4"/>
  </si>
  <si>
    <t>I57の元関数…=IF(OFFSET(INDIRECT("貼付け_"&amp;B1.入力_第1面!$H$39&amp;"実績"),2,18)="","",OFFSET(INDIRECT("貼付け_"&amp;B1.入力_第1面!$H$39&amp;"実績"),2,18))</t>
    <rPh sb="4" eb="5">
      <t>モト</t>
    </rPh>
    <rPh sb="5" eb="7">
      <t>カンスウ</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</si>
  <si>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</si>
  <si>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</si>
  <si>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実施予定：有り、無し、未定</t>
    <rPh sb="0" eb="2">
      <t>ジッシ</t>
    </rPh>
    <rPh sb="2" eb="4">
      <t>ヨテイ</t>
    </rPh>
    <rPh sb="5" eb="6">
      <t>ア</t>
    </rPh>
    <rPh sb="8" eb="9">
      <t>ナ</t>
    </rPh>
    <rPh sb="11" eb="13">
      <t>ミテイ</t>
    </rPh>
    <phoneticPr fontId="4"/>
  </si>
  <si>
    <t>実績：実施した、実施しなかった</t>
    <rPh sb="0" eb="2">
      <t>ジッセキ</t>
    </rPh>
    <rPh sb="3" eb="5">
      <t>ジッシ</t>
    </rPh>
    <rPh sb="8" eb="10">
      <t>ジッシ</t>
    </rPh>
    <phoneticPr fontId="4"/>
  </si>
  <si>
    <r>
      <t>←</t>
    </r>
    <r>
      <rPr>
        <b/>
        <u/>
        <sz val="10"/>
        <color rgb="FFC00000"/>
        <rFont val="Yu Gothic"/>
        <family val="3"/>
        <charset val="128"/>
        <scheme val="minor"/>
      </rPr>
      <t>自動車に関する計画のみの事業者は５－１の入力は不要です。</t>
    </r>
    <rPh sb="1" eb="4">
      <t>ジドウシャ</t>
    </rPh>
    <rPh sb="5" eb="6">
      <t>カン</t>
    </rPh>
    <rPh sb="8" eb="10">
      <t>ケイカク</t>
    </rPh>
    <rPh sb="13" eb="15">
      <t>ジギョウ</t>
    </rPh>
    <rPh sb="15" eb="16">
      <t>シャ</t>
    </rPh>
    <rPh sb="21" eb="23">
      <t>ニュウリョク</t>
    </rPh>
    <rPh sb="24" eb="26">
      <t>フヨウ</t>
    </rPh>
    <phoneticPr fontId="4"/>
  </si>
  <si>
    <r>
      <t>■I12～I15：過年度の排出量</t>
    </r>
    <r>
      <rPr>
        <sz val="10"/>
        <color rgb="FFC00000"/>
        <rFont val="Yu Gothic"/>
        <family val="3"/>
        <charset val="128"/>
        <scheme val="minor"/>
      </rPr>
      <t>…計画初年度のみ</t>
    </r>
    <rPh sb="9" eb="12">
      <t>カネンド</t>
    </rPh>
    <rPh sb="13" eb="15">
      <t>ハイシュツ</t>
    </rPh>
    <rPh sb="15" eb="16">
      <t>リョウ</t>
    </rPh>
    <phoneticPr fontId="4"/>
  </si>
  <si>
    <r>
      <t>←</t>
    </r>
    <r>
      <rPr>
        <b/>
        <u/>
        <sz val="10"/>
        <color rgb="FFC00000"/>
        <rFont val="Yu Gothic"/>
        <family val="3"/>
        <charset val="128"/>
        <scheme val="minor"/>
      </rPr>
      <t>工場等に関する計画のみの事業者は５－２の入力は不要です。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4"/>
  </si>
  <si>
    <r>
      <t>■I58～I61：過年度の排出量</t>
    </r>
    <r>
      <rPr>
        <sz val="10"/>
        <color rgb="FFC00000"/>
        <rFont val="Yu Gothic"/>
        <family val="3"/>
        <charset val="128"/>
        <scheme val="minor"/>
      </rPr>
      <t>…計画初年度のみ</t>
    </r>
    <rPh sb="9" eb="12">
      <t>カネンド</t>
    </rPh>
    <rPh sb="13" eb="15">
      <t>ハイシュツ</t>
    </rPh>
    <rPh sb="15" eb="16">
      <t>リョウ</t>
    </rPh>
    <phoneticPr fontId="4"/>
  </si>
  <si>
    <r>
      <t>←</t>
    </r>
    <r>
      <rPr>
        <b/>
        <u/>
        <sz val="10"/>
        <color rgb="FFC00000"/>
        <rFont val="Yu Gothic"/>
        <family val="3"/>
        <charset val="128"/>
        <scheme val="minor"/>
      </rPr>
      <t>自動車に関する計画のみの事業者は６－１の入力は不要です。</t>
    </r>
    <rPh sb="1" eb="4">
      <t>ジドウシャ</t>
    </rPh>
    <rPh sb="5" eb="6">
      <t>カン</t>
    </rPh>
    <rPh sb="8" eb="10">
      <t>ケイカク</t>
    </rPh>
    <rPh sb="13" eb="15">
      <t>ジギョウ</t>
    </rPh>
    <rPh sb="15" eb="16">
      <t>シャ</t>
    </rPh>
    <rPh sb="21" eb="23">
      <t>ニュウリョク</t>
    </rPh>
    <rPh sb="24" eb="26">
      <t>フヨウ</t>
    </rPh>
    <phoneticPr fontId="4"/>
  </si>
  <si>
    <t>%</t>
    <phoneticPr fontId="4"/>
  </si>
  <si>
    <r>
      <t>←</t>
    </r>
    <r>
      <rPr>
        <b/>
        <u/>
        <sz val="10"/>
        <color rgb="FFC00000"/>
        <rFont val="Yu Gothic"/>
        <family val="3"/>
        <charset val="128"/>
        <scheme val="minor"/>
      </rPr>
      <t>工場等に関する計画のみの事業者は６－２の入力は不要です。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4"/>
  </si>
  <si>
    <r>
      <t>←</t>
    </r>
    <r>
      <rPr>
        <b/>
        <u/>
        <sz val="10"/>
        <color rgb="FFC00000"/>
        <rFont val="Yu Gothic"/>
        <family val="3"/>
        <charset val="128"/>
        <scheme val="minor"/>
      </rPr>
      <t>自動車に関する計画のみの事業者は７－１の入力は不要です。</t>
    </r>
    <rPh sb="1" eb="3">
      <t>ジドウ</t>
    </rPh>
    <rPh sb="3" eb="4">
      <t>シャ</t>
    </rPh>
    <rPh sb="5" eb="6">
      <t>カン</t>
    </rPh>
    <rPh sb="8" eb="10">
      <t>ケイカク</t>
    </rPh>
    <rPh sb="13" eb="15">
      <t>ジギョウ</t>
    </rPh>
    <rPh sb="15" eb="16">
      <t>シャ</t>
    </rPh>
    <rPh sb="21" eb="23">
      <t>ニュウリョク</t>
    </rPh>
    <rPh sb="24" eb="26">
      <t>フヨウ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</si>
  <si>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</si>
  <si>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原油換算エネ(工場等)</t>
    <rPh sb="0" eb="2">
      <t>ゲンユ</t>
    </rPh>
    <rPh sb="2" eb="4">
      <t>カンサン</t>
    </rPh>
    <rPh sb="7" eb="9">
      <t>コウジョウ</t>
    </rPh>
    <rPh sb="9" eb="10">
      <t>トウ</t>
    </rPh>
    <phoneticPr fontId="4"/>
  </si>
  <si>
    <t>原油換算エネ(自動車)</t>
    <rPh sb="0" eb="2">
      <t>ゲンユ</t>
    </rPh>
    <rPh sb="2" eb="4">
      <t>カンサン</t>
    </rPh>
    <rPh sb="7" eb="10">
      <t>ジドウシャ</t>
    </rPh>
    <phoneticPr fontId="4"/>
  </si>
  <si>
    <t>区分（中小）自動車</t>
    <rPh sb="0" eb="2">
      <t>クブン</t>
    </rPh>
    <rPh sb="3" eb="5">
      <t>チュウショウ</t>
    </rPh>
    <rPh sb="6" eb="9">
      <t>ジドウシャ</t>
    </rPh>
    <phoneticPr fontId="50"/>
  </si>
  <si>
    <t>区分（中小）</t>
    <rPh sb="3" eb="5">
      <t>チュウショウ</t>
    </rPh>
    <phoneticPr fontId="50"/>
  </si>
  <si>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</si>
  <si>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</si>
  <si>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</si>
  <si>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シート作成</t>
    <rPh sb="3" eb="5">
      <t>サクセイ</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</si>
  <si>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</si>
  <si>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</si>
  <si>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</si>
  <si>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田澤</t>
    <rPh sb="0" eb="2">
      <t>タザワ</t>
    </rPh>
    <phoneticPr fontId="4"/>
  </si>
  <si>
    <t>参考2、参考３</t>
    <rPh sb="0" eb="2">
      <t>サンコウ</t>
    </rPh>
    <rPh sb="4" eb="6">
      <t>サンコウ</t>
    </rPh>
    <phoneticPr fontId="4"/>
  </si>
  <si>
    <t>端数処理を反映</t>
    <rPh sb="0" eb="2">
      <t>ハスウ</t>
    </rPh>
    <rPh sb="2" eb="4">
      <t>ショリ</t>
    </rPh>
    <rPh sb="5" eb="7">
      <t>ハンエイ</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</si>
  <si>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</si>
  <si>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</si>
  <si>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</si>
  <si>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５－１　温室効果ガスの排出の量の削減を図るための対策に係る事項（工場等に関する計画）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コウジョウトウ</t>
    </rPh>
    <rPh sb="36" eb="37">
      <t>カン</t>
    </rPh>
    <rPh sb="39" eb="41">
      <t>ケイカク</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</si>
  <si>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</si>
  <si>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温室効果ガスの排出の量の削減を図るための対策に係る事項（自動車に関する計画）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ジドウシャ</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</si>
  <si>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</si>
  <si>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６－１　エネルギーの使用の合理化に係る事項（工場等に関する計画）</t>
    <rPh sb="10" eb="12">
      <t>シヨウ</t>
    </rPh>
    <rPh sb="13" eb="16">
      <t>ゴウリカ</t>
    </rPh>
    <rPh sb="17" eb="18">
      <t>カカ</t>
    </rPh>
    <rPh sb="19" eb="21">
      <t>ジコウ</t>
    </rPh>
    <phoneticPr fontId="5"/>
  </si>
  <si>
    <t>６－２　エネルギーの使用の合理化に係る事項（自動車に関する計画）</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</si>
  <si>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</si>
  <si>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</si>
  <si>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</si>
  <si>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</si>
  <si>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</si>
  <si>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</si>
  <si>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</si>
  <si>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</si>
  <si>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phoneticPr fontId="4"/>
  </si>
  <si>
    <t>E26:E27</t>
    <phoneticPr fontId="4"/>
  </si>
  <si>
    <t>プルダウンの参照設定修正</t>
    <rPh sb="6" eb="8">
      <t>サンショウ</t>
    </rPh>
    <rPh sb="8" eb="10">
      <t>セッテイ</t>
    </rPh>
    <rPh sb="10" eb="12">
      <t>シュウセイ</t>
    </rPh>
    <phoneticPr fontId="4"/>
  </si>
  <si>
    <t>非表示_リスト</t>
    <rPh sb="0" eb="3">
      <t>ヒヒョウジ</t>
    </rPh>
    <phoneticPr fontId="4"/>
  </si>
  <si>
    <t>68～93行目</t>
    <rPh sb="5" eb="7">
      <t>ギョウメ</t>
    </rPh>
    <phoneticPr fontId="4"/>
  </si>
  <si>
    <t>上記修正に伴い、修正（「名前の定義」の参照範囲も修正）</t>
    <rPh sb="0" eb="2">
      <t>ジョウキ</t>
    </rPh>
    <rPh sb="2" eb="4">
      <t>シュウセイ</t>
    </rPh>
    <rPh sb="5" eb="6">
      <t>トモナ</t>
    </rPh>
    <rPh sb="8" eb="10">
      <t>シュウセイ</t>
    </rPh>
    <rPh sb="12" eb="14">
      <t>ナマエ</t>
    </rPh>
    <rPh sb="15" eb="17">
      <t>テイギ</t>
    </rPh>
    <rPh sb="19" eb="21">
      <t>サンショウ</t>
    </rPh>
    <rPh sb="21" eb="23">
      <t>ハンイ</t>
    </rPh>
    <rPh sb="24" eb="26">
      <t>シュウセイ</t>
    </rPh>
    <phoneticPr fontId="4"/>
  </si>
  <si>
    <t>I32:I35</t>
    <phoneticPr fontId="4"/>
  </si>
  <si>
    <t>全県をデフォルト設定</t>
    <rPh sb="0" eb="2">
      <t>ゼンケン</t>
    </rPh>
    <rPh sb="8" eb="10">
      <t>セッテイ</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</si>
  <si>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</si>
  <si>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G1</t>
    <phoneticPr fontId="4"/>
  </si>
  <si>
    <t>誤記修正（書変え不可→書変え可）</t>
    <rPh sb="0" eb="2">
      <t>ゴキ</t>
    </rPh>
    <rPh sb="2" eb="4">
      <t>シュウセイ</t>
    </rPh>
    <rPh sb="5" eb="6">
      <t>カ</t>
    </rPh>
    <rPh sb="6" eb="7">
      <t>カ</t>
    </rPh>
    <rPh sb="8" eb="10">
      <t>フカ</t>
    </rPh>
    <rPh sb="11" eb="12">
      <t>カ</t>
    </rPh>
    <rPh sb="12" eb="13">
      <t>カ</t>
    </rPh>
    <rPh sb="14" eb="15">
      <t>カ</t>
    </rPh>
    <phoneticPr fontId="4"/>
  </si>
  <si>
    <r>
      <t>計画の対象区域は、</t>
    </r>
    <r>
      <rPr>
        <b/>
        <u/>
        <sz val="9"/>
        <color theme="1"/>
        <rFont val="Yu Gothic"/>
        <family val="3"/>
        <charset val="128"/>
        <scheme val="minor"/>
      </rPr>
      <t>原則「全県」</t>
    </r>
    <r>
      <rPr>
        <sz val="9"/>
        <color theme="1"/>
        <rFont val="Yu Gothic"/>
        <family val="3"/>
        <charset val="128"/>
        <scheme val="minor"/>
      </rPr>
      <t>となります。
ただし、県域と横浜市・川崎市の両方に工場等を設置（または自動車を保有）しており、全県の工場等（または自動車）での削減計画の策定が困難な場合等は、事前にご相談の上、「県域」を選択（「全県」の■をプルダウンで□に変更）しなおすこともできます。
※計画の対象区域が評価対象区域になります。</t>
    </r>
    <rPh sb="0" eb="2">
      <t>ケイカク</t>
    </rPh>
    <rPh sb="3" eb="5">
      <t>タイショウ</t>
    </rPh>
    <rPh sb="5" eb="7">
      <t>クイキ</t>
    </rPh>
    <rPh sb="9" eb="11">
      <t>ゲンソク</t>
    </rPh>
    <rPh sb="12" eb="14">
      <t>ゼンケン</t>
    </rPh>
    <rPh sb="26" eb="27">
      <t>ケン</t>
    </rPh>
    <rPh sb="27" eb="28">
      <t>イキ</t>
    </rPh>
    <rPh sb="29" eb="32">
      <t>ヨコハマシ</t>
    </rPh>
    <rPh sb="33" eb="36">
      <t>カワサキシ</t>
    </rPh>
    <rPh sb="37" eb="39">
      <t>リョウホウ</t>
    </rPh>
    <rPh sb="40" eb="42">
      <t>コウジョウ</t>
    </rPh>
    <rPh sb="42" eb="43">
      <t>トウ</t>
    </rPh>
    <rPh sb="44" eb="46">
      <t>セッチ</t>
    </rPh>
    <rPh sb="50" eb="53">
      <t>ジドウシャ</t>
    </rPh>
    <rPh sb="54" eb="56">
      <t>ホユウ</t>
    </rPh>
    <rPh sb="62" eb="63">
      <t>ゼン</t>
    </rPh>
    <rPh sb="63" eb="64">
      <t>ケン</t>
    </rPh>
    <rPh sb="65" eb="67">
      <t>コウジョウ</t>
    </rPh>
    <rPh sb="67" eb="68">
      <t>トウ</t>
    </rPh>
    <rPh sb="72" eb="75">
      <t>ジドウシャ</t>
    </rPh>
    <rPh sb="78" eb="80">
      <t>サクゲン</t>
    </rPh>
    <rPh sb="80" eb="82">
      <t>ケイカク</t>
    </rPh>
    <rPh sb="83" eb="85">
      <t>サクテイ</t>
    </rPh>
    <rPh sb="86" eb="88">
      <t>コンナン</t>
    </rPh>
    <rPh sb="89" eb="91">
      <t>バアイ</t>
    </rPh>
    <rPh sb="91" eb="92">
      <t>トウ</t>
    </rPh>
    <rPh sb="94" eb="96">
      <t>ジゼン</t>
    </rPh>
    <rPh sb="98" eb="100">
      <t>ソウダン</t>
    </rPh>
    <rPh sb="101" eb="102">
      <t>ウエ</t>
    </rPh>
    <rPh sb="104" eb="105">
      <t>ケン</t>
    </rPh>
    <rPh sb="105" eb="106">
      <t>イキ</t>
    </rPh>
    <rPh sb="108" eb="110">
      <t>センタク</t>
    </rPh>
    <rPh sb="112" eb="114">
      <t>ゼンケン</t>
    </rPh>
    <rPh sb="126" eb="128">
      <t>ヘンコウ</t>
    </rPh>
    <rPh sb="143" eb="145">
      <t>ケイカク</t>
    </rPh>
    <rPh sb="146" eb="148">
      <t>タイショウ</t>
    </rPh>
    <rPh sb="148" eb="150">
      <t>クイキ</t>
    </rPh>
    <rPh sb="151" eb="153">
      <t>ヒョウカ</t>
    </rPh>
    <rPh sb="153" eb="155">
      <t>タイショウ</t>
    </rPh>
    <rPh sb="155" eb="157">
      <t>クイキ</t>
    </rPh>
    <phoneticPr fontId="4"/>
  </si>
  <si>
    <t>B2</t>
    <phoneticPr fontId="4"/>
  </si>
  <si>
    <t>参照式の修正（I32→I34、I33→I35）</t>
    <rPh sb="0" eb="2">
      <t>サンショウ</t>
    </rPh>
    <rPh sb="2" eb="3">
      <t>シキ</t>
    </rPh>
    <rPh sb="4" eb="6">
      <t>シュウセイ</t>
    </rPh>
    <phoneticPr fontId="4"/>
  </si>
  <si>
    <t>参照式の入力漏れ修正</t>
    <rPh sb="0" eb="2">
      <t>サンショウ</t>
    </rPh>
    <rPh sb="2" eb="3">
      <t>シキ</t>
    </rPh>
    <rPh sb="4" eb="6">
      <t>ニュウリョク</t>
    </rPh>
    <rPh sb="6" eb="7">
      <t>モ</t>
    </rPh>
    <rPh sb="8" eb="10">
      <t>シュウセイ</t>
    </rPh>
    <phoneticPr fontId="4"/>
  </si>
  <si>
    <t>F95,F110</t>
    <phoneticPr fontId="4"/>
  </si>
  <si>
    <t>F103,F105,F110</t>
    <phoneticPr fontId="4"/>
  </si>
  <si>
    <t>L95:R95,L110:R110</t>
    <phoneticPr fontId="4"/>
  </si>
  <si>
    <t>参照ミス修正：「改善率（対前年度比）」⇒「改善率（対基準年度比）」</t>
    <rPh sb="0" eb="2">
      <t>サンショウ</t>
    </rPh>
    <rPh sb="4" eb="6">
      <t>シュウセイ</t>
    </rPh>
    <rPh sb="8" eb="10">
      <t>カイゼン</t>
    </rPh>
    <rPh sb="10" eb="11">
      <t>リツ</t>
    </rPh>
    <rPh sb="12" eb="13">
      <t>タイ</t>
    </rPh>
    <rPh sb="13" eb="14">
      <t>ゼン</t>
    </rPh>
    <rPh sb="14" eb="16">
      <t>ネンド</t>
    </rPh>
    <rPh sb="16" eb="17">
      <t>ヒ</t>
    </rPh>
    <rPh sb="26" eb="28">
      <t>キジュン</t>
    </rPh>
    <phoneticPr fontId="4"/>
  </si>
  <si>
    <r>
      <t>I12の元関数…=IF(OFFSET(INDIRECT("貼付け_"&amp;B1.入力_第1面!$H$39&amp;"実績"),1,</t>
    </r>
    <r>
      <rPr>
        <sz val="12"/>
        <color rgb="FFFF0000"/>
        <rFont val="游明朝"/>
        <family val="1"/>
        <charset val="128"/>
      </rPr>
      <t>21</t>
    </r>
    <r>
      <rPr>
        <sz val="12"/>
        <color theme="1"/>
        <rFont val="游明朝"/>
        <family val="1"/>
        <charset val="128"/>
      </rPr>
      <t>)="","",OFFSET(INDIRECT("貼付け_"&amp;B1.入力_第1面!$H$39&amp;"実績"),1,</t>
    </r>
    <r>
      <rPr>
        <sz val="12"/>
        <color rgb="FFFF0000"/>
        <rFont val="游明朝"/>
        <family val="1"/>
        <charset val="128"/>
      </rPr>
      <t>21</t>
    </r>
    <r>
      <rPr>
        <sz val="12"/>
        <color theme="1"/>
        <rFont val="游明朝"/>
        <family val="1"/>
        <charset val="128"/>
      </rPr>
      <t>))</t>
    </r>
    <rPh sb="4" eb="5">
      <t>モト</t>
    </rPh>
    <rPh sb="5" eb="7">
      <t>カンスウ</t>
    </rPh>
    <phoneticPr fontId="4"/>
  </si>
  <si>
    <r>
      <t>I13の元関数…=IF(OFFSET(INDIRECT("貼付け_"&amp;B1.入力_第1面!$H$39&amp;"実績"),2,</t>
    </r>
    <r>
      <rPr>
        <sz val="12"/>
        <color rgb="FFFF0000"/>
        <rFont val="游明朝"/>
        <family val="1"/>
        <charset val="128"/>
      </rPr>
      <t>21</t>
    </r>
    <r>
      <rPr>
        <sz val="12"/>
        <color theme="1"/>
        <rFont val="游明朝"/>
        <family val="1"/>
        <charset val="128"/>
      </rPr>
      <t>)="","",OFFSET(INDIRECT("貼付け_"&amp;B1.入力_第1面!$H$39&amp;"実績"),2,</t>
    </r>
    <r>
      <rPr>
        <sz val="12"/>
        <color rgb="FFFF0000"/>
        <rFont val="游明朝"/>
        <family val="1"/>
        <charset val="128"/>
      </rPr>
      <t>21</t>
    </r>
    <r>
      <rPr>
        <sz val="12"/>
        <color theme="1"/>
        <rFont val="游明朝"/>
        <family val="1"/>
        <charset val="128"/>
      </rPr>
      <t>))</t>
    </r>
    <rPh sb="4" eb="5">
      <t>モト</t>
    </rPh>
    <rPh sb="5" eb="7">
      <t>カンスウ</t>
    </rPh>
    <phoneticPr fontId="4"/>
  </si>
  <si>
    <r>
      <t>I14の元関数…=IF(OFFSET(INDIRECT("貼付け_"&amp;B1.入力_第1面!$H$39&amp;"実績"),1,</t>
    </r>
    <r>
      <rPr>
        <sz val="12"/>
        <color rgb="FFFF0000"/>
        <rFont val="游明朝"/>
        <family val="1"/>
        <charset val="128"/>
      </rPr>
      <t>22</t>
    </r>
    <r>
      <rPr>
        <sz val="12"/>
        <color theme="1"/>
        <rFont val="游明朝"/>
        <family val="1"/>
        <charset val="128"/>
      </rPr>
      <t>)="","",OFFSET(INDIRECT("貼付け_"&amp;B1.入力_第1面!$H$39&amp;"実績"),1,</t>
    </r>
    <r>
      <rPr>
        <sz val="12"/>
        <color rgb="FFFF0000"/>
        <rFont val="游明朝"/>
        <family val="1"/>
        <charset val="128"/>
      </rPr>
      <t>22</t>
    </r>
    <r>
      <rPr>
        <sz val="12"/>
        <color theme="1"/>
        <rFont val="游明朝"/>
        <family val="1"/>
        <charset val="128"/>
      </rPr>
      <t>))</t>
    </r>
    <rPh sb="4" eb="5">
      <t>モト</t>
    </rPh>
    <rPh sb="5" eb="7">
      <t>カンスウ</t>
    </rPh>
    <phoneticPr fontId="4"/>
  </si>
  <si>
    <r>
      <t>I15の元関数…=IF(OFFSET(INDIRECT("貼付け_"&amp;B1.入力_第1面!$H$39&amp;"実績"),2,</t>
    </r>
    <r>
      <rPr>
        <sz val="12"/>
        <color rgb="FFFF0000"/>
        <rFont val="游明朝"/>
        <family val="1"/>
        <charset val="128"/>
      </rPr>
      <t>22</t>
    </r>
    <r>
      <rPr>
        <sz val="12"/>
        <color theme="1"/>
        <rFont val="游明朝"/>
        <family val="1"/>
        <charset val="128"/>
      </rPr>
      <t>)="","",OFFSET(INDIRECT("貼付け_"&amp;B1.入力_第1面!$H$39&amp;"実績"),2,</t>
    </r>
    <r>
      <rPr>
        <sz val="12"/>
        <color rgb="FFFF0000"/>
        <rFont val="游明朝"/>
        <family val="1"/>
        <charset val="128"/>
      </rPr>
      <t>22</t>
    </r>
    <r>
      <rPr>
        <sz val="12"/>
        <color theme="1"/>
        <rFont val="游明朝"/>
        <family val="1"/>
        <charset val="128"/>
      </rPr>
      <t>))</t>
    </r>
    <rPh sb="4" eb="5">
      <t>モト</t>
    </rPh>
    <rPh sb="5" eb="7">
      <t>カンスウ</t>
    </rPh>
    <phoneticPr fontId="4"/>
  </si>
  <si>
    <t>I12:J15,I58:J61</t>
  </si>
  <si>
    <t>参照関数入力</t>
    <rPh sb="0" eb="2">
      <t>サンショウ</t>
    </rPh>
    <rPh sb="2" eb="4">
      <t>カンスウ</t>
    </rPh>
    <rPh sb="4" eb="6">
      <t>ニュウリョク</t>
    </rPh>
    <phoneticPr fontId="4"/>
  </si>
  <si>
    <t>B32:D34,B78:K80</t>
  </si>
  <si>
    <t>プルダウン選択設定</t>
    <rPh sb="5" eb="7">
      <t>センタク</t>
    </rPh>
    <rPh sb="7" eb="9">
      <t>セッテイ</t>
    </rPh>
    <phoneticPr fontId="4"/>
  </si>
  <si>
    <t>I58の元関数…=IF(OFFSET(INDIRECT("貼付け_"&amp;B1.入力_第1面!$H$39&amp;"実績"),2,44)="","",OFFSET(INDIRECT("貼付け_"&amp;B1.入力_第1面!$H$39&amp;"実績"),2,44))</t>
    <rPh sb="4" eb="5">
      <t>モト</t>
    </rPh>
    <rPh sb="5" eb="7">
      <t>カンスウ</t>
    </rPh>
    <phoneticPr fontId="4"/>
  </si>
  <si>
    <t>I59の元関数…=IF(OFFSET(INDIRECT("貼付け_"&amp;B1.入力_第1面!$H$39&amp;"実績"),2,45)="","",OFFSET(INDIRECT("貼付け_"&amp;B1.入力_第1面!$H$39&amp;"実績"),2,45))</t>
    <rPh sb="4" eb="5">
      <t>モト</t>
    </rPh>
    <rPh sb="5" eb="7">
      <t>カンスウ</t>
    </rPh>
    <phoneticPr fontId="4"/>
  </si>
  <si>
    <t>I60の元関数…=IF(OFFSET(INDIRECT("貼付け_"&amp;B1.入力_第1面!$H$39&amp;"実績"),2,46)="","",OFFSET(INDIRECT("貼付け_"&amp;B1.入力_第1面!$H$39&amp;"実績"),2,46))</t>
    <rPh sb="4" eb="5">
      <t>モト</t>
    </rPh>
    <rPh sb="5" eb="7">
      <t>カンスウ</t>
    </rPh>
    <phoneticPr fontId="4"/>
  </si>
  <si>
    <t>I61の元関数…=IF(OFFSET(INDIRECT("貼付け_"&amp;B1.入力_第1面!$H$39&amp;"実績"),2,47)="","",OFFSET(INDIRECT("貼付け_"&amp;B1.入力_第1面!$H$39&amp;"実績"),2,47))</t>
    <rPh sb="4" eb="5">
      <t>モト</t>
    </rPh>
    <rPh sb="5" eb="7">
      <t>カンスウ</t>
    </rPh>
    <phoneticPr fontId="4"/>
  </si>
  <si>
    <t>神奈川県 事業活動温暖化対策計画書制度　計画書・実績報告書ファイル（中小規模事業者用）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6">
      <t>チュウショウ</t>
    </rPh>
    <rPh sb="36" eb="38">
      <t>キボ</t>
    </rPh>
    <rPh sb="38" eb="41">
      <t>ジギョウシャ</t>
    </rPh>
    <rPh sb="41" eb="42">
      <t>ヨウ</t>
    </rPh>
    <phoneticPr fontId="15"/>
  </si>
  <si>
    <t>計画期間中に特定大規模事業者に該当することとなった場合、特定大規模事業者用の計画書の提出が必要です。</t>
    <phoneticPr fontId="4"/>
  </si>
  <si>
    <t>作業の流れ</t>
    <rPh sb="0" eb="2">
      <t>サギョウ</t>
    </rPh>
    <rPh sb="3" eb="4">
      <t>ナガ</t>
    </rPh>
    <phoneticPr fontId="4"/>
  </si>
  <si>
    <t>2,16行目</t>
    <rPh sb="4" eb="6">
      <t>ギョウメ</t>
    </rPh>
    <phoneticPr fontId="4"/>
  </si>
  <si>
    <t>記載が大規模事業者用になっていたので、修正</t>
    <rPh sb="0" eb="2">
      <t>キサイ</t>
    </rPh>
    <rPh sb="3" eb="6">
      <t>ダイキボ</t>
    </rPh>
    <rPh sb="6" eb="9">
      <t>ジギョウシャ</t>
    </rPh>
    <rPh sb="9" eb="10">
      <t>ヨウ</t>
    </rPh>
    <rPh sb="19" eb="21">
      <t>シュウセイ</t>
    </rPh>
    <phoneticPr fontId="4"/>
  </si>
  <si>
    <t>要選択</t>
  </si>
  <si>
    <t>（h×0.0258）</t>
    <phoneticPr fontId="4"/>
  </si>
  <si>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</si>
  <si>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</si>
  <si>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</si>
  <si>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</si>
  <si>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</si>
  <si>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</si>
  <si>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</si>
  <si>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</si>
  <si>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</si>
  <si>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</si>
  <si>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</si>
  <si>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</si>
  <si>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</si>
  <si>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</si>
  <si>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</si>
  <si>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</si>
  <si>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</si>
  <si>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</si>
  <si>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</si>
  <si>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</si>
  <si>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</si>
  <si>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</si>
  <si>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</si>
  <si>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</si>
  <si>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</si>
  <si>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</si>
  <si>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</si>
  <si>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</si>
  <si>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</si>
  <si>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</si>
  <si>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</si>
  <si>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</si>
  <si>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</si>
  <si>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</si>
  <si>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</si>
  <si>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</si>
  <si>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</si>
  <si>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</si>
  <si>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</si>
  <si>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</si>
  <si>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</si>
  <si>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</si>
  <si>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</si>
  <si>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</si>
  <si>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</si>
  <si>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</si>
  <si>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</si>
  <si>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</si>
  <si>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</si>
  <si>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</si>
  <si>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</si>
  <si>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</si>
  <si>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</si>
  <si>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</si>
  <si>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</si>
  <si>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</si>
  <si>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全県(大)？</t>
    <rPh sb="0" eb="2">
      <t>ゼンケン</t>
    </rPh>
    <rPh sb="3" eb="4">
      <t>ダイ</t>
    </rPh>
    <phoneticPr fontId="4"/>
  </si>
  <si>
    <t>排出量</t>
    <rPh sb="0" eb="2">
      <t>ハイシュツ</t>
    </rPh>
    <rPh sb="2" eb="3">
      <t>リョウ</t>
    </rPh>
    <phoneticPr fontId="4"/>
  </si>
  <si>
    <t>全県(中小)？</t>
    <rPh sb="0" eb="2">
      <t>ゼンケン</t>
    </rPh>
    <rPh sb="3" eb="5">
      <t>チュウショウ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</si>
  <si>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</si>
  <si>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■E32～E34：内容</t>
    </r>
    <r>
      <rPr>
        <sz val="9"/>
        <color rgb="FFC00000"/>
        <rFont val="Yu Gothic"/>
        <family val="3"/>
        <charset val="128"/>
        <scheme val="minor"/>
      </rPr>
      <t>…計画初年度のみ</t>
    </r>
    <rPh sb="9" eb="11">
      <t>ナイヨウ</t>
    </rPh>
    <phoneticPr fontId="4"/>
  </si>
  <si>
    <t>←対策内容は、指針別表の対策例を参照して主なものを３つまで記載可能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</si>
  <si>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r>
      <t>■E78～E80：内容</t>
    </r>
    <r>
      <rPr>
        <sz val="9"/>
        <color rgb="FFC00000"/>
        <rFont val="Yu Gothic"/>
        <family val="3"/>
        <charset val="128"/>
        <scheme val="minor"/>
      </rPr>
      <t>…計画初年度のみ</t>
    </r>
    <rPh sb="9" eb="11">
      <t>ナイヨウ</t>
    </rPh>
    <phoneticPr fontId="4"/>
  </si>
  <si>
    <r>
      <t>今期の排出量削減目標を達成するための主な削減対策のうち、これまでの取組状況や課題等を踏まえて、</t>
    </r>
    <r>
      <rPr>
        <b/>
        <u/>
        <sz val="8"/>
        <color theme="1"/>
        <rFont val="Yu Gothic"/>
        <family val="3"/>
        <charset val="128"/>
        <scheme val="minor"/>
      </rPr>
      <t>「今期新たに取り組む対策」</t>
    </r>
    <r>
      <rPr>
        <sz val="8"/>
        <color theme="1"/>
        <rFont val="Yu Gothic"/>
        <family val="3"/>
        <charset val="128"/>
        <scheme val="minor"/>
      </rPr>
      <t>や</t>
    </r>
    <r>
      <rPr>
        <b/>
        <u/>
        <sz val="8"/>
        <color theme="1"/>
        <rFont val="Yu Gothic"/>
        <family val="3"/>
        <charset val="128"/>
        <scheme val="minor"/>
      </rPr>
      <t>「強化する対策」を中心に最大３つまで簡潔に入力</t>
    </r>
    <r>
      <rPr>
        <sz val="8"/>
        <color theme="1"/>
        <rFont val="Yu Gothic"/>
        <family val="3"/>
        <charset val="128"/>
        <scheme val="minor"/>
      </rPr>
      <t xml:space="preserve">してください。
例）運用対策：eラーニング等によるエコドライブ教育の実施
　　設備対策：電気自動車の導入（２台）
　　その他　：再エネ電力の導入
</t>
    </r>
    <r>
      <rPr>
        <b/>
        <sz val="8.5"/>
        <color rgb="FFC00000"/>
        <rFont val="Yu Gothic"/>
        <family val="3"/>
        <charset val="128"/>
        <scheme val="minor"/>
      </rPr>
      <t>■B78～B80：対策区分</t>
    </r>
    <r>
      <rPr>
        <sz val="8.5"/>
        <color rgb="FFC00000"/>
        <rFont val="Yu Gothic"/>
        <family val="3"/>
        <charset val="128"/>
        <scheme val="minor"/>
      </rPr>
      <t>…計画初年度のみ</t>
    </r>
    <r>
      <rPr>
        <sz val="8"/>
        <color theme="1"/>
        <rFont val="Yu Gothic"/>
        <family val="3"/>
        <charset val="128"/>
        <scheme val="minor"/>
      </rPr>
      <t xml:space="preserve">
E列に入力した対策の区分をプルダウン選択してください。
</t>
    </r>
    <r>
      <rPr>
        <b/>
        <sz val="8.5"/>
        <color rgb="FFC00000"/>
        <rFont val="Yu Gothic"/>
        <family val="3"/>
        <charset val="128"/>
        <scheme val="minor"/>
      </rPr>
      <t>■L78～R80：対策内容</t>
    </r>
    <r>
      <rPr>
        <sz val="8.5"/>
        <color rgb="FFC00000"/>
        <rFont val="Yu Gothic"/>
        <family val="3"/>
        <charset val="128"/>
        <scheme val="minor"/>
      </rPr>
      <t>…実績報告時のみ</t>
    </r>
    <r>
      <rPr>
        <sz val="8"/>
        <color theme="1"/>
        <rFont val="Yu Gothic"/>
        <family val="3"/>
        <charset val="128"/>
        <scheme val="minor"/>
      </rPr>
      <t xml:space="preserve">
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rPh sb="92" eb="93">
      <t>レイ</t>
    </rPh>
    <rPh sb="94" eb="96">
      <t>ウンヨウ</t>
    </rPh>
    <rPh sb="96" eb="98">
      <t>タイサク</t>
    </rPh>
    <rPh sb="105" eb="106">
      <t>トウ</t>
    </rPh>
    <rPh sb="115" eb="117">
      <t>キョウイク</t>
    </rPh>
    <rPh sb="118" eb="120">
      <t>ジッシ</t>
    </rPh>
    <rPh sb="123" eb="125">
      <t>セツビ</t>
    </rPh>
    <rPh sb="125" eb="127">
      <t>タイサク</t>
    </rPh>
    <rPh sb="128" eb="130">
      <t>デンキ</t>
    </rPh>
    <rPh sb="130" eb="133">
      <t>ジドウシャ</t>
    </rPh>
    <rPh sb="134" eb="136">
      <t>ドウニュウ</t>
    </rPh>
    <rPh sb="138" eb="139">
      <t>ダイ</t>
    </rPh>
    <rPh sb="145" eb="146">
      <t>タ</t>
    </rPh>
    <rPh sb="148" eb="149">
      <t>サイ</t>
    </rPh>
    <rPh sb="151" eb="153">
      <t>デンリョク</t>
    </rPh>
    <rPh sb="154" eb="156">
      <t>ドウニュウ</t>
    </rPh>
    <phoneticPr fontId="4"/>
  </si>
  <si>
    <r>
      <rPr>
        <sz val="8"/>
        <color theme="1"/>
        <rFont val="Yu Gothic"/>
        <family val="3"/>
        <charset val="128"/>
        <scheme val="minor"/>
      </rPr>
      <t>今期の排出量削減目標を達成するための主な削減対策のうち、これまでの取組状況や課題等を踏まえて、</t>
    </r>
    <r>
      <rPr>
        <b/>
        <u/>
        <sz val="8"/>
        <color theme="1"/>
        <rFont val="Yu Gothic"/>
        <family val="3"/>
        <charset val="128"/>
        <scheme val="minor"/>
      </rPr>
      <t>「今期新たに取り組む対策」</t>
    </r>
    <r>
      <rPr>
        <sz val="8"/>
        <color theme="1"/>
        <rFont val="Yu Gothic"/>
        <family val="3"/>
        <charset val="128"/>
        <scheme val="minor"/>
      </rPr>
      <t>や</t>
    </r>
    <r>
      <rPr>
        <b/>
        <u/>
        <sz val="8"/>
        <color theme="1"/>
        <rFont val="Yu Gothic"/>
        <family val="3"/>
        <charset val="128"/>
        <scheme val="minor"/>
      </rPr>
      <t>「強化する対策」を中心に最大３つまで簡潔に入力</t>
    </r>
    <r>
      <rPr>
        <sz val="8"/>
        <color theme="1"/>
        <rFont val="Yu Gothic"/>
        <family val="3"/>
        <charset val="128"/>
        <scheme val="minor"/>
      </rPr>
      <t>してください。
例）運用対策：エネルギー使用量見える化システムの導入
　　設備対策：照明機器のLED化（Ｂ工場、100台）
　　その他　：再エネ電力の購入（C工場）</t>
    </r>
    <r>
      <rPr>
        <sz val="9"/>
        <color theme="1"/>
        <rFont val="Yu Gothic"/>
        <family val="3"/>
        <charset val="128"/>
        <scheme val="minor"/>
      </rPr>
      <t xml:space="preserve">
</t>
    </r>
    <r>
      <rPr>
        <b/>
        <sz val="8.5"/>
        <color rgb="FFC00000"/>
        <rFont val="Yu Gothic"/>
        <family val="3"/>
        <charset val="128"/>
        <scheme val="minor"/>
      </rPr>
      <t>■B32～B34：対策区分</t>
    </r>
    <r>
      <rPr>
        <sz val="8.5"/>
        <color rgb="FFC00000"/>
        <rFont val="Yu Gothic"/>
        <family val="3"/>
        <charset val="128"/>
        <scheme val="minor"/>
      </rPr>
      <t>…計画初年度のみ</t>
    </r>
    <r>
      <rPr>
        <sz val="8"/>
        <color theme="1"/>
        <rFont val="Yu Gothic"/>
        <family val="3"/>
        <charset val="128"/>
        <scheme val="minor"/>
      </rPr>
      <t xml:space="preserve">
E列に入力した対策の区分をプルダウン選択してください。</t>
    </r>
    <r>
      <rPr>
        <sz val="8.5"/>
        <color theme="1"/>
        <rFont val="Yu Gothic"/>
        <family val="3"/>
        <charset val="128"/>
        <scheme val="minor"/>
      </rPr>
      <t xml:space="preserve">
</t>
    </r>
    <r>
      <rPr>
        <b/>
        <sz val="8.5"/>
        <color rgb="FFC00000"/>
        <rFont val="Yu Gothic"/>
        <family val="3"/>
        <charset val="128"/>
        <scheme val="minor"/>
      </rPr>
      <t>■L32～R34：対策内容</t>
    </r>
    <r>
      <rPr>
        <sz val="8.5"/>
        <color rgb="FFC00000"/>
        <rFont val="Yu Gothic"/>
        <family val="3"/>
        <charset val="128"/>
        <scheme val="minor"/>
      </rPr>
      <t>…実績報告時のみ</t>
    </r>
    <r>
      <rPr>
        <sz val="8.5"/>
        <color theme="1"/>
        <rFont val="Yu Gothic"/>
        <family val="3"/>
        <charset val="128"/>
        <scheme val="minor"/>
      </rPr>
      <t xml:space="preserve">
</t>
    </r>
    <r>
      <rPr>
        <sz val="8"/>
        <color theme="1"/>
        <rFont val="Yu Gothic"/>
        <family val="3"/>
        <charset val="128"/>
        <scheme val="minor"/>
      </rPr>
      <t>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rPh sb="150" eb="151">
      <t>タ</t>
    </rPh>
    <rPh sb="153" eb="154">
      <t>サイ</t>
    </rPh>
    <rPh sb="156" eb="158">
      <t>デンリョク</t>
    </rPh>
    <rPh sb="159" eb="161">
      <t>コウニュウ</t>
    </rPh>
    <rPh sb="163" eb="165">
      <t>コウジョウ</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</si>
  <si>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phoneticPr fontId="4"/>
  </si>
  <si>
    <t>□</t>
  </si>
  <si>
    <t>←I32とI33共に■の場合は双方のセルを赤色塗りつぶし（条件付き書式）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4"/>
  </si>
  <si>
    <t>←I34とI35共に■の場合は双方のセルを赤色塗りつぶし（条件付き書式）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4"/>
  </si>
  <si>
    <t>自動車に関する削減計画策定者</t>
    <rPh sb="0" eb="3">
      <t>ジドウシャ</t>
    </rPh>
    <rPh sb="4" eb="5">
      <t>カン</t>
    </rPh>
    <rPh sb="7" eb="9">
      <t>サクゲン</t>
    </rPh>
    <rPh sb="9" eb="11">
      <t>ケイカク</t>
    </rPh>
    <rPh sb="11" eb="13">
      <t>サクテイ</t>
    </rPh>
    <rPh sb="13" eb="14">
      <t>シャ</t>
    </rPh>
    <phoneticPr fontId="4"/>
  </si>
  <si>
    <t>■</t>
  </si>
  <si>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</si>
  <si>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</si>
  <si>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</si>
  <si>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</si>
  <si>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</si>
  <si>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</si>
  <si>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※ただし、自動車に関する削減計画は、システム対応していないため、対象自動車に関する情報を②エネルギー使用量等入力ファイルへ入力いただく必要があります。</t>
    <rPh sb="5" eb="8">
      <t>ジドウシャ</t>
    </rPh>
    <rPh sb="9" eb="10">
      <t>カン</t>
    </rPh>
    <rPh sb="12" eb="14">
      <t>サクゲン</t>
    </rPh>
    <rPh sb="14" eb="16">
      <t>ケイカク</t>
    </rPh>
    <rPh sb="22" eb="24">
      <t>タイオウ</t>
    </rPh>
    <rPh sb="32" eb="34">
      <t>タイショウ</t>
    </rPh>
    <rPh sb="34" eb="37">
      <t>ジドウシャ</t>
    </rPh>
    <rPh sb="38" eb="39">
      <t>カン</t>
    </rPh>
    <rPh sb="41" eb="43">
      <t>ジョウホウ</t>
    </rPh>
    <rPh sb="50" eb="56">
      <t>シヨウリョウトウニュウリョク</t>
    </rPh>
    <rPh sb="61" eb="63">
      <t>ニュウリョク</t>
    </rPh>
    <rPh sb="67" eb="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</si>
</sst>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_);[Red]\(#,##0\)"/>
    <numFmt numFmtId="179" formatCode="General&quot;点&quot;"/>
    <numFmt numFmtId="180" formatCode="0.0%"/>
    <numFmt numFmtId="181" formatCode="#,##0_ ;[Red]\-#,##0\ "/>
    <numFmt numFmtId="182" formatCode="0.0"/>
    <numFmt numFmtId="183" formatCode="#,##0.00_);[Red]\(#,##0.00\)"/>
    <numFmt numFmtId="184" formatCode="#,##0.0;[Red]\-#,##0.0"/>
    <numFmt numFmtId="185" formatCode="#,##0.0_ ;[Red]\-#,##0.0\ "/>
    <numFmt numFmtId="186" formatCode="General&quot;年&quot;&quot;度&quot;"/>
    <numFmt numFmtId="187" formatCode="\(General\)"/>
    <numFmt numFmtId="188" formatCode="#,##0.0_);[Red]\(#,##0.0\)"/>
    <numFmt numFmtId="189" formatCode="0_);[Red]\(0\)"/>
    <numFmt numFmtId="190" formatCode="yyyy/m/d;@"/>
  </numFmts>
  <fonts count="136">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b/>
      <sz val="9"/>
      <color indexed="81"/>
      <name val="ＭＳ Ｐゴシック"/>
      <family val="3"/>
      <charset val="128"/>
    </font>
    <font>
      <sz val="10"/>
      <name val="ＭＳ Ｐゴシック"/>
      <family val="3"/>
      <charset val="128"/>
    </font>
    <font>
      <sz val="8"/>
      <name val="Meiryo UI"/>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sz val="12"/>
      <name val="Meiryo UI"/>
      <family val="3"/>
      <charset val="128"/>
    </font>
    <font>
      <b/>
      <u/>
      <sz val="12"/>
      <color theme="3"/>
      <name val="Meiryo UI"/>
      <family val="3"/>
      <charset val="128"/>
    </font>
    <font>
      <b/>
      <u/>
      <sz val="12"/>
      <name val="Meiryo UI"/>
      <family val="3"/>
      <charset val="128"/>
    </font>
    <font>
      <sz val="14"/>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游明朝"/>
      <family val="1"/>
      <charset val="128"/>
    </font>
    <font>
      <b/>
      <sz val="12"/>
      <color rgb="FFFF0000"/>
      <name val="游ゴシック"/>
      <family val="3"/>
      <charset val="128"/>
    </font>
    <font>
      <b/>
      <sz val="12"/>
      <color theme="1"/>
      <name val="游明朝"/>
      <family val="1"/>
      <charset val="128"/>
    </font>
    <font>
      <b/>
      <sz val="10"/>
      <color theme="1"/>
      <name val="游明朝"/>
      <family val="1"/>
      <charset val="128"/>
    </font>
    <font>
      <sz val="14"/>
      <color theme="0"/>
      <name val="游明朝"/>
      <family val="1"/>
      <charset val="128"/>
    </font>
    <font>
      <sz val="10"/>
      <color theme="0"/>
      <name val="游明朝"/>
      <family val="1"/>
      <charset val="128"/>
    </font>
    <font>
      <b/>
      <sz val="11"/>
      <name val="游ゴシック"/>
      <family val="3"/>
      <charset val="128"/>
    </font>
    <font>
      <sz val="11"/>
      <name val="游明朝"/>
      <family val="1"/>
      <charset val="128"/>
    </font>
    <font>
      <b/>
      <sz val="11"/>
      <name val="Yu Gothic"/>
      <family val="3"/>
      <charset val="128"/>
      <scheme val="minor"/>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sz val="14"/>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b/>
      <sz val="9"/>
      <color indexed="81"/>
      <name val="MS P ゴシック"/>
      <family val="3"/>
      <charset val="128"/>
    </font>
    <font>
      <sz val="9"/>
      <color indexed="81"/>
      <name val="MS P ゴシック"/>
      <family val="3"/>
      <charset val="128"/>
    </font>
    <font>
      <sz val="14"/>
      <color theme="1"/>
      <name val="Yu Gothic"/>
      <family val="3"/>
      <charset val="128"/>
      <scheme val="minor"/>
    </font>
    <font>
      <b/>
      <sz val="16"/>
      <name val="Yu Gothic"/>
      <family val="3"/>
      <charset val="128"/>
      <scheme val="minor"/>
    </font>
    <font>
      <sz val="12"/>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color theme="1"/>
      <name val="Yu Gothic"/>
      <family val="3"/>
      <charset val="128"/>
      <scheme val="minor"/>
    </font>
    <font>
      <b/>
      <u/>
      <sz val="11"/>
      <color theme="10"/>
      <name val="Yu Gothic"/>
      <family val="3"/>
      <charset val="128"/>
      <scheme val="minor"/>
    </font>
    <font>
      <b/>
      <sz val="12"/>
      <name val="Yu Gothic"/>
      <family val="3"/>
      <charset val="128"/>
      <scheme val="minor"/>
    </font>
    <font>
      <b/>
      <sz val="12"/>
      <color rgb="FFFF0000"/>
      <name val="Yu Gothic"/>
      <family val="3"/>
      <charset val="128"/>
      <scheme val="minor"/>
    </font>
    <font>
      <sz val="11"/>
      <color theme="1"/>
      <name val="Yu Gothic"/>
      <family val="3"/>
      <charset val="128"/>
      <scheme val="minor"/>
    </font>
    <font>
      <b/>
      <sz val="12"/>
      <color theme="0"/>
      <name val="Yu Gothic"/>
      <family val="3"/>
      <charset val="128"/>
      <scheme val="minor"/>
    </font>
    <font>
      <sz val="12"/>
      <color theme="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vertAlign val="superscript"/>
      <sz val="12"/>
      <color theme="1"/>
      <name val="游明朝"/>
      <family val="1"/>
      <charset val="128"/>
    </font>
    <font>
      <sz val="10"/>
      <color rgb="FFC00000"/>
      <name val="Meiryo UI"/>
      <family val="3"/>
      <charset val="128"/>
    </font>
    <font>
      <sz val="10"/>
      <color rgb="FF00B0F0"/>
      <name val="Meiryo UI"/>
      <family val="3"/>
      <charset val="128"/>
    </font>
    <font>
      <sz val="10"/>
      <color rgb="FF00B050"/>
      <name val="Meiryo UI"/>
      <family val="3"/>
      <charset val="128"/>
    </font>
    <font>
      <b/>
      <u/>
      <sz val="16"/>
      <name val="Meiryo UI"/>
      <family val="3"/>
      <charset val="128"/>
    </font>
    <font>
      <sz val="10"/>
      <name val="Yu Gothic"/>
      <family val="3"/>
      <charset val="128"/>
      <scheme val="minor"/>
    </font>
    <font>
      <b/>
      <sz val="10"/>
      <name val="Yu Gothic"/>
      <family val="3"/>
      <charset val="128"/>
      <scheme val="minor"/>
    </font>
    <font>
      <b/>
      <sz val="10"/>
      <color theme="1"/>
      <name val="Yu Gothic"/>
      <family val="3"/>
      <charset val="128"/>
      <scheme val="minor"/>
    </font>
    <font>
      <b/>
      <sz val="10"/>
      <color theme="0"/>
      <name val="Yu Gothic"/>
      <family val="3"/>
      <charset val="128"/>
      <scheme val="minor"/>
    </font>
    <font>
      <sz val="10"/>
      <color theme="1"/>
      <name val="Yu Gothic"/>
      <family val="3"/>
      <charset val="128"/>
      <scheme val="minor"/>
    </font>
    <font>
      <b/>
      <sz val="24"/>
      <color rgb="FFFF0000"/>
      <name val="Yu Gothic"/>
      <family val="3"/>
      <charset val="128"/>
      <scheme val="minor"/>
    </font>
    <font>
      <sz val="11"/>
      <color rgb="FFFF0000"/>
      <name val="Yu Gothic"/>
      <family val="3"/>
      <charset val="128"/>
      <scheme val="minor"/>
    </font>
    <font>
      <b/>
      <sz val="14"/>
      <color theme="1"/>
      <name val="Yu Gothic"/>
      <family val="3"/>
      <charset val="128"/>
      <scheme val="minor"/>
    </font>
    <font>
      <b/>
      <sz val="11"/>
      <color rgb="FFFF0000"/>
      <name val="Yu Gothic"/>
      <family val="3"/>
      <charset val="128"/>
      <scheme val="minor"/>
    </font>
    <font>
      <sz val="12"/>
      <color rgb="FFC00000"/>
      <name val="Yu Gothic"/>
      <family val="2"/>
      <scheme val="minor"/>
    </font>
    <font>
      <u/>
      <sz val="12"/>
      <color rgb="FFC00000"/>
      <name val="Yu Gothic"/>
      <family val="3"/>
      <charset val="128"/>
      <scheme val="minor"/>
    </font>
    <font>
      <b/>
      <u/>
      <sz val="12"/>
      <color rgb="FFC00000"/>
      <name val="Yu Gothic"/>
      <family val="3"/>
      <charset val="128"/>
      <scheme val="minor"/>
    </font>
    <font>
      <b/>
      <sz val="14"/>
      <name val="Yu Gothic"/>
      <family val="3"/>
      <charset val="128"/>
      <scheme val="minor"/>
    </font>
    <font>
      <b/>
      <sz val="14"/>
      <color rgb="FFFF0000"/>
      <name val="Yu Gothic"/>
      <family val="3"/>
      <charset val="128"/>
      <scheme val="minor"/>
    </font>
    <font>
      <b/>
      <u/>
      <sz val="18"/>
      <color theme="1"/>
      <name val="Yu Gothic"/>
      <family val="3"/>
      <charset val="128"/>
      <scheme val="minor"/>
    </font>
    <font>
      <b/>
      <sz val="11"/>
      <color theme="1"/>
      <name val="Yu Gothic"/>
      <family val="3"/>
      <charset val="128"/>
      <scheme val="minor"/>
    </font>
    <font>
      <sz val="12"/>
      <color theme="1"/>
      <name val="Yu Gothic"/>
      <family val="2"/>
      <scheme val="minor"/>
    </font>
    <font>
      <b/>
      <u/>
      <sz val="12"/>
      <color theme="1"/>
      <name val="Yu Gothic"/>
      <family val="3"/>
      <charset val="128"/>
      <scheme val="minor"/>
    </font>
    <font>
      <b/>
      <u/>
      <sz val="12"/>
      <color rgb="FFFF0000"/>
      <name val="Yu Gothic"/>
      <family val="3"/>
      <charset val="128"/>
      <scheme val="minor"/>
    </font>
    <font>
      <b/>
      <u/>
      <sz val="14"/>
      <color theme="1"/>
      <name val="Yu Gothic"/>
      <family val="3"/>
      <charset val="128"/>
      <scheme val="minor"/>
    </font>
    <font>
      <u/>
      <sz val="11"/>
      <color rgb="FFFF0000"/>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9"/>
      <name val="Yu Gothic"/>
      <family val="3"/>
      <charset val="128"/>
      <scheme val="minor"/>
    </font>
    <font>
      <b/>
      <sz val="9"/>
      <name val="Yu Gothic"/>
      <family val="3"/>
      <charset val="128"/>
      <scheme val="minor"/>
    </font>
    <font>
      <b/>
      <sz val="9"/>
      <color theme="1"/>
      <name val="Yu Gothic"/>
      <family val="3"/>
      <charset val="128"/>
      <scheme val="minor"/>
    </font>
    <font>
      <b/>
      <u/>
      <sz val="9"/>
      <color theme="1"/>
      <name val="Yu Gothic"/>
      <family val="3"/>
      <charset val="128"/>
      <scheme val="minor"/>
    </font>
    <font>
      <sz val="10"/>
      <color rgb="FFC00000"/>
      <name val="Yu Gothic"/>
      <family val="3"/>
      <charset val="128"/>
      <scheme val="minor"/>
    </font>
    <font>
      <b/>
      <u/>
      <sz val="10"/>
      <color rgb="FFC00000"/>
      <name val="Yu Gothic"/>
      <family val="3"/>
      <charset val="128"/>
      <scheme val="minor"/>
    </font>
    <font>
      <b/>
      <u/>
      <sz val="9"/>
      <color rgb="FFC00000"/>
      <name val="Yu Gothic"/>
      <family val="3"/>
      <charset val="128"/>
      <scheme val="minor"/>
    </font>
    <font>
      <u/>
      <sz val="9"/>
      <color theme="1"/>
      <name val="Yu Gothic"/>
      <family val="3"/>
      <charset val="128"/>
      <scheme val="minor"/>
    </font>
    <font>
      <u/>
      <sz val="10"/>
      <color theme="1"/>
      <name val="Yu Gothic"/>
      <family val="3"/>
      <charset val="128"/>
      <scheme val="minor"/>
    </font>
    <font>
      <b/>
      <sz val="14"/>
      <color rgb="FFFF0000"/>
      <name val="游ゴシック"/>
      <family val="3"/>
      <charset val="128"/>
    </font>
    <font>
      <u/>
      <sz val="11"/>
      <color theme="1"/>
      <name val="Yu Gothic"/>
      <family val="3"/>
      <charset val="128"/>
      <scheme val="minor"/>
    </font>
    <font>
      <sz val="12"/>
      <color rgb="FFFF0000"/>
      <name val="游明朝"/>
      <family val="1"/>
      <charset val="128"/>
    </font>
    <font>
      <sz val="12"/>
      <color rgb="FFFF0000"/>
      <name val="Yu Gothic"/>
      <family val="3"/>
      <charset val="128"/>
      <scheme val="minor"/>
    </font>
    <font>
      <sz val="8.5"/>
      <color theme="1"/>
      <name val="Yu Gothic"/>
      <family val="3"/>
      <charset val="128"/>
      <scheme val="minor"/>
    </font>
    <font>
      <b/>
      <sz val="9"/>
      <color rgb="FFC00000"/>
      <name val="Yu Gothic"/>
      <family val="3"/>
      <charset val="128"/>
      <scheme val="minor"/>
    </font>
    <font>
      <sz val="9"/>
      <color rgb="FFC00000"/>
      <name val="Yu Gothic"/>
      <family val="3"/>
      <charset val="128"/>
      <scheme val="minor"/>
    </font>
    <font>
      <sz val="8"/>
      <color theme="1"/>
      <name val="Yu Gothic"/>
      <family val="3"/>
      <charset val="128"/>
      <scheme val="minor"/>
    </font>
    <font>
      <b/>
      <u/>
      <sz val="8"/>
      <color theme="1"/>
      <name val="Yu Gothic"/>
      <family val="3"/>
      <charset val="128"/>
      <scheme val="minor"/>
    </font>
    <font>
      <b/>
      <sz val="8.5"/>
      <color rgb="FFC00000"/>
      <name val="Yu Gothic"/>
      <family val="3"/>
      <charset val="128"/>
      <scheme val="minor"/>
    </font>
    <font>
      <sz val="8.5"/>
      <color rgb="FFC00000"/>
      <name val="Yu Gothic"/>
      <family val="3"/>
      <charset val="128"/>
      <scheme val="minor"/>
    </font>
    <font>
      <b/>
      <u/>
      <sz val="14"/>
      <color rgb="FF0070C0"/>
      <name val="Yu Gothic"/>
      <family val="2"/>
      <scheme val="minor"/>
    </font>
    <font>
      <b/>
      <u/>
      <sz val="14"/>
      <color theme="10"/>
      <name val="Yu Gothic"/>
      <family val="2"/>
      <scheme val="minor"/>
    </font>
    <font>
      <sz val="9"/>
      <color theme="0"/>
      <name val="Yu Gothic"/>
      <family val="3"/>
      <charset val="128"/>
      <scheme val="minor"/>
    </font>
  </fonts>
  <fills count="2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theme="5"/>
        <bgColor indexed="64"/>
      </patternFill>
    </fill>
    <fill>
      <patternFill patternType="solid">
        <fgColor theme="5" tint="0.59999389629810485"/>
        <bgColor indexed="64"/>
      </patternFill>
    </fill>
    <fill>
      <patternFill patternType="solid">
        <fgColor rgb="FFCCECFF"/>
        <bgColor indexed="64"/>
      </patternFill>
    </fill>
    <fill>
      <patternFill patternType="solid">
        <fgColor theme="7"/>
        <bgColor indexed="64"/>
      </patternFill>
    </fill>
    <fill>
      <patternFill patternType="solid">
        <fgColor rgb="FFFFC000"/>
        <bgColor indexed="64"/>
      </patternFill>
    </fill>
    <fill>
      <patternFill patternType="solid">
        <fgColor theme="8" tint="-0.499984740745262"/>
        <bgColor indexed="64"/>
      </patternFill>
    </fill>
    <fill>
      <patternFill patternType="solid">
        <fgColor theme="0" tint="-0.14996795556505021"/>
        <bgColor indexed="64"/>
      </patternFill>
    </fill>
    <fill>
      <patternFill patternType="solid">
        <fgColor rgb="FFFF0000"/>
        <bgColor indexed="64"/>
      </patternFill>
    </fill>
    <fill>
      <patternFill patternType="solid">
        <fgColor rgb="FFFBE5D6"/>
        <bgColor indexed="64"/>
      </patternFill>
    </fill>
    <fill>
      <patternFill patternType="solid">
        <fgColor theme="4" tint="0.59999389629810485"/>
        <bgColor indexed="64"/>
      </patternFill>
    </fill>
  </fills>
  <borders count="258">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bottom style="thin">
        <color auto="1"/>
      </bottom>
      <diagonal/>
    </border>
    <border>
      <left/>
      <right style="medium">
        <color indexed="64"/>
      </right>
      <top/>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thick">
        <color theme="5"/>
      </left>
      <right/>
      <top style="thin">
        <color indexed="64"/>
      </top>
      <bottom style="hair">
        <color indexed="64"/>
      </bottom>
      <diagonal/>
    </border>
    <border>
      <left/>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style="thin">
        <color theme="0" tint="-0.34998626667073579"/>
      </top>
      <bottom/>
      <diagonal/>
    </border>
    <border>
      <left/>
      <right/>
      <top/>
      <bottom style="thin">
        <color theme="0" tint="-0.34998626667073579"/>
      </bottom>
      <diagonal/>
    </border>
  </borders>
  <cellStyleXfs count="20">
    <xf numFmtId="0" fontId="0" fillId="0" borderId="0"/>
    <xf numFmtId="0" fontId="7" fillId="0" borderId="0">
      <alignment vertical="center"/>
    </xf>
    <xf numFmtId="0" fontId="1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lignment vertical="center"/>
    </xf>
    <xf numFmtId="0" fontId="10" fillId="0" borderId="0">
      <alignment vertical="center"/>
    </xf>
    <xf numFmtId="0" fontId="14" fillId="0" borderId="0">
      <alignment vertical="center"/>
    </xf>
    <xf numFmtId="9" fontId="9" fillId="0" borderId="0" applyFont="0" applyFill="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34" fillId="0" borderId="0" applyNumberFormat="0" applyFill="0" applyBorder="0" applyAlignment="0" applyProtection="0"/>
    <xf numFmtId="0" fontId="3" fillId="0" borderId="0">
      <alignment vertical="center"/>
    </xf>
    <xf numFmtId="0" fontId="133" fillId="0" borderId="0" applyNumberFormat="0" applyFill="0" applyBorder="0" applyAlignment="0" applyProtection="0"/>
  </cellStyleXfs>
  <cellXfs count="2144">
    <xf numFmtId="0" fontId="0" fillId="0" borderId="0" xfId="0"/>
    <xf numFmtId="0" fontId="12" fillId="4" borderId="0" xfId="0" applyFont="1" applyFill="1" applyAlignment="1">
      <alignment vertical="center"/>
    </xf>
    <xf numFmtId="0" fontId="12" fillId="6" borderId="0" xfId="0" applyFont="1" applyFill="1" applyAlignment="1">
      <alignment vertical="center"/>
    </xf>
    <xf numFmtId="0" fontId="12" fillId="8" borderId="0" xfId="0" applyFont="1" applyFill="1" applyAlignment="1">
      <alignment vertical="center"/>
    </xf>
    <xf numFmtId="0" fontId="28"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31" fillId="0" borderId="4" xfId="0" applyNumberFormat="1" applyFont="1" applyBorder="1" applyAlignment="1">
      <alignment vertical="center" shrinkToFit="1"/>
    </xf>
    <xf numFmtId="0" fontId="31" fillId="0" borderId="0" xfId="0" applyFont="1" applyAlignment="1">
      <alignment vertical="center"/>
    </xf>
    <xf numFmtId="0" fontId="28" fillId="0" borderId="0" xfId="0" applyFont="1" applyAlignment="1">
      <alignment vertical="center"/>
    </xf>
    <xf numFmtId="0" fontId="28" fillId="0" borderId="0" xfId="0" quotePrefix="1" applyFont="1" applyAlignment="1">
      <alignment vertical="center"/>
    </xf>
    <xf numFmtId="0" fontId="30"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vertical="center"/>
    </xf>
    <xf numFmtId="0" fontId="31" fillId="0" borderId="14" xfId="0" applyFont="1" applyBorder="1" applyAlignment="1">
      <alignment horizontal="right" vertical="center"/>
    </xf>
    <xf numFmtId="0" fontId="0" fillId="0" borderId="0" xfId="0" applyAlignment="1">
      <alignment horizontal="left" vertical="top" wrapText="1"/>
    </xf>
    <xf numFmtId="0" fontId="33" fillId="14" borderId="0" xfId="2" applyFont="1" applyFill="1" applyAlignment="1">
      <alignment horizontal="center" vertical="center"/>
    </xf>
    <xf numFmtId="0" fontId="28" fillId="14" borderId="0" xfId="2" applyFont="1" applyFill="1">
      <alignment vertical="center"/>
    </xf>
    <xf numFmtId="0" fontId="28" fillId="14" borderId="0" xfId="0" applyFont="1" applyFill="1" applyAlignment="1">
      <alignment vertical="center"/>
    </xf>
    <xf numFmtId="0" fontId="31" fillId="14" borderId="0" xfId="0" applyFont="1" applyFill="1" applyAlignment="1">
      <alignment vertical="center"/>
    </xf>
    <xf numFmtId="178" fontId="31" fillId="0" borderId="38" xfId="0" applyNumberFormat="1" applyFont="1" applyBorder="1" applyAlignment="1">
      <alignment vertical="center" shrinkToFit="1"/>
    </xf>
    <xf numFmtId="0" fontId="31" fillId="14" borderId="0" xfId="0" applyFont="1" applyFill="1" applyAlignment="1">
      <alignment vertical="center" wrapText="1"/>
    </xf>
    <xf numFmtId="178" fontId="31" fillId="0" borderId="3" xfId="0" applyNumberFormat="1" applyFont="1" applyBorder="1" applyAlignment="1">
      <alignment vertical="center" shrinkToFit="1"/>
    </xf>
    <xf numFmtId="178" fontId="31" fillId="0" borderId="71" xfId="0" applyNumberFormat="1" applyFont="1" applyBorder="1" applyAlignment="1">
      <alignment vertical="center" shrinkToFit="1"/>
    </xf>
    <xf numFmtId="178" fontId="31" fillId="0" borderId="76" xfId="0" applyNumberFormat="1" applyFont="1" applyBorder="1" applyAlignment="1">
      <alignment vertical="center" shrinkToFit="1"/>
    </xf>
    <xf numFmtId="178" fontId="31" fillId="0" borderId="83" xfId="0" applyNumberFormat="1" applyFont="1" applyBorder="1" applyAlignment="1">
      <alignment vertical="center" shrinkToFit="1"/>
    </xf>
    <xf numFmtId="178" fontId="31" fillId="0" borderId="85" xfId="0" applyNumberFormat="1" applyFont="1" applyBorder="1" applyAlignment="1">
      <alignment vertical="center" shrinkToFit="1"/>
    </xf>
    <xf numFmtId="178" fontId="31" fillId="0" borderId="77" xfId="0" applyNumberFormat="1" applyFont="1" applyBorder="1" applyAlignment="1">
      <alignment vertical="center" shrinkToFit="1"/>
    </xf>
    <xf numFmtId="178" fontId="31" fillId="0" borderId="11" xfId="0" applyNumberFormat="1" applyFont="1" applyBorder="1" applyAlignment="1">
      <alignment vertical="center" shrinkToFit="1"/>
    </xf>
    <xf numFmtId="178" fontId="31" fillId="0" borderId="88" xfId="0" applyNumberFormat="1" applyFont="1" applyBorder="1" applyAlignment="1">
      <alignment vertical="center" shrinkToFit="1"/>
    </xf>
    <xf numFmtId="178" fontId="31" fillId="0" borderId="90" xfId="0" applyNumberFormat="1" applyFont="1" applyBorder="1" applyAlignment="1">
      <alignment vertical="center" shrinkToFit="1"/>
    </xf>
    <xf numFmtId="178" fontId="31" fillId="0" borderId="41" xfId="0" applyNumberFormat="1" applyFont="1" applyBorder="1" applyAlignment="1">
      <alignment vertical="center" shrinkToFit="1"/>
    </xf>
    <xf numFmtId="178" fontId="31" fillId="0" borderId="100" xfId="0" applyNumberFormat="1" applyFont="1" applyBorder="1" applyAlignment="1">
      <alignment vertical="center" shrinkToFit="1"/>
    </xf>
    <xf numFmtId="178" fontId="31" fillId="0" borderId="102" xfId="0" applyNumberFormat="1" applyFont="1" applyBorder="1" applyAlignment="1">
      <alignment vertical="center" shrinkToFit="1"/>
    </xf>
    <xf numFmtId="0" fontId="31" fillId="14" borderId="0" xfId="0" applyFont="1" applyFill="1" applyAlignment="1">
      <alignment vertical="center" shrinkToFit="1"/>
    </xf>
    <xf numFmtId="0" fontId="31" fillId="14" borderId="0" xfId="0" applyFont="1" applyFill="1" applyAlignment="1">
      <alignment vertical="top"/>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38" fillId="0" borderId="0" xfId="0" applyFont="1" applyAlignment="1">
      <alignment vertical="center"/>
    </xf>
    <xf numFmtId="0" fontId="31" fillId="0" borderId="0" xfId="2" applyFont="1">
      <alignment vertical="center"/>
    </xf>
    <xf numFmtId="0" fontId="3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vertical="center"/>
    </xf>
    <xf numFmtId="178" fontId="31" fillId="0" borderId="74" xfId="0" applyNumberFormat="1" applyFont="1" applyBorder="1" applyAlignment="1">
      <alignment vertical="center" shrinkToFit="1"/>
    </xf>
    <xf numFmtId="178" fontId="31" fillId="0" borderId="78" xfId="0" applyNumberFormat="1" applyFont="1" applyBorder="1" applyAlignment="1">
      <alignment vertical="center" shrinkToFit="1"/>
    </xf>
    <xf numFmtId="0" fontId="31" fillId="0" borderId="0" xfId="0" quotePrefix="1" applyFont="1" applyAlignment="1">
      <alignment vertical="center"/>
    </xf>
    <xf numFmtId="0" fontId="31" fillId="14" borderId="0" xfId="2" applyFont="1" applyFill="1">
      <alignment vertical="center"/>
    </xf>
    <xf numFmtId="0" fontId="12" fillId="4" borderId="114" xfId="0" applyFont="1" applyFill="1" applyBorder="1" applyAlignment="1">
      <alignment vertical="center"/>
    </xf>
    <xf numFmtId="0" fontId="13" fillId="4" borderId="114" xfId="0" applyFont="1" applyFill="1" applyBorder="1" applyAlignment="1">
      <alignment vertical="center"/>
    </xf>
    <xf numFmtId="0" fontId="13" fillId="4" borderId="114" xfId="0" quotePrefix="1" applyFont="1" applyFill="1" applyBorder="1" applyAlignment="1">
      <alignment vertical="center"/>
    </xf>
    <xf numFmtId="0" fontId="12" fillId="6" borderId="114" xfId="0" applyFont="1" applyFill="1" applyBorder="1" applyAlignment="1">
      <alignment vertical="center"/>
    </xf>
    <xf numFmtId="180" fontId="31" fillId="4" borderId="90" xfId="10" applyNumberFormat="1" applyFont="1" applyFill="1" applyBorder="1" applyAlignment="1">
      <alignment vertical="center" shrinkToFit="1"/>
    </xf>
    <xf numFmtId="0" fontId="31" fillId="0" borderId="90" xfId="0" applyFont="1" applyBorder="1" applyAlignment="1">
      <alignment vertical="center"/>
    </xf>
    <xf numFmtId="177" fontId="31" fillId="0" borderId="66" xfId="15" applyNumberFormat="1" applyFont="1" applyFill="1" applyBorder="1" applyAlignment="1" applyProtection="1">
      <alignment horizontal="right" vertical="center" shrinkToFit="1"/>
    </xf>
    <xf numFmtId="180" fontId="31" fillId="0" borderId="88" xfId="10" applyNumberFormat="1" applyFont="1" applyFill="1" applyBorder="1" applyAlignment="1">
      <alignment vertical="center" shrinkToFit="1"/>
    </xf>
    <xf numFmtId="0" fontId="52" fillId="0" borderId="0" xfId="0" applyFont="1" applyAlignment="1">
      <alignment vertical="center"/>
    </xf>
    <xf numFmtId="0" fontId="59" fillId="2" borderId="0" xfId="0" applyFont="1" applyFill="1" applyAlignment="1">
      <alignment horizontal="right"/>
    </xf>
    <xf numFmtId="0" fontId="61" fillId="0" borderId="0" xfId="0" applyFont="1" applyAlignment="1">
      <alignment vertical="center"/>
    </xf>
    <xf numFmtId="0" fontId="56" fillId="0" borderId="18" xfId="0" applyFont="1" applyBorder="1" applyAlignment="1">
      <alignment horizontal="center" vertical="center"/>
    </xf>
    <xf numFmtId="0" fontId="0" fillId="17" borderId="18" xfId="0" applyFill="1" applyBorder="1" applyAlignment="1">
      <alignment horizontal="left" vertical="top" shrinkToFit="1"/>
    </xf>
    <xf numFmtId="190" fontId="0" fillId="17" borderId="18" xfId="0" applyNumberFormat="1" applyFill="1" applyBorder="1" applyAlignment="1">
      <alignment horizontal="left" vertical="top" shrinkToFit="1"/>
    </xf>
    <xf numFmtId="0" fontId="0" fillId="17" borderId="18" xfId="0" applyFill="1" applyBorder="1" applyAlignment="1">
      <alignment horizontal="left" vertical="top" wrapText="1"/>
    </xf>
    <xf numFmtId="0" fontId="0" fillId="0" borderId="0" xfId="0" applyAlignment="1">
      <alignment horizontal="left" vertical="top"/>
    </xf>
    <xf numFmtId="0" fontId="0" fillId="0" borderId="18" xfId="0" applyBorder="1" applyAlignment="1">
      <alignment vertical="top" shrinkToFit="1"/>
    </xf>
    <xf numFmtId="190" fontId="0" fillId="0" borderId="18" xfId="0" applyNumberFormat="1" applyBorder="1" applyAlignment="1">
      <alignment vertical="top" shrinkToFit="1"/>
    </xf>
    <xf numFmtId="0" fontId="0" fillId="0" borderId="18" xfId="0" applyBorder="1" applyAlignment="1">
      <alignment horizontal="center" vertical="top" shrinkToFit="1"/>
    </xf>
    <xf numFmtId="0" fontId="0" fillId="0" borderId="18" xfId="0" applyBorder="1" applyAlignment="1">
      <alignment horizontal="center" vertical="top" wrapText="1"/>
    </xf>
    <xf numFmtId="0" fontId="0" fillId="0" borderId="18" xfId="0" applyBorder="1" applyAlignment="1">
      <alignment vertical="top" wrapText="1"/>
    </xf>
    <xf numFmtId="0" fontId="0" fillId="0" borderId="0" xfId="0" applyAlignment="1">
      <alignment vertical="top"/>
    </xf>
    <xf numFmtId="0" fontId="0" fillId="4" borderId="18" xfId="0" applyFill="1" applyBorder="1" applyAlignment="1">
      <alignment vertical="top" shrinkToFit="1"/>
    </xf>
    <xf numFmtId="0" fontId="0" fillId="0" borderId="18" xfId="0" applyBorder="1" applyAlignment="1">
      <alignment horizontal="center" vertical="top" wrapText="1" shrinkToFit="1"/>
    </xf>
    <xf numFmtId="0" fontId="0" fillId="0" borderId="0" xfId="0" applyAlignment="1">
      <alignment vertical="top" shrinkToFit="1"/>
    </xf>
    <xf numFmtId="190" fontId="0" fillId="0" borderId="0" xfId="0" applyNumberFormat="1" applyAlignment="1">
      <alignment vertical="top" shrinkToFit="1"/>
    </xf>
    <xf numFmtId="0" fontId="0" fillId="0" borderId="0" xfId="0" applyAlignment="1">
      <alignment horizontal="center" vertical="top" shrinkToFit="1"/>
    </xf>
    <xf numFmtId="38" fontId="31" fillId="14" borderId="0" xfId="6" applyFont="1" applyFill="1" applyAlignment="1">
      <alignment vertical="center"/>
    </xf>
    <xf numFmtId="183" fontId="31" fillId="0" borderId="104" xfId="0" applyNumberFormat="1" applyFont="1" applyBorder="1" applyAlignment="1">
      <alignment vertical="center" shrinkToFit="1"/>
    </xf>
    <xf numFmtId="0" fontId="40" fillId="0" borderId="0" xfId="0" applyFont="1" applyAlignment="1">
      <alignment horizontal="left" vertical="top"/>
    </xf>
    <xf numFmtId="0" fontId="31" fillId="0" borderId="0" xfId="0" applyFont="1" applyAlignment="1">
      <alignment horizontal="left" vertical="top"/>
    </xf>
    <xf numFmtId="0" fontId="31" fillId="0" borderId="88" xfId="0" applyFont="1" applyBorder="1" applyAlignment="1">
      <alignment vertical="center"/>
    </xf>
    <xf numFmtId="0" fontId="23" fillId="4" borderId="245" xfId="2" applyFont="1" applyFill="1" applyBorder="1">
      <alignment vertical="center"/>
    </xf>
    <xf numFmtId="0" fontId="23" fillId="4" borderId="245" xfId="2" applyFont="1" applyFill="1" applyBorder="1" applyAlignment="1">
      <alignment horizontal="left" vertical="center"/>
    </xf>
    <xf numFmtId="0" fontId="23" fillId="4" borderId="245" xfId="2" applyFont="1" applyFill="1" applyBorder="1" applyAlignment="1">
      <alignment horizontal="right" vertical="center"/>
    </xf>
    <xf numFmtId="0" fontId="23" fillId="4" borderId="0" xfId="2" applyFont="1" applyFill="1">
      <alignment vertical="center"/>
    </xf>
    <xf numFmtId="0" fontId="12" fillId="4" borderId="0" xfId="2" applyFont="1" applyFill="1">
      <alignment vertical="center"/>
    </xf>
    <xf numFmtId="0" fontId="12" fillId="4" borderId="0" xfId="2" applyFont="1" applyFill="1" applyAlignment="1">
      <alignment horizontal="left" vertical="center"/>
    </xf>
    <xf numFmtId="0" fontId="12" fillId="4" borderId="0" xfId="2" applyFont="1" applyFill="1" applyAlignment="1">
      <alignment horizontal="right" vertical="center"/>
    </xf>
    <xf numFmtId="0" fontId="13" fillId="4" borderId="0" xfId="2" applyFont="1" applyFill="1">
      <alignment vertical="center"/>
    </xf>
    <xf numFmtId="0" fontId="12" fillId="4" borderId="247" xfId="2" applyFont="1" applyFill="1" applyBorder="1" applyAlignment="1">
      <alignment horizontal="center" vertical="center"/>
    </xf>
    <xf numFmtId="0" fontId="16" fillId="4" borderId="247" xfId="2" applyFont="1" applyFill="1" applyBorder="1" applyAlignment="1">
      <alignment horizontal="center" vertical="center"/>
    </xf>
    <xf numFmtId="0" fontId="74" fillId="5" borderId="247" xfId="2" applyFont="1" applyFill="1" applyBorder="1" applyAlignment="1">
      <alignment horizontal="center" vertical="center"/>
    </xf>
    <xf numFmtId="0" fontId="17" fillId="4" borderId="0" xfId="2" applyFont="1" applyFill="1">
      <alignment vertical="center"/>
    </xf>
    <xf numFmtId="0" fontId="17" fillId="4" borderId="0" xfId="2" applyFont="1" applyFill="1" applyAlignment="1">
      <alignment horizontal="right" vertical="center"/>
    </xf>
    <xf numFmtId="0" fontId="17" fillId="4" borderId="0" xfId="2" applyFont="1" applyFill="1" applyAlignment="1">
      <alignment horizontal="left" vertical="center"/>
    </xf>
    <xf numFmtId="0" fontId="12" fillId="4" borderId="247" xfId="2" applyFont="1" applyFill="1" applyBorder="1">
      <alignment vertical="center"/>
    </xf>
    <xf numFmtId="0" fontId="12" fillId="4" borderId="247" xfId="2" applyFont="1" applyFill="1" applyBorder="1" applyAlignment="1">
      <alignment horizontal="left" vertical="center"/>
    </xf>
    <xf numFmtId="0" fontId="12" fillId="4" borderId="247" xfId="2" applyFont="1" applyFill="1" applyBorder="1" applyAlignment="1">
      <alignment horizontal="right" vertical="center"/>
    </xf>
    <xf numFmtId="9" fontId="75" fillId="4" borderId="247" xfId="4" applyFont="1" applyFill="1" applyBorder="1" applyAlignment="1">
      <alignment horizontal="right" vertical="center"/>
    </xf>
    <xf numFmtId="0" fontId="75" fillId="4" borderId="247" xfId="2" applyFont="1" applyFill="1" applyBorder="1">
      <alignment vertical="center"/>
    </xf>
    <xf numFmtId="38" fontId="75" fillId="4" borderId="247" xfId="6" applyFont="1" applyFill="1" applyBorder="1" applyAlignment="1">
      <alignment horizontal="center" vertical="center"/>
    </xf>
    <xf numFmtId="0" fontId="12" fillId="20" borderId="248" xfId="2" applyFont="1" applyFill="1" applyBorder="1" applyAlignment="1">
      <alignment horizontal="right" vertical="center"/>
    </xf>
    <xf numFmtId="0" fontId="12" fillId="20" borderId="249" xfId="2" applyFont="1" applyFill="1" applyBorder="1" applyAlignment="1">
      <alignment horizontal="right" vertical="center"/>
    </xf>
    <xf numFmtId="0" fontId="12" fillId="20" borderId="250" xfId="2" applyFont="1" applyFill="1" applyBorder="1" applyAlignment="1">
      <alignment horizontal="right" vertical="center"/>
    </xf>
    <xf numFmtId="180" fontId="75" fillId="4" borderId="0" xfId="4" applyNumberFormat="1" applyFont="1" applyFill="1" applyBorder="1" applyAlignment="1">
      <alignment horizontal="right" vertical="center"/>
    </xf>
    <xf numFmtId="0" fontId="12" fillId="20" borderId="249" xfId="2" applyFont="1" applyFill="1" applyBorder="1">
      <alignment vertical="center"/>
    </xf>
    <xf numFmtId="0" fontId="12" fillId="4" borderId="248" xfId="2" applyFont="1" applyFill="1" applyBorder="1" applyAlignment="1">
      <alignment horizontal="right" vertical="center"/>
    </xf>
    <xf numFmtId="180" fontId="75" fillId="4" borderId="249" xfId="4" applyNumberFormat="1" applyFont="1" applyFill="1" applyBorder="1" applyAlignment="1">
      <alignment horizontal="right" vertical="center"/>
    </xf>
    <xf numFmtId="180" fontId="75" fillId="4" borderId="250" xfId="4" applyNumberFormat="1" applyFont="1" applyFill="1" applyBorder="1" applyAlignment="1">
      <alignment horizontal="right" vertical="center"/>
    </xf>
    <xf numFmtId="9" fontId="13" fillId="4" borderId="249" xfId="4" applyFont="1" applyFill="1" applyBorder="1" applyAlignment="1">
      <alignment horizontal="right" vertical="center"/>
    </xf>
    <xf numFmtId="9" fontId="13" fillId="4" borderId="249" xfId="4" applyFont="1" applyFill="1" applyBorder="1" applyAlignment="1">
      <alignment horizontal="left" vertical="center"/>
    </xf>
    <xf numFmtId="180" fontId="12" fillId="7" borderId="249" xfId="4" applyNumberFormat="1" applyFont="1" applyFill="1" applyBorder="1" applyAlignment="1">
      <alignment vertical="center"/>
    </xf>
    <xf numFmtId="38" fontId="13" fillId="4" borderId="249" xfId="6" applyFont="1" applyFill="1" applyBorder="1" applyAlignment="1">
      <alignment vertical="center"/>
    </xf>
    <xf numFmtId="0" fontId="12" fillId="4" borderId="250" xfId="2" applyFont="1" applyFill="1" applyBorder="1">
      <alignment vertical="center"/>
    </xf>
    <xf numFmtId="0" fontId="75" fillId="4" borderId="247" xfId="2" applyFont="1" applyFill="1" applyBorder="1" applyAlignment="1">
      <alignment horizontal="center" vertical="center"/>
    </xf>
    <xf numFmtId="38" fontId="75" fillId="4" borderId="247" xfId="6" applyFont="1" applyFill="1" applyBorder="1" applyAlignment="1">
      <alignment horizontal="right" vertical="center"/>
    </xf>
    <xf numFmtId="179" fontId="12" fillId="4" borderId="247" xfId="2" applyNumberFormat="1" applyFont="1" applyFill="1" applyBorder="1" applyAlignment="1">
      <alignment horizontal="left" vertical="center"/>
    </xf>
    <xf numFmtId="10" fontId="18" fillId="4" borderId="0" xfId="4" applyNumberFormat="1" applyFont="1" applyFill="1" applyBorder="1" applyAlignment="1">
      <alignment vertical="center"/>
    </xf>
    <xf numFmtId="0" fontId="16" fillId="4" borderId="0" xfId="2" applyFont="1" applyFill="1">
      <alignment vertical="center"/>
    </xf>
    <xf numFmtId="179" fontId="18" fillId="4" borderId="0" xfId="2" applyNumberFormat="1" applyFont="1" applyFill="1">
      <alignment vertical="center"/>
    </xf>
    <xf numFmtId="0" fontId="76" fillId="4" borderId="248" xfId="0" applyFont="1" applyFill="1" applyBorder="1"/>
    <xf numFmtId="9" fontId="75" fillId="4" borderId="249" xfId="0" applyNumberFormat="1" applyFont="1" applyFill="1" applyBorder="1"/>
    <xf numFmtId="0" fontId="75" fillId="4" borderId="249" xfId="0" applyFont="1" applyFill="1" applyBorder="1"/>
    <xf numFmtId="0" fontId="75" fillId="4" borderId="250" xfId="0" applyFont="1" applyFill="1" applyBorder="1"/>
    <xf numFmtId="0" fontId="76" fillId="20" borderId="248" xfId="2" applyFont="1" applyFill="1" applyBorder="1" applyAlignment="1">
      <alignment horizontal="right" vertical="center"/>
    </xf>
    <xf numFmtId="0" fontId="12" fillId="19" borderId="248" xfId="2" applyFont="1" applyFill="1" applyBorder="1">
      <alignment vertical="center"/>
    </xf>
    <xf numFmtId="0" fontId="12" fillId="19" borderId="249" xfId="2" applyFont="1" applyFill="1" applyBorder="1">
      <alignment vertical="center"/>
    </xf>
    <xf numFmtId="0" fontId="12" fillId="19" borderId="250" xfId="2" applyFont="1" applyFill="1" applyBorder="1">
      <alignment vertical="center"/>
    </xf>
    <xf numFmtId="0" fontId="75" fillId="4" borderId="248" xfId="6" applyNumberFormat="1" applyFont="1" applyFill="1" applyBorder="1" applyAlignment="1">
      <alignment horizontal="right" vertical="center"/>
    </xf>
    <xf numFmtId="180" fontId="12" fillId="4" borderId="249" xfId="10" applyNumberFormat="1" applyFont="1" applyFill="1" applyBorder="1" applyAlignment="1"/>
    <xf numFmtId="38" fontId="13" fillId="4" borderId="249" xfId="6" applyFont="1" applyFill="1" applyBorder="1" applyAlignment="1"/>
    <xf numFmtId="38" fontId="13" fillId="4" borderId="250" xfId="6" applyFont="1" applyFill="1" applyBorder="1" applyAlignment="1"/>
    <xf numFmtId="0" fontId="12" fillId="5" borderId="248" xfId="2" applyFont="1" applyFill="1" applyBorder="1">
      <alignment vertical="center"/>
    </xf>
    <xf numFmtId="0" fontId="12" fillId="5" borderId="249" xfId="2" applyFont="1" applyFill="1" applyBorder="1">
      <alignment vertical="center"/>
    </xf>
    <xf numFmtId="0" fontId="12" fillId="5" borderId="250" xfId="2" applyFont="1" applyFill="1" applyBorder="1">
      <alignment vertical="center"/>
    </xf>
    <xf numFmtId="0" fontId="12" fillId="4" borderId="248" xfId="6" applyNumberFormat="1" applyFont="1" applyFill="1" applyBorder="1" applyAlignment="1">
      <alignment horizontal="right" vertical="center"/>
    </xf>
    <xf numFmtId="0" fontId="12" fillId="4" borderId="248" xfId="2" applyFont="1" applyFill="1" applyBorder="1">
      <alignment vertical="center"/>
    </xf>
    <xf numFmtId="0" fontId="12" fillId="4" borderId="249" xfId="2" applyFont="1" applyFill="1" applyBorder="1">
      <alignment vertical="center"/>
    </xf>
    <xf numFmtId="0" fontId="12" fillId="4" borderId="249" xfId="2" applyFont="1" applyFill="1" applyBorder="1" applyAlignment="1">
      <alignment horizontal="center" vertical="center"/>
    </xf>
    <xf numFmtId="0" fontId="12" fillId="4" borderId="249" xfId="2" applyFont="1" applyFill="1" applyBorder="1" applyAlignment="1">
      <alignment horizontal="right" vertical="center"/>
    </xf>
    <xf numFmtId="0" fontId="12" fillId="4" borderId="250" xfId="2" applyFont="1" applyFill="1" applyBorder="1" applyAlignment="1">
      <alignment horizontal="center" vertical="center"/>
    </xf>
    <xf numFmtId="0" fontId="12" fillId="14" borderId="249" xfId="2" applyFont="1" applyFill="1" applyBorder="1" applyAlignment="1">
      <alignment horizontal="center" vertical="center"/>
    </xf>
    <xf numFmtId="180" fontId="12" fillId="4" borderId="0" xfId="2" applyNumberFormat="1" applyFont="1" applyFill="1">
      <alignment vertical="center"/>
    </xf>
    <xf numFmtId="9" fontId="16" fillId="4" borderId="0" xfId="4" applyFont="1" applyFill="1" applyBorder="1" applyAlignment="1">
      <alignment horizontal="right" vertical="center"/>
    </xf>
    <xf numFmtId="179" fontId="16" fillId="4" borderId="0" xfId="2" applyNumberFormat="1" applyFont="1" applyFill="1">
      <alignment vertical="center"/>
    </xf>
    <xf numFmtId="0" fontId="12" fillId="5" borderId="249" xfId="2" applyFont="1" applyFill="1" applyBorder="1" applyAlignment="1">
      <alignment horizontal="right" vertical="center"/>
    </xf>
    <xf numFmtId="0" fontId="12" fillId="20" borderId="253" xfId="2" applyFont="1" applyFill="1" applyBorder="1" applyAlignment="1">
      <alignment horizontal="right" vertical="center"/>
    </xf>
    <xf numFmtId="0" fontId="12" fillId="20" borderId="114" xfId="2" applyFont="1" applyFill="1" applyBorder="1" applyAlignment="1">
      <alignment horizontal="right" vertical="center"/>
    </xf>
    <xf numFmtId="0" fontId="12" fillId="20" borderId="114" xfId="2" applyFont="1" applyFill="1" applyBorder="1">
      <alignment vertical="center"/>
    </xf>
    <xf numFmtId="0" fontId="76" fillId="4" borderId="0" xfId="2" applyFont="1" applyFill="1" applyAlignment="1">
      <alignment horizontal="right" vertical="center"/>
    </xf>
    <xf numFmtId="0" fontId="12" fillId="6" borderId="253" xfId="2" applyFont="1" applyFill="1" applyBorder="1" applyAlignment="1">
      <alignment horizontal="right" vertical="center"/>
    </xf>
    <xf numFmtId="0" fontId="75" fillId="6" borderId="114" xfId="2" applyFont="1" applyFill="1" applyBorder="1" applyAlignment="1">
      <alignment horizontal="right" vertical="center"/>
    </xf>
    <xf numFmtId="0" fontId="75" fillId="6" borderId="0" xfId="2" applyFont="1" applyFill="1" applyAlignment="1">
      <alignment horizontal="right" vertical="center"/>
    </xf>
    <xf numFmtId="0" fontId="75" fillId="6" borderId="254" xfId="2" applyFont="1" applyFill="1" applyBorder="1" applyAlignment="1">
      <alignment horizontal="right" vertical="center"/>
    </xf>
    <xf numFmtId="179" fontId="16" fillId="20" borderId="249" xfId="2" applyNumberFormat="1" applyFont="1" applyFill="1" applyBorder="1" applyAlignment="1">
      <alignment horizontal="right" vertical="center"/>
    </xf>
    <xf numFmtId="179" fontId="16" fillId="20" borderId="250" xfId="2" applyNumberFormat="1" applyFont="1" applyFill="1" applyBorder="1">
      <alignment vertical="center"/>
    </xf>
    <xf numFmtId="0" fontId="76" fillId="4" borderId="253" xfId="2" applyFont="1" applyFill="1" applyBorder="1" applyAlignment="1">
      <alignment horizontal="right" vertical="center"/>
    </xf>
    <xf numFmtId="180" fontId="12" fillId="4" borderId="114" xfId="10" applyNumberFormat="1" applyFont="1" applyFill="1" applyBorder="1" applyAlignment="1">
      <alignment horizontal="right" vertical="center"/>
    </xf>
    <xf numFmtId="0" fontId="76" fillId="4" borderId="114" xfId="2" applyFont="1" applyFill="1" applyBorder="1" applyAlignment="1">
      <alignment horizontal="right" vertical="center"/>
    </xf>
    <xf numFmtId="0" fontId="12" fillId="4" borderId="114" xfId="2" applyFont="1" applyFill="1" applyBorder="1" applyAlignment="1">
      <alignment horizontal="right" vertical="center"/>
    </xf>
    <xf numFmtId="0" fontId="12" fillId="4" borderId="254" xfId="2" applyFont="1" applyFill="1" applyBorder="1" applyAlignment="1">
      <alignment horizontal="right" vertical="center"/>
    </xf>
    <xf numFmtId="0" fontId="13" fillId="4" borderId="248" xfId="2" applyFont="1" applyFill="1" applyBorder="1" applyAlignment="1">
      <alignment horizontal="right" vertical="center"/>
    </xf>
    <xf numFmtId="180" fontId="13" fillId="7" borderId="249" xfId="10" applyNumberFormat="1" applyFont="1" applyFill="1" applyBorder="1" applyAlignment="1">
      <alignment horizontal="right" vertical="center"/>
    </xf>
    <xf numFmtId="179" fontId="16" fillId="4" borderId="250" xfId="2" applyNumberFormat="1" applyFont="1" applyFill="1" applyBorder="1">
      <alignment vertical="center"/>
    </xf>
    <xf numFmtId="180" fontId="13" fillId="4" borderId="249" xfId="10" applyNumberFormat="1" applyFont="1" applyFill="1" applyBorder="1" applyAlignment="1">
      <alignment horizontal="right" vertical="center"/>
    </xf>
    <xf numFmtId="180" fontId="12" fillId="4" borderId="249" xfId="2" applyNumberFormat="1" applyFont="1" applyFill="1" applyBorder="1" applyAlignment="1">
      <alignment horizontal="right" vertical="center"/>
    </xf>
    <xf numFmtId="180" fontId="12" fillId="4" borderId="249" xfId="10" applyNumberFormat="1" applyFont="1" applyFill="1" applyBorder="1" applyAlignment="1">
      <alignment horizontal="right" vertical="center"/>
    </xf>
    <xf numFmtId="180" fontId="12" fillId="4" borderId="114" xfId="2" applyNumberFormat="1" applyFont="1" applyFill="1" applyBorder="1" applyAlignment="1">
      <alignment horizontal="right" vertical="center"/>
    </xf>
    <xf numFmtId="179" fontId="16" fillId="4" borderId="0" xfId="2" applyNumberFormat="1" applyFont="1" applyFill="1" applyAlignment="1">
      <alignment horizontal="right" vertical="center"/>
    </xf>
    <xf numFmtId="180" fontId="12" fillId="4" borderId="0" xfId="2" applyNumberFormat="1" applyFont="1" applyFill="1" applyAlignment="1">
      <alignment horizontal="right" vertical="center"/>
    </xf>
    <xf numFmtId="0" fontId="12" fillId="2" borderId="248" xfId="2" applyFont="1" applyFill="1" applyBorder="1" applyAlignment="1">
      <alignment horizontal="right" vertical="center"/>
    </xf>
    <xf numFmtId="0" fontId="12" fillId="2" borderId="249" xfId="2" applyFont="1" applyFill="1" applyBorder="1" applyAlignment="1">
      <alignment horizontal="right" vertical="center"/>
    </xf>
    <xf numFmtId="0" fontId="12" fillId="2" borderId="250" xfId="2" applyFont="1" applyFill="1" applyBorder="1" applyAlignment="1">
      <alignment horizontal="right" vertical="center"/>
    </xf>
    <xf numFmtId="0" fontId="12" fillId="2" borderId="249" xfId="2" applyFont="1" applyFill="1" applyBorder="1">
      <alignment vertical="center"/>
    </xf>
    <xf numFmtId="0" fontId="12" fillId="2" borderId="250" xfId="2" applyFont="1" applyFill="1" applyBorder="1">
      <alignment vertical="center"/>
    </xf>
    <xf numFmtId="9" fontId="12" fillId="4" borderId="249" xfId="2" applyNumberFormat="1" applyFont="1" applyFill="1" applyBorder="1" applyAlignment="1">
      <alignment horizontal="right" vertical="center"/>
    </xf>
    <xf numFmtId="9" fontId="12" fillId="4" borderId="250" xfId="2" applyNumberFormat="1" applyFont="1" applyFill="1" applyBorder="1" applyAlignment="1">
      <alignment horizontal="right" vertical="center"/>
    </xf>
    <xf numFmtId="9" fontId="16" fillId="4" borderId="249" xfId="4" applyFont="1" applyFill="1" applyBorder="1" applyAlignment="1">
      <alignment horizontal="right" vertical="center"/>
    </xf>
    <xf numFmtId="179" fontId="16" fillId="4" borderId="249" xfId="2" applyNumberFormat="1" applyFont="1" applyFill="1" applyBorder="1" applyAlignment="1">
      <alignment horizontal="right" vertical="center"/>
    </xf>
    <xf numFmtId="0" fontId="13" fillId="4" borderId="247" xfId="2" applyFont="1" applyFill="1" applyBorder="1" applyAlignment="1">
      <alignment horizontal="center" vertical="center"/>
    </xf>
    <xf numFmtId="9" fontId="13" fillId="4" borderId="247" xfId="4" applyFont="1" applyFill="1" applyBorder="1" applyAlignment="1">
      <alignment horizontal="right" vertical="center"/>
    </xf>
    <xf numFmtId="9" fontId="16" fillId="4" borderId="0" xfId="4" applyFont="1" applyFill="1" applyBorder="1" applyAlignment="1">
      <alignment vertical="center"/>
    </xf>
    <xf numFmtId="180" fontId="12" fillId="4" borderId="0" xfId="4" applyNumberFormat="1" applyFont="1" applyFill="1" applyBorder="1" applyAlignment="1">
      <alignment vertical="center"/>
    </xf>
    <xf numFmtId="10" fontId="12" fillId="4" borderId="0" xfId="4" applyNumberFormat="1" applyFont="1" applyFill="1" applyBorder="1" applyAlignment="1">
      <alignment vertical="center"/>
    </xf>
    <xf numFmtId="0" fontId="12" fillId="2" borderId="248" xfId="0" applyFont="1" applyFill="1" applyBorder="1"/>
    <xf numFmtId="0" fontId="12" fillId="2" borderId="249" xfId="0" applyFont="1" applyFill="1" applyBorder="1"/>
    <xf numFmtId="0" fontId="16" fillId="4" borderId="248" xfId="2" applyFont="1" applyFill="1" applyBorder="1" applyAlignment="1">
      <alignment horizontal="right" vertical="center"/>
    </xf>
    <xf numFmtId="9" fontId="75" fillId="4" borderId="249" xfId="4" applyFont="1" applyFill="1" applyBorder="1" applyAlignment="1">
      <alignment horizontal="right" vertical="center"/>
    </xf>
    <xf numFmtId="0" fontId="75" fillId="4" borderId="250" xfId="2" applyFont="1" applyFill="1" applyBorder="1" applyAlignment="1">
      <alignment horizontal="right" vertical="center"/>
    </xf>
    <xf numFmtId="0" fontId="12" fillId="4" borderId="248" xfId="0" applyFont="1" applyFill="1" applyBorder="1"/>
    <xf numFmtId="0" fontId="12" fillId="4" borderId="249" xfId="0" applyFont="1" applyFill="1" applyBorder="1"/>
    <xf numFmtId="0" fontId="12" fillId="0" borderId="249" xfId="0" applyFont="1" applyBorder="1"/>
    <xf numFmtId="0" fontId="12" fillId="4" borderId="250" xfId="2" applyFont="1" applyFill="1" applyBorder="1" applyAlignment="1">
      <alignment horizontal="right" vertical="center"/>
    </xf>
    <xf numFmtId="38" fontId="75" fillId="4" borderId="247" xfId="6" applyFont="1" applyFill="1" applyBorder="1" applyAlignment="1">
      <alignment horizontal="left" vertical="center"/>
    </xf>
    <xf numFmtId="0" fontId="76" fillId="4" borderId="249" xfId="0" applyFont="1" applyFill="1" applyBorder="1" applyAlignment="1">
      <alignment horizontal="left" vertical="center"/>
    </xf>
    <xf numFmtId="9" fontId="12" fillId="4" borderId="249" xfId="10" applyFont="1" applyFill="1" applyBorder="1" applyAlignment="1">
      <alignment vertical="center"/>
    </xf>
    <xf numFmtId="9" fontId="12" fillId="4" borderId="250" xfId="10" applyFont="1" applyFill="1" applyBorder="1" applyAlignment="1">
      <alignment vertical="center"/>
    </xf>
    <xf numFmtId="0" fontId="76" fillId="4" borderId="247" xfId="2" applyFont="1" applyFill="1" applyBorder="1" applyAlignment="1">
      <alignment horizontal="right" vertical="center"/>
    </xf>
    <xf numFmtId="0" fontId="13" fillId="4" borderId="249" xfId="2" applyFont="1" applyFill="1" applyBorder="1" applyAlignment="1">
      <alignment horizontal="right" vertical="center"/>
    </xf>
    <xf numFmtId="0" fontId="12" fillId="0" borderId="248" xfId="0" applyFont="1" applyBorder="1"/>
    <xf numFmtId="0" fontId="12" fillId="2" borderId="248" xfId="0" applyFont="1" applyFill="1" applyBorder="1" applyAlignment="1">
      <alignment vertical="center"/>
    </xf>
    <xf numFmtId="0" fontId="12" fillId="2" borderId="249" xfId="0" applyFont="1" applyFill="1" applyBorder="1" applyAlignment="1">
      <alignment vertical="center"/>
    </xf>
    <xf numFmtId="0" fontId="75" fillId="4" borderId="249" xfId="2" applyFont="1" applyFill="1" applyBorder="1" applyAlignment="1">
      <alignment horizontal="right" vertical="center"/>
    </xf>
    <xf numFmtId="9" fontId="75" fillId="4" borderId="250" xfId="10" applyFont="1" applyFill="1" applyBorder="1" applyAlignment="1">
      <alignment horizontal="right" vertical="center"/>
    </xf>
    <xf numFmtId="0" fontId="12" fillId="4" borderId="248" xfId="0" applyFont="1" applyFill="1" applyBorder="1" applyAlignment="1">
      <alignment vertical="center"/>
    </xf>
    <xf numFmtId="0" fontId="12" fillId="4" borderId="249" xfId="0" applyFont="1" applyFill="1" applyBorder="1" applyAlignment="1">
      <alignment vertical="center"/>
    </xf>
    <xf numFmtId="0" fontId="12" fillId="0" borderId="249" xfId="0" applyFont="1" applyBorder="1" applyAlignment="1">
      <alignment vertical="center"/>
    </xf>
    <xf numFmtId="0" fontId="12" fillId="0" borderId="248" xfId="0" applyFont="1" applyBorder="1" applyAlignment="1">
      <alignment vertical="center"/>
    </xf>
    <xf numFmtId="38" fontId="13" fillId="4" borderId="249" xfId="6" applyFont="1" applyFill="1" applyBorder="1" applyAlignment="1">
      <alignment horizontal="right" vertical="center"/>
    </xf>
    <xf numFmtId="0" fontId="12" fillId="4" borderId="250" xfId="2" applyFont="1" applyFill="1" applyBorder="1" applyAlignment="1">
      <alignment horizontal="left" vertical="center"/>
    </xf>
    <xf numFmtId="38" fontId="12" fillId="4" borderId="249" xfId="6" applyFont="1" applyFill="1" applyBorder="1" applyAlignment="1">
      <alignment vertical="center"/>
    </xf>
    <xf numFmtId="0" fontId="12" fillId="4" borderId="248" xfId="2" applyFont="1" applyFill="1" applyBorder="1" applyAlignment="1">
      <alignment horizontal="left" vertical="center"/>
    </xf>
    <xf numFmtId="0" fontId="16" fillId="4" borderId="247" xfId="2" applyFont="1" applyFill="1" applyBorder="1">
      <alignment vertical="center"/>
    </xf>
    <xf numFmtId="0" fontId="77" fillId="4" borderId="0" xfId="0" applyFont="1" applyFill="1" applyAlignment="1">
      <alignment vertical="center"/>
    </xf>
    <xf numFmtId="0" fontId="13" fillId="4" borderId="0" xfId="0" applyFont="1" applyFill="1" applyAlignment="1">
      <alignment vertical="center"/>
    </xf>
    <xf numFmtId="0" fontId="13" fillId="4" borderId="255" xfId="0" applyFont="1" applyFill="1" applyBorder="1" applyAlignment="1">
      <alignment vertical="center"/>
    </xf>
    <xf numFmtId="0" fontId="13" fillId="4" borderId="255" xfId="0" applyFont="1" applyFill="1" applyBorder="1" applyAlignment="1">
      <alignment vertical="center" wrapText="1"/>
    </xf>
    <xf numFmtId="0" fontId="13" fillId="4" borderId="0" xfId="0" applyFont="1" applyFill="1" applyAlignment="1">
      <alignment vertical="center" wrapText="1"/>
    </xf>
    <xf numFmtId="0" fontId="13" fillId="4" borderId="255" xfId="0" applyFont="1" applyFill="1" applyBorder="1" applyAlignment="1">
      <alignment horizontal="left" vertical="center" wrapText="1"/>
    </xf>
    <xf numFmtId="38" fontId="13" fillId="4" borderId="255" xfId="6" applyFont="1" applyFill="1" applyBorder="1" applyAlignment="1">
      <alignment horizontal="left" vertical="center" wrapText="1"/>
    </xf>
    <xf numFmtId="182" fontId="13" fillId="4" borderId="255" xfId="0" applyNumberFormat="1" applyFont="1" applyFill="1" applyBorder="1" applyAlignment="1">
      <alignment horizontal="left" vertical="center" wrapText="1"/>
    </xf>
    <xf numFmtId="0" fontId="13" fillId="4" borderId="0" xfId="0" applyFont="1" applyFill="1" applyAlignment="1">
      <alignment horizontal="left" vertical="center" wrapText="1"/>
    </xf>
    <xf numFmtId="0" fontId="31" fillId="0" borderId="130" xfId="13" applyNumberFormat="1" applyFont="1" applyFill="1" applyBorder="1" applyAlignment="1" applyProtection="1">
      <alignment horizontal="right" vertical="center"/>
    </xf>
    <xf numFmtId="0" fontId="31" fillId="0" borderId="117" xfId="0" applyFont="1" applyBorder="1" applyAlignment="1">
      <alignment vertical="center"/>
    </xf>
    <xf numFmtId="0" fontId="31" fillId="0" borderId="115" xfId="0" applyFont="1" applyBorder="1" applyAlignment="1">
      <alignment horizontal="right" vertical="center"/>
    </xf>
    <xf numFmtId="176" fontId="31" fillId="0" borderId="115" xfId="0" applyNumberFormat="1" applyFont="1" applyBorder="1" applyAlignment="1">
      <alignment vertical="center" shrinkToFit="1"/>
    </xf>
    <xf numFmtId="0" fontId="31" fillId="0" borderId="130" xfId="0" applyFont="1" applyBorder="1" applyAlignment="1">
      <alignment vertical="center"/>
    </xf>
    <xf numFmtId="178" fontId="31" fillId="0" borderId="130" xfId="0" applyNumberFormat="1" applyFont="1" applyBorder="1" applyAlignment="1">
      <alignment vertical="center" shrinkToFit="1"/>
    </xf>
    <xf numFmtId="184" fontId="31" fillId="4" borderId="130" xfId="6" applyNumberFormat="1" applyFont="1" applyFill="1" applyBorder="1" applyAlignment="1">
      <alignment vertical="center" shrinkToFit="1"/>
    </xf>
    <xf numFmtId="180" fontId="31" fillId="0" borderId="117" xfId="10" applyNumberFormat="1" applyFont="1" applyFill="1" applyBorder="1" applyAlignment="1">
      <alignment vertical="center" shrinkToFit="1"/>
    </xf>
    <xf numFmtId="178" fontId="31" fillId="0" borderId="117" xfId="0" applyNumberFormat="1" applyFont="1" applyBorder="1" applyAlignment="1">
      <alignment vertical="center" shrinkToFit="1"/>
    </xf>
    <xf numFmtId="0" fontId="78" fillId="0" borderId="0" xfId="2" applyFont="1" applyAlignment="1">
      <alignment vertical="center" wrapText="1"/>
    </xf>
    <xf numFmtId="0" fontId="78" fillId="0" borderId="0" xfId="2" applyFont="1" applyAlignment="1">
      <alignment horizontal="center" vertical="center"/>
    </xf>
    <xf numFmtId="0" fontId="78" fillId="0" borderId="0" xfId="2" applyFont="1">
      <alignment vertical="center"/>
    </xf>
    <xf numFmtId="0" fontId="79" fillId="0" borderId="0" xfId="2" applyFont="1">
      <alignment vertical="center"/>
    </xf>
    <xf numFmtId="0" fontId="78" fillId="0" borderId="18" xfId="2" applyFont="1" applyBorder="1" applyAlignment="1">
      <alignment horizontal="center" vertical="center"/>
    </xf>
    <xf numFmtId="0" fontId="78" fillId="22" borderId="0" xfId="2" applyFont="1" applyFill="1" applyAlignment="1">
      <alignment horizontal="left" vertical="center"/>
    </xf>
    <xf numFmtId="0" fontId="78" fillId="22" borderId="6" xfId="2" applyFont="1" applyFill="1" applyBorder="1" applyAlignment="1">
      <alignment horizontal="right" vertical="center" wrapText="1"/>
    </xf>
    <xf numFmtId="0" fontId="78" fillId="22" borderId="7" xfId="2" applyFont="1" applyFill="1" applyBorder="1" applyAlignment="1">
      <alignment horizontal="right" vertical="center" wrapText="1"/>
    </xf>
    <xf numFmtId="0" fontId="78" fillId="22" borderId="16" xfId="2" applyFont="1" applyFill="1" applyBorder="1" applyAlignment="1">
      <alignment horizontal="right" vertical="center" wrapText="1"/>
    </xf>
    <xf numFmtId="0" fontId="78" fillId="22" borderId="0" xfId="2" applyFont="1" applyFill="1" applyAlignment="1">
      <alignment horizontal="center" vertical="center"/>
    </xf>
    <xf numFmtId="0" fontId="79" fillId="22" borderId="0" xfId="2" applyFont="1" applyFill="1" applyAlignment="1">
      <alignment horizontal="left" vertical="center"/>
    </xf>
    <xf numFmtId="0" fontId="78" fillId="22" borderId="0" xfId="2" applyFont="1" applyFill="1">
      <alignment vertical="center"/>
    </xf>
    <xf numFmtId="0" fontId="78" fillId="22" borderId="5" xfId="2" applyFont="1" applyFill="1" applyBorder="1" applyAlignment="1">
      <alignment horizontal="right" vertical="center" wrapText="1"/>
    </xf>
    <xf numFmtId="0" fontId="78" fillId="22" borderId="0" xfId="2" applyFont="1" applyFill="1" applyAlignment="1">
      <alignment horizontal="right" vertical="center" wrapText="1"/>
    </xf>
    <xf numFmtId="0" fontId="78" fillId="22" borderId="2" xfId="2" applyFont="1" applyFill="1" applyBorder="1" applyAlignment="1">
      <alignment horizontal="right" vertical="center" wrapText="1"/>
    </xf>
    <xf numFmtId="0" fontId="78" fillId="22" borderId="14" xfId="2" applyFont="1" applyFill="1" applyBorder="1" applyAlignment="1">
      <alignment horizontal="right" vertical="center" wrapText="1"/>
    </xf>
    <xf numFmtId="0" fontId="78" fillId="22" borderId="115" xfId="2" applyFont="1" applyFill="1" applyBorder="1" applyAlignment="1">
      <alignment horizontal="right" vertical="center" wrapText="1"/>
    </xf>
    <xf numFmtId="0" fontId="78" fillId="22" borderId="17" xfId="2" applyFont="1" applyFill="1" applyBorder="1" applyAlignment="1">
      <alignment horizontal="right" vertical="center" wrapText="1"/>
    </xf>
    <xf numFmtId="0" fontId="78" fillId="22" borderId="0" xfId="2" applyFont="1" applyFill="1" applyAlignment="1">
      <alignment vertical="center" wrapText="1"/>
    </xf>
    <xf numFmtId="0" fontId="81" fillId="23" borderId="0" xfId="2" applyFont="1" applyFill="1">
      <alignment vertical="center"/>
    </xf>
    <xf numFmtId="0" fontId="81" fillId="23" borderId="0" xfId="2" applyFont="1" applyFill="1" applyAlignment="1">
      <alignment vertical="center" wrapText="1"/>
    </xf>
    <xf numFmtId="0" fontId="81" fillId="23" borderId="0" xfId="2" applyFont="1" applyFill="1" applyAlignment="1">
      <alignment horizontal="center" vertical="center"/>
    </xf>
    <xf numFmtId="0" fontId="81" fillId="23" borderId="0" xfId="2" applyFont="1" applyFill="1" applyAlignment="1">
      <alignment horizontal="left" vertical="center"/>
    </xf>
    <xf numFmtId="0" fontId="69" fillId="23" borderId="0" xfId="2" applyFont="1" applyFill="1">
      <alignment vertical="center"/>
    </xf>
    <xf numFmtId="0" fontId="80" fillId="0" borderId="18" xfId="2" applyFont="1" applyBorder="1" applyAlignment="1">
      <alignment horizontal="distributed" vertical="center" indent="1"/>
    </xf>
    <xf numFmtId="0" fontId="80" fillId="0" borderId="18" xfId="2" applyFont="1" applyBorder="1" applyAlignment="1">
      <alignment horizontal="distributed" vertical="center" wrapText="1" indent="1"/>
    </xf>
    <xf numFmtId="0" fontId="80" fillId="0" borderId="18" xfId="2" applyFont="1" applyBorder="1" applyAlignment="1">
      <alignment vertical="center" wrapText="1"/>
    </xf>
    <xf numFmtId="0" fontId="80" fillId="4" borderId="66" xfId="2" applyFont="1" applyFill="1" applyBorder="1" applyAlignment="1">
      <alignment vertical="center" wrapText="1"/>
    </xf>
    <xf numFmtId="0" fontId="80" fillId="4" borderId="117" xfId="2" applyFont="1" applyFill="1" applyBorder="1" applyAlignment="1">
      <alignment horizontal="center" vertical="center" wrapText="1"/>
    </xf>
    <xf numFmtId="0" fontId="80" fillId="4" borderId="66" xfId="2" applyFont="1" applyFill="1" applyBorder="1">
      <alignment vertical="center"/>
    </xf>
    <xf numFmtId="0" fontId="80" fillId="0" borderId="18" xfId="2" applyFont="1" applyBorder="1" applyAlignment="1">
      <alignment horizontal="center" vertical="center" wrapText="1"/>
    </xf>
    <xf numFmtId="0" fontId="78" fillId="22" borderId="18" xfId="2" applyFont="1" applyFill="1" applyBorder="1" applyAlignment="1">
      <alignment horizontal="center" vertical="center"/>
    </xf>
    <xf numFmtId="0" fontId="79" fillId="21" borderId="0" xfId="2" applyFont="1" applyFill="1" applyAlignment="1">
      <alignment horizontal="center" vertical="top"/>
    </xf>
    <xf numFmtId="0" fontId="78" fillId="6" borderId="18" xfId="2" applyFont="1" applyFill="1" applyBorder="1" applyAlignment="1">
      <alignment horizontal="center" vertical="center"/>
    </xf>
    <xf numFmtId="180" fontId="78" fillId="0" borderId="18" xfId="10" applyNumberFormat="1" applyFont="1" applyFill="1" applyBorder="1" applyAlignment="1">
      <alignment horizontal="center" vertical="center" shrinkToFit="1"/>
    </xf>
    <xf numFmtId="0" fontId="78" fillId="0" borderId="18" xfId="2" applyFont="1" applyBorder="1" applyAlignment="1">
      <alignment horizontal="center" vertical="center" shrinkToFit="1"/>
    </xf>
    <xf numFmtId="0" fontId="79" fillId="0" borderId="18" xfId="2" applyFont="1" applyBorder="1" applyAlignment="1">
      <alignment horizontal="center" vertical="center" shrinkToFit="1"/>
    </xf>
    <xf numFmtId="0" fontId="80" fillId="4" borderId="18" xfId="2" applyFont="1" applyFill="1" applyBorder="1" applyAlignment="1">
      <alignment vertical="center" wrapText="1"/>
    </xf>
    <xf numFmtId="0" fontId="80" fillId="4" borderId="18" xfId="2" applyFont="1" applyFill="1" applyBorder="1" applyAlignment="1">
      <alignment horizontal="center" vertical="center" wrapText="1"/>
    </xf>
    <xf numFmtId="9" fontId="78" fillId="0" borderId="18" xfId="10" applyFont="1" applyFill="1" applyBorder="1" applyAlignment="1">
      <alignment horizontal="center" vertical="center" shrinkToFit="1"/>
    </xf>
    <xf numFmtId="0" fontId="78" fillId="22" borderId="18" xfId="2" applyFont="1" applyFill="1" applyBorder="1" applyAlignment="1">
      <alignment horizontal="center" vertical="center" shrinkToFit="1"/>
    </xf>
    <xf numFmtId="0" fontId="80" fillId="4" borderId="18" xfId="2" applyFont="1" applyFill="1" applyBorder="1">
      <alignment vertical="center"/>
    </xf>
    <xf numFmtId="180" fontId="78" fillId="0" borderId="18" xfId="10" applyNumberFormat="1" applyFont="1" applyFill="1" applyBorder="1" applyAlignment="1">
      <alignment horizontal="center" vertical="center"/>
    </xf>
    <xf numFmtId="9" fontId="78" fillId="0" borderId="18" xfId="10" applyFont="1" applyFill="1" applyBorder="1" applyAlignment="1">
      <alignment horizontal="center" vertical="center"/>
    </xf>
    <xf numFmtId="0" fontId="78" fillId="0" borderId="18" xfId="10" applyNumberFormat="1" applyFont="1" applyFill="1" applyBorder="1" applyAlignment="1">
      <alignment horizontal="center" vertical="center"/>
    </xf>
    <xf numFmtId="0" fontId="80" fillId="0" borderId="18" xfId="2" applyFont="1" applyBorder="1" applyAlignment="1">
      <alignment horizontal="left" vertical="center" wrapText="1"/>
    </xf>
    <xf numFmtId="0" fontId="80" fillId="4" borderId="117" xfId="2" applyFont="1" applyFill="1" applyBorder="1" applyAlignment="1">
      <alignment horizontal="center" vertical="center"/>
    </xf>
    <xf numFmtId="0" fontId="68" fillId="0" borderId="18" xfId="0" applyFont="1" applyBorder="1" applyAlignment="1">
      <alignment horizontal="center" vertical="top" shrinkToFit="1"/>
    </xf>
    <xf numFmtId="0" fontId="12" fillId="4" borderId="114" xfId="0" applyFont="1" applyFill="1" applyBorder="1" applyAlignment="1">
      <alignment vertical="center" shrinkToFit="1"/>
    </xf>
    <xf numFmtId="190" fontId="0" fillId="7" borderId="18" xfId="0" applyNumberFormat="1" applyFill="1" applyBorder="1" applyAlignment="1">
      <alignment vertical="top" shrinkToFit="1"/>
    </xf>
    <xf numFmtId="0" fontId="0" fillId="7" borderId="18" xfId="0" applyFill="1" applyBorder="1" applyAlignment="1">
      <alignment horizontal="center" vertical="top" shrinkToFit="1"/>
    </xf>
    <xf numFmtId="0" fontId="0" fillId="7" borderId="18" xfId="0" applyFill="1" applyBorder="1" applyAlignment="1">
      <alignment horizontal="center" vertical="top" wrapText="1"/>
    </xf>
    <xf numFmtId="0" fontId="0" fillId="7" borderId="18" xfId="0" applyFill="1" applyBorder="1" applyAlignment="1">
      <alignment vertical="top" wrapText="1"/>
    </xf>
    <xf numFmtId="178" fontId="28" fillId="0" borderId="11" xfId="0" applyNumberFormat="1" applyFont="1" applyBorder="1" applyAlignment="1">
      <alignment vertical="center" shrinkToFit="1"/>
    </xf>
    <xf numFmtId="178" fontId="28" fillId="0" borderId="4" xfId="0" applyNumberFormat="1" applyFont="1" applyBorder="1" applyAlignment="1">
      <alignment vertical="center" shrinkToFit="1"/>
    </xf>
    <xf numFmtId="178" fontId="28" fillId="0" borderId="78" xfId="0" applyNumberFormat="1" applyFont="1" applyBorder="1" applyAlignment="1">
      <alignment vertical="center" shrinkToFit="1"/>
    </xf>
    <xf numFmtId="178" fontId="28" fillId="0" borderId="71" xfId="0" applyNumberFormat="1" applyFont="1" applyBorder="1" applyAlignment="1">
      <alignment vertical="center" shrinkToFit="1"/>
    </xf>
    <xf numFmtId="178" fontId="28" fillId="0" borderId="3" xfId="0" applyNumberFormat="1" applyFont="1" applyBorder="1" applyAlignment="1">
      <alignment vertical="center" shrinkToFit="1"/>
    </xf>
    <xf numFmtId="178" fontId="28" fillId="0" borderId="74" xfId="0" applyNumberFormat="1" applyFont="1" applyBorder="1" applyAlignment="1">
      <alignment vertical="center" shrinkToFit="1"/>
    </xf>
    <xf numFmtId="178" fontId="28" fillId="0" borderId="77" xfId="0" applyNumberFormat="1" applyFont="1" applyBorder="1" applyAlignment="1">
      <alignment vertical="center" shrinkToFit="1"/>
    </xf>
    <xf numFmtId="178" fontId="28" fillId="0" borderId="83" xfId="0" applyNumberFormat="1" applyFont="1" applyBorder="1" applyAlignment="1">
      <alignment vertical="center" shrinkToFit="1"/>
    </xf>
    <xf numFmtId="0" fontId="80" fillId="22" borderId="18" xfId="2" applyFont="1" applyFill="1" applyBorder="1" applyAlignment="1">
      <alignment horizontal="distributed" vertical="center" indent="1"/>
    </xf>
    <xf numFmtId="180" fontId="78" fillId="22" borderId="18" xfId="10" applyNumberFormat="1" applyFont="1" applyFill="1" applyBorder="1" applyAlignment="1">
      <alignment horizontal="center" vertical="center" shrinkToFit="1"/>
    </xf>
    <xf numFmtId="0" fontId="79" fillId="22" borderId="18" xfId="2" applyFont="1" applyFill="1" applyBorder="1" applyAlignment="1">
      <alignment horizontal="center" vertical="center" shrinkToFit="1"/>
    </xf>
    <xf numFmtId="0" fontId="80" fillId="22" borderId="18" xfId="2" applyFont="1" applyFill="1" applyBorder="1" applyAlignment="1">
      <alignment horizontal="distributed" vertical="center" wrapText="1" indent="1"/>
    </xf>
    <xf numFmtId="180" fontId="78" fillId="22" borderId="18" xfId="10" applyNumberFormat="1" applyFont="1" applyFill="1" applyBorder="1" applyAlignment="1">
      <alignment horizontal="center" vertical="center"/>
    </xf>
    <xf numFmtId="181" fontId="13" fillId="4" borderId="255" xfId="6" applyNumberFormat="1" applyFont="1" applyFill="1" applyBorder="1" applyAlignment="1">
      <alignment horizontal="left" vertical="center" wrapText="1"/>
    </xf>
    <xf numFmtId="177" fontId="13" fillId="4" borderId="255" xfId="0" applyNumberFormat="1" applyFont="1" applyFill="1" applyBorder="1" applyAlignment="1">
      <alignment horizontal="left" vertical="center" wrapText="1"/>
    </xf>
    <xf numFmtId="176" fontId="31" fillId="22" borderId="115" xfId="0" applyNumberFormat="1" applyFont="1" applyFill="1" applyBorder="1" applyAlignment="1">
      <alignment vertical="center"/>
    </xf>
    <xf numFmtId="185" fontId="13" fillId="4" borderId="255" xfId="6" applyNumberFormat="1" applyFont="1" applyFill="1" applyBorder="1" applyAlignment="1">
      <alignment horizontal="left" vertical="center" wrapText="1"/>
    </xf>
    <xf numFmtId="185" fontId="13" fillId="4" borderId="255" xfId="0" applyNumberFormat="1" applyFont="1" applyFill="1" applyBorder="1" applyAlignment="1">
      <alignment horizontal="left" vertical="center" wrapText="1"/>
    </xf>
    <xf numFmtId="0" fontId="31" fillId="22" borderId="48" xfId="0" applyFont="1" applyFill="1" applyBorder="1" applyAlignment="1">
      <alignment horizontal="center" vertical="center"/>
    </xf>
    <xf numFmtId="178" fontId="31" fillId="22" borderId="4" xfId="0" applyNumberFormat="1" applyFont="1" applyFill="1" applyBorder="1" applyAlignment="1">
      <alignment vertical="center" shrinkToFit="1"/>
    </xf>
    <xf numFmtId="178" fontId="31" fillId="22" borderId="3" xfId="0" applyNumberFormat="1" applyFont="1" applyFill="1" applyBorder="1" applyAlignment="1">
      <alignment vertical="center" shrinkToFit="1"/>
    </xf>
    <xf numFmtId="178" fontId="31" fillId="22" borderId="80" xfId="0" applyNumberFormat="1" applyFont="1" applyFill="1" applyBorder="1" applyAlignment="1">
      <alignment vertical="center" shrinkToFit="1"/>
    </xf>
    <xf numFmtId="0" fontId="31" fillId="22" borderId="0" xfId="0" applyFont="1" applyFill="1" applyAlignment="1">
      <alignment vertical="center"/>
    </xf>
    <xf numFmtId="0" fontId="31" fillId="22" borderId="79" xfId="0" applyFont="1" applyFill="1" applyBorder="1" applyAlignment="1">
      <alignment horizontal="center" vertical="center"/>
    </xf>
    <xf numFmtId="178" fontId="31" fillId="22" borderId="78" xfId="0" applyNumberFormat="1" applyFont="1" applyFill="1" applyBorder="1" applyAlignment="1">
      <alignment vertical="center" shrinkToFit="1"/>
    </xf>
    <xf numFmtId="178" fontId="31" fillId="22" borderId="77" xfId="0" applyNumberFormat="1" applyFont="1" applyFill="1" applyBorder="1" applyAlignment="1">
      <alignment vertical="center" shrinkToFit="1"/>
    </xf>
    <xf numFmtId="178" fontId="31" fillId="22" borderId="83" xfId="0" applyNumberFormat="1" applyFont="1" applyFill="1" applyBorder="1" applyAlignment="1">
      <alignment vertical="center" shrinkToFit="1"/>
    </xf>
    <xf numFmtId="178" fontId="31" fillId="22" borderId="85" xfId="0" applyNumberFormat="1" applyFont="1" applyFill="1" applyBorder="1" applyAlignment="1">
      <alignment vertical="center" shrinkToFit="1"/>
    </xf>
    <xf numFmtId="0" fontId="31" fillId="22" borderId="14" xfId="0" applyFont="1" applyFill="1" applyBorder="1" applyAlignment="1">
      <alignment horizontal="right" vertical="center"/>
    </xf>
    <xf numFmtId="0" fontId="31" fillId="22" borderId="115" xfId="0" applyFont="1" applyFill="1" applyBorder="1" applyAlignment="1">
      <alignment horizontal="right" vertical="center"/>
    </xf>
    <xf numFmtId="0" fontId="28" fillId="22" borderId="0" xfId="0" applyFont="1" applyFill="1" applyAlignment="1">
      <alignment horizontal="left" vertical="center"/>
    </xf>
    <xf numFmtId="0" fontId="29" fillId="22" borderId="0" xfId="0" applyFont="1" applyFill="1" applyAlignment="1">
      <alignment horizontal="left" vertical="center"/>
    </xf>
    <xf numFmtId="0" fontId="28" fillId="22" borderId="0" xfId="2" applyFont="1" applyFill="1">
      <alignment vertical="center"/>
    </xf>
    <xf numFmtId="0" fontId="37" fillId="22" borderId="0" xfId="0" applyFont="1" applyFill="1" applyAlignment="1">
      <alignment vertical="center"/>
    </xf>
    <xf numFmtId="178" fontId="31" fillId="22" borderId="17" xfId="0" applyNumberFormat="1" applyFont="1" applyFill="1" applyBorder="1" applyAlignment="1">
      <alignment vertical="center" shrinkToFit="1"/>
    </xf>
    <xf numFmtId="0" fontId="28" fillId="22" borderId="0" xfId="0" applyFont="1" applyFill="1" applyAlignment="1">
      <alignment vertical="center"/>
    </xf>
    <xf numFmtId="0" fontId="28" fillId="22" borderId="0" xfId="0" quotePrefix="1" applyFont="1" applyFill="1" applyAlignment="1">
      <alignment vertical="center"/>
    </xf>
    <xf numFmtId="181" fontId="13" fillId="4" borderId="255" xfId="0" applyNumberFormat="1" applyFont="1" applyFill="1" applyBorder="1" applyAlignment="1">
      <alignment horizontal="left" vertical="center" wrapText="1"/>
    </xf>
    <xf numFmtId="0" fontId="30" fillId="22" borderId="0" xfId="0" applyFont="1" applyFill="1" applyAlignment="1">
      <alignment vertical="center"/>
    </xf>
    <xf numFmtId="0" fontId="29" fillId="22" borderId="0" xfId="0" applyFont="1" applyFill="1" applyAlignment="1">
      <alignment vertical="center"/>
    </xf>
    <xf numFmtId="0" fontId="12" fillId="4" borderId="0" xfId="0" applyFont="1" applyFill="1" applyAlignment="1">
      <alignment horizontal="center" vertical="center" wrapText="1" shrinkToFit="1"/>
    </xf>
    <xf numFmtId="0" fontId="90" fillId="14" borderId="0" xfId="2" applyFont="1" applyFill="1" applyAlignment="1">
      <alignment horizontal="center" vertical="center"/>
    </xf>
    <xf numFmtId="0" fontId="68" fillId="0" borderId="0" xfId="0" applyFont="1" applyAlignment="1">
      <alignment vertical="center"/>
    </xf>
    <xf numFmtId="0" fontId="92" fillId="0" borderId="0" xfId="0" applyFont="1" applyAlignment="1">
      <alignment horizontal="left"/>
    </xf>
    <xf numFmtId="0" fontId="68" fillId="0" borderId="0" xfId="0" applyFont="1" applyAlignment="1"/>
    <xf numFmtId="0" fontId="68" fillId="14" borderId="0" xfId="0" applyFont="1" applyFill="1" applyAlignment="1"/>
    <xf numFmtId="0" fontId="62" fillId="0" borderId="0" xfId="0" applyFont="1" applyAlignment="1">
      <alignment horizontal="left"/>
    </xf>
    <xf numFmtId="0" fontId="93" fillId="0" borderId="0" xfId="0" applyFont="1" applyAlignment="1">
      <alignment horizontal="right"/>
    </xf>
    <xf numFmtId="14" fontId="36" fillId="0" borderId="0" xfId="2" applyNumberFormat="1" applyFont="1" applyFill="1" applyBorder="1" applyAlignment="1">
      <alignment shrinkToFit="1"/>
    </xf>
    <xf numFmtId="0" fontId="69" fillId="16" borderId="0" xfId="0" applyFont="1" applyFill="1" applyAlignment="1">
      <alignment horizontal="left" vertical="center"/>
    </xf>
    <xf numFmtId="0" fontId="69" fillId="16" borderId="0" xfId="0" applyFont="1" applyFill="1" applyAlignment="1">
      <alignment vertical="center"/>
    </xf>
    <xf numFmtId="0" fontId="70" fillId="16" borderId="0" xfId="0" applyFont="1" applyFill="1" applyAlignment="1">
      <alignment vertical="center"/>
    </xf>
    <xf numFmtId="0" fontId="68" fillId="14" borderId="0" xfId="0" applyFont="1" applyFill="1" applyAlignment="1">
      <alignment vertical="center"/>
    </xf>
    <xf numFmtId="0" fontId="94" fillId="0" borderId="0" xfId="0" applyFont="1" applyAlignment="1">
      <alignment horizontal="right" vertical="center"/>
    </xf>
    <xf numFmtId="0" fontId="94" fillId="0" borderId="0" xfId="0" applyFont="1" applyAlignment="1">
      <alignment vertical="center"/>
    </xf>
    <xf numFmtId="0" fontId="94" fillId="0" borderId="0" xfId="0" applyFont="1" applyAlignment="1">
      <alignment vertical="top" wrapText="1"/>
    </xf>
    <xf numFmtId="0" fontId="0" fillId="0" borderId="0" xfId="0" applyFont="1" applyAlignment="1">
      <alignment vertical="center"/>
    </xf>
    <xf numFmtId="0" fontId="69" fillId="23" borderId="0" xfId="0" applyFont="1" applyFill="1" applyAlignment="1">
      <alignment horizontal="center" vertical="center"/>
    </xf>
    <xf numFmtId="0" fontId="69" fillId="23" borderId="0" xfId="0" applyFont="1" applyFill="1" applyAlignment="1">
      <alignment vertical="center"/>
    </xf>
    <xf numFmtId="0" fontId="70" fillId="23" borderId="0" xfId="0" applyFont="1" applyFill="1" applyAlignment="1">
      <alignment vertical="center"/>
    </xf>
    <xf numFmtId="0" fontId="68" fillId="23" borderId="0" xfId="0" applyFont="1" applyFill="1" applyAlignment="1">
      <alignment vertical="center"/>
    </xf>
    <xf numFmtId="0" fontId="64" fillId="0" borderId="0" xfId="0" applyFont="1" applyAlignment="1">
      <alignment vertical="center"/>
    </xf>
    <xf numFmtId="0" fontId="95" fillId="0" borderId="0" xfId="0" applyFont="1" applyAlignment="1">
      <alignment vertical="center"/>
    </xf>
    <xf numFmtId="187" fontId="64" fillId="0" borderId="0" xfId="0" applyNumberFormat="1" applyFont="1" applyAlignment="1">
      <alignment vertical="center"/>
    </xf>
    <xf numFmtId="0" fontId="93" fillId="0" borderId="0" xfId="0" applyFont="1" applyAlignment="1">
      <alignment vertical="center"/>
    </xf>
    <xf numFmtId="0" fontId="99" fillId="0" borderId="0" xfId="0" applyFont="1" applyAlignment="1">
      <alignment vertical="center"/>
    </xf>
    <xf numFmtId="0" fontId="66" fillId="3" borderId="18" xfId="0" applyFont="1" applyFill="1" applyBorder="1" applyAlignment="1">
      <alignment horizontal="center" vertical="center"/>
    </xf>
    <xf numFmtId="0" fontId="100" fillId="0" borderId="18" xfId="17" applyFont="1" applyBorder="1" applyAlignment="1">
      <alignment horizontal="left" vertical="top" wrapText="1"/>
    </xf>
    <xf numFmtId="0" fontId="68" fillId="0" borderId="18" xfId="0" applyFont="1" applyBorder="1" applyAlignment="1">
      <alignment horizontal="left" vertical="top" wrapText="1"/>
    </xf>
    <xf numFmtId="0" fontId="93" fillId="0" borderId="18" xfId="0" applyFont="1" applyBorder="1" applyAlignment="1">
      <alignment horizontal="center" vertical="center"/>
    </xf>
    <xf numFmtId="0" fontId="61" fillId="0" borderId="18" xfId="0" applyFont="1" applyBorder="1" applyAlignment="1">
      <alignment horizontal="left" vertical="top" wrapText="1"/>
    </xf>
    <xf numFmtId="0" fontId="100" fillId="8" borderId="18" xfId="17" applyFont="1" applyFill="1" applyBorder="1" applyAlignment="1">
      <alignment horizontal="left" vertical="top" wrapText="1"/>
    </xf>
    <xf numFmtId="0" fontId="68" fillId="8" borderId="18" xfId="0" applyFont="1" applyFill="1" applyBorder="1" applyAlignment="1">
      <alignment horizontal="left" vertical="top" wrapText="1"/>
    </xf>
    <xf numFmtId="0" fontId="61" fillId="8" borderId="18" xfId="0" applyFont="1" applyFill="1" applyBorder="1" applyAlignment="1">
      <alignment horizontal="left" vertical="top" wrapText="1"/>
    </xf>
    <xf numFmtId="0" fontId="61" fillId="0" borderId="147" xfId="0" applyFont="1" applyFill="1" applyBorder="1" applyAlignment="1" applyProtection="1">
      <alignment vertical="center"/>
      <protection locked="0"/>
    </xf>
    <xf numFmtId="14" fontId="102" fillId="0" borderId="0" xfId="0" applyNumberFormat="1" applyFont="1" applyAlignment="1">
      <alignment vertical="center"/>
    </xf>
    <xf numFmtId="0" fontId="102" fillId="0" borderId="0" xfId="16" applyFont="1">
      <alignment vertical="center"/>
    </xf>
    <xf numFmtId="0" fontId="102" fillId="0" borderId="0" xfId="0" applyFont="1" applyAlignment="1">
      <alignment vertical="center"/>
    </xf>
    <xf numFmtId="0" fontId="68" fillId="0" borderId="0" xfId="0" applyFont="1"/>
    <xf numFmtId="0" fontId="59" fillId="0" borderId="0" xfId="0" applyFont="1"/>
    <xf numFmtId="0" fontId="68" fillId="19" borderId="0" xfId="0" applyFont="1" applyFill="1"/>
    <xf numFmtId="0" fontId="61" fillId="2" borderId="0" xfId="16" applyFont="1" applyFill="1">
      <alignment vertical="center"/>
    </xf>
    <xf numFmtId="0" fontId="102" fillId="2" borderId="0" xfId="16" applyFont="1" applyFill="1">
      <alignment vertical="center"/>
    </xf>
    <xf numFmtId="0" fontId="68" fillId="2" borderId="0" xfId="0" applyFont="1" applyFill="1"/>
    <xf numFmtId="0" fontId="103" fillId="2" borderId="0" xfId="17" applyFont="1" applyFill="1" applyAlignment="1">
      <alignment horizontal="center" vertical="center"/>
    </xf>
    <xf numFmtId="0" fontId="59" fillId="2" borderId="0" xfId="16" applyFont="1" applyFill="1" applyAlignment="1">
      <alignment horizontal="left" vertical="center"/>
    </xf>
    <xf numFmtId="0" fontId="61" fillId="0" borderId="0" xfId="16" applyFont="1">
      <alignment vertical="center"/>
    </xf>
    <xf numFmtId="0" fontId="59" fillId="2" borderId="0" xfId="0" applyFont="1" applyFill="1"/>
    <xf numFmtId="0" fontId="61" fillId="0" borderId="0" xfId="16" applyFont="1" applyAlignment="1">
      <alignment vertical="center" wrapText="1"/>
    </xf>
    <xf numFmtId="0" fontId="103" fillId="0" borderId="0" xfId="17" applyFont="1" applyAlignment="1">
      <alignment vertical="center"/>
    </xf>
    <xf numFmtId="0" fontId="59" fillId="0" borderId="0" xfId="16" applyFont="1">
      <alignment vertical="center"/>
    </xf>
    <xf numFmtId="0" fontId="59" fillId="2" borderId="0" xfId="16" applyFont="1" applyFill="1">
      <alignment vertical="center"/>
    </xf>
    <xf numFmtId="0" fontId="69" fillId="16" borderId="0" xfId="16" applyFont="1" applyFill="1">
      <alignment vertical="center"/>
    </xf>
    <xf numFmtId="0" fontId="102" fillId="16" borderId="0" xfId="16" applyFont="1" applyFill="1">
      <alignment vertical="center"/>
    </xf>
    <xf numFmtId="0" fontId="102" fillId="16" borderId="0" xfId="16" applyFont="1" applyFill="1" applyAlignment="1">
      <alignment vertical="center" wrapText="1"/>
    </xf>
    <xf numFmtId="0" fontId="106" fillId="0" borderId="0" xfId="16" applyFont="1">
      <alignment vertical="center"/>
    </xf>
    <xf numFmtId="0" fontId="107" fillId="16" borderId="0" xfId="16" applyFont="1" applyFill="1">
      <alignment vertical="center"/>
    </xf>
    <xf numFmtId="0" fontId="107" fillId="16" borderId="0" xfId="16" applyFont="1" applyFill="1" applyAlignment="1">
      <alignment vertical="center" wrapText="1"/>
    </xf>
    <xf numFmtId="0" fontId="108" fillId="0" borderId="0" xfId="0" applyFont="1" applyAlignment="1">
      <alignment vertical="center"/>
    </xf>
    <xf numFmtId="0" fontId="102" fillId="0" borderId="0" xfId="16" applyFont="1" applyAlignment="1">
      <alignment vertical="center" wrapText="1"/>
    </xf>
    <xf numFmtId="0" fontId="93" fillId="0" borderId="58" xfId="0" applyFont="1" applyBorder="1" applyAlignment="1">
      <alignment horizontal="center" vertical="center" wrapText="1"/>
    </xf>
    <xf numFmtId="0" fontId="93" fillId="0" borderId="128" xfId="0" applyFont="1" applyBorder="1" applyAlignment="1">
      <alignment horizontal="center" vertical="center" wrapText="1"/>
    </xf>
    <xf numFmtId="0" fontId="93" fillId="0" borderId="59" xfId="0" applyFont="1" applyBorder="1" applyAlignment="1">
      <alignment vertical="center"/>
    </xf>
    <xf numFmtId="0" fontId="93" fillId="0" borderId="32" xfId="0" applyFont="1" applyBorder="1" applyAlignment="1">
      <alignment vertical="center"/>
    </xf>
    <xf numFmtId="0" fontId="56" fillId="0" borderId="0" xfId="0" applyFont="1" applyAlignment="1">
      <alignment vertical="center"/>
    </xf>
    <xf numFmtId="0" fontId="68" fillId="0" borderId="116" xfId="0" applyFont="1" applyBorder="1"/>
    <xf numFmtId="0" fontId="68" fillId="0" borderId="134" xfId="0" applyFont="1" applyBorder="1"/>
    <xf numFmtId="0" fontId="56" fillId="0" borderId="135" xfId="0" applyFont="1" applyBorder="1" applyAlignment="1">
      <alignment horizontal="center" vertical="center"/>
    </xf>
    <xf numFmtId="0" fontId="56" fillId="0" borderId="13" xfId="0" applyFont="1" applyBorder="1" applyAlignment="1">
      <alignment horizontal="center" vertical="center" shrinkToFit="1"/>
    </xf>
    <xf numFmtId="0" fontId="56" fillId="0" borderId="65" xfId="0" applyFont="1" applyBorder="1" applyAlignment="1">
      <alignment horizontal="center" vertical="center" shrinkToFit="1"/>
    </xf>
    <xf numFmtId="0" fontId="56" fillId="0" borderId="119" xfId="0" applyFont="1" applyBorder="1" applyAlignment="1">
      <alignment vertical="center"/>
    </xf>
    <xf numFmtId="0" fontId="56" fillId="0" borderId="138" xfId="0" applyFont="1" applyBorder="1" applyAlignment="1">
      <alignment vertical="center"/>
    </xf>
    <xf numFmtId="0" fontId="56" fillId="0" borderId="124" xfId="0" applyFont="1" applyBorder="1" applyAlignment="1">
      <alignment vertical="center"/>
    </xf>
    <xf numFmtId="0" fontId="56" fillId="0" borderId="135" xfId="0" applyFont="1" applyBorder="1" applyAlignment="1">
      <alignment vertical="center"/>
    </xf>
    <xf numFmtId="0" fontId="56" fillId="0" borderId="33" xfId="0" applyFont="1" applyBorder="1" applyAlignment="1">
      <alignment vertical="center"/>
    </xf>
    <xf numFmtId="0" fontId="56" fillId="0" borderId="129" xfId="0" applyFont="1" applyBorder="1" applyAlignment="1">
      <alignment vertical="center"/>
    </xf>
    <xf numFmtId="0" fontId="56" fillId="0" borderId="140" xfId="0" applyFont="1" applyBorder="1" applyAlignment="1">
      <alignment vertical="center"/>
    </xf>
    <xf numFmtId="0" fontId="56" fillId="0" borderId="18" xfId="0" applyFont="1" applyBorder="1" applyAlignment="1">
      <alignment vertical="center"/>
    </xf>
    <xf numFmtId="0" fontId="56" fillId="0" borderId="8" xfId="0" applyFont="1" applyBorder="1" applyAlignment="1">
      <alignment vertical="center"/>
    </xf>
    <xf numFmtId="0" fontId="56" fillId="0" borderId="13" xfId="0" applyFont="1" applyBorder="1" applyAlignment="1">
      <alignment vertical="center"/>
    </xf>
    <xf numFmtId="0" fontId="56" fillId="0" borderId="51" xfId="0" applyFont="1" applyBorder="1" applyAlignment="1">
      <alignment vertical="center"/>
    </xf>
    <xf numFmtId="0" fontId="56" fillId="0" borderId="52" xfId="0" applyFont="1" applyBorder="1" applyAlignment="1">
      <alignment vertical="center"/>
    </xf>
    <xf numFmtId="0" fontId="93" fillId="0" borderId="58" xfId="0" applyFont="1" applyBorder="1" applyAlignment="1">
      <alignment vertical="center"/>
    </xf>
    <xf numFmtId="0" fontId="56" fillId="0" borderId="141" xfId="0" applyFont="1" applyBorder="1" applyAlignment="1">
      <alignment vertical="center"/>
    </xf>
    <xf numFmtId="0" fontId="56" fillId="0" borderId="143" xfId="0" applyFont="1" applyBorder="1" applyAlignment="1">
      <alignment vertical="center"/>
    </xf>
    <xf numFmtId="0" fontId="56" fillId="0" borderId="64" xfId="0" applyFont="1" applyBorder="1" applyAlignment="1">
      <alignment vertical="center"/>
    </xf>
    <xf numFmtId="0" fontId="56" fillId="0" borderId="144" xfId="0" applyFont="1" applyBorder="1" applyAlignment="1">
      <alignment vertical="center"/>
    </xf>
    <xf numFmtId="0" fontId="56" fillId="0" borderId="145" xfId="0" applyFont="1" applyBorder="1" applyAlignment="1">
      <alignment vertical="center"/>
    </xf>
    <xf numFmtId="0" fontId="56" fillId="0" borderId="34" xfId="0" applyFont="1" applyBorder="1" applyAlignment="1">
      <alignment vertical="center"/>
    </xf>
    <xf numFmtId="0" fontId="56" fillId="0" borderId="147" xfId="0" applyFont="1" applyBorder="1" applyAlignment="1">
      <alignment vertical="center"/>
    </xf>
    <xf numFmtId="0" fontId="56" fillId="0" borderId="132" xfId="0" applyFont="1" applyBorder="1" applyAlignment="1">
      <alignment vertical="center"/>
    </xf>
    <xf numFmtId="0" fontId="56" fillId="0" borderId="35" xfId="0" applyFont="1" applyBorder="1" applyAlignment="1">
      <alignment vertical="center"/>
    </xf>
    <xf numFmtId="0" fontId="56" fillId="0" borderId="119" xfId="0" applyFont="1" applyBorder="1" applyAlignment="1">
      <alignment horizontal="center" vertical="center"/>
    </xf>
    <xf numFmtId="0" fontId="56" fillId="0" borderId="158" xfId="0" applyFont="1" applyBorder="1" applyAlignment="1">
      <alignment horizontal="center" vertical="center" shrinkToFit="1"/>
    </xf>
    <xf numFmtId="0" fontId="56" fillId="0" borderId="159" xfId="0" applyFont="1" applyBorder="1" applyAlignment="1">
      <alignment horizontal="center" vertical="center" shrinkToFit="1"/>
    </xf>
    <xf numFmtId="0" fontId="56" fillId="0" borderId="162" xfId="0" applyFont="1" applyBorder="1" applyAlignment="1">
      <alignment vertical="center"/>
    </xf>
    <xf numFmtId="0" fontId="56" fillId="0" borderId="160" xfId="0" applyFont="1" applyBorder="1" applyAlignment="1">
      <alignment vertical="center"/>
    </xf>
    <xf numFmtId="0" fontId="56" fillId="0" borderId="9" xfId="0" applyFont="1" applyBorder="1" applyAlignment="1">
      <alignment vertical="center"/>
    </xf>
    <xf numFmtId="0" fontId="56" fillId="0" borderId="165" xfId="0" applyFont="1" applyBorder="1" applyAlignment="1">
      <alignment vertical="center"/>
    </xf>
    <xf numFmtId="0" fontId="56" fillId="0" borderId="166" xfId="0" applyFont="1" applyBorder="1" applyAlignment="1">
      <alignment vertical="center"/>
    </xf>
    <xf numFmtId="0" fontId="56" fillId="0" borderId="167" xfId="0" applyFont="1" applyBorder="1" applyAlignment="1">
      <alignment vertical="center"/>
    </xf>
    <xf numFmtId="0" fontId="56" fillId="0" borderId="168" xfId="0" applyFont="1" applyBorder="1" applyAlignment="1">
      <alignment vertical="center"/>
    </xf>
    <xf numFmtId="0" fontId="56" fillId="0" borderId="12" xfId="0" applyFont="1" applyBorder="1" applyAlignment="1">
      <alignment vertical="center"/>
    </xf>
    <xf numFmtId="0" fontId="56" fillId="0" borderId="163" xfId="0" applyFont="1" applyBorder="1" applyAlignment="1">
      <alignment vertical="center"/>
    </xf>
    <xf numFmtId="0" fontId="56" fillId="0" borderId="172" xfId="0" applyFont="1" applyBorder="1" applyAlignment="1">
      <alignment vertical="center"/>
    </xf>
    <xf numFmtId="0" fontId="56" fillId="0" borderId="15" xfId="0" applyFont="1" applyBorder="1" applyAlignment="1">
      <alignment vertical="center"/>
    </xf>
    <xf numFmtId="0" fontId="56" fillId="0" borderId="173" xfId="0" applyFont="1" applyBorder="1" applyAlignment="1">
      <alignment vertical="center"/>
    </xf>
    <xf numFmtId="0" fontId="56" fillId="0" borderId="174" xfId="0" applyFont="1" applyBorder="1" applyAlignment="1">
      <alignment vertical="center"/>
    </xf>
    <xf numFmtId="0" fontId="56" fillId="0" borderId="161" xfId="0" applyFont="1" applyBorder="1" applyAlignment="1">
      <alignment vertical="center"/>
    </xf>
    <xf numFmtId="0" fontId="56" fillId="0" borderId="175" xfId="0" applyFont="1" applyBorder="1" applyAlignment="1">
      <alignment vertical="center"/>
    </xf>
    <xf numFmtId="0" fontId="56" fillId="0" borderId="164" xfId="0" applyFont="1" applyBorder="1" applyAlignment="1">
      <alignment vertical="center"/>
    </xf>
    <xf numFmtId="0" fontId="56" fillId="0" borderId="179" xfId="0" applyFont="1" applyBorder="1" applyAlignment="1">
      <alignment vertical="center"/>
    </xf>
    <xf numFmtId="0" fontId="56" fillId="0" borderId="178" xfId="0" applyFont="1" applyBorder="1" applyAlignment="1">
      <alignment vertical="center"/>
    </xf>
    <xf numFmtId="0" fontId="56" fillId="0" borderId="176" xfId="0" applyFont="1" applyBorder="1" applyAlignment="1">
      <alignment vertical="center"/>
    </xf>
    <xf numFmtId="0" fontId="56" fillId="0" borderId="180" xfId="0" applyFont="1" applyBorder="1" applyAlignment="1">
      <alignment vertical="center"/>
    </xf>
    <xf numFmtId="0" fontId="56" fillId="0" borderId="181" xfId="0" applyFont="1" applyBorder="1" applyAlignment="1">
      <alignment vertical="center"/>
    </xf>
    <xf numFmtId="0" fontId="56" fillId="0" borderId="182" xfId="0" applyFont="1" applyBorder="1" applyAlignment="1">
      <alignment vertical="center"/>
    </xf>
    <xf numFmtId="0" fontId="56" fillId="0" borderId="184" xfId="0" applyFont="1" applyBorder="1" applyAlignment="1">
      <alignment vertical="center"/>
    </xf>
    <xf numFmtId="0" fontId="56" fillId="0" borderId="65" xfId="0" applyFont="1" applyBorder="1" applyAlignment="1">
      <alignment vertical="center"/>
    </xf>
    <xf numFmtId="0" fontId="56" fillId="0" borderId="187" xfId="0" applyFont="1" applyBorder="1" applyAlignment="1">
      <alignment vertical="center"/>
    </xf>
    <xf numFmtId="0" fontId="56" fillId="0" borderId="188" xfId="0" applyFont="1" applyBorder="1" applyAlignment="1">
      <alignment vertical="center"/>
    </xf>
    <xf numFmtId="0" fontId="56" fillId="0" borderId="186" xfId="0" applyFont="1" applyBorder="1" applyAlignment="1">
      <alignment vertical="center"/>
    </xf>
    <xf numFmtId="0" fontId="68" fillId="0" borderId="118" xfId="0" applyFont="1" applyBorder="1" applyAlignment="1">
      <alignment vertical="center"/>
    </xf>
    <xf numFmtId="0" fontId="68" fillId="0" borderId="124" xfId="0" applyFont="1" applyBorder="1"/>
    <xf numFmtId="0" fontId="68" fillId="0" borderId="18" xfId="0" applyFont="1" applyBorder="1" applyAlignment="1">
      <alignment vertical="center"/>
    </xf>
    <xf numFmtId="0" fontId="68" fillId="0" borderId="18" xfId="0" applyFont="1" applyBorder="1"/>
    <xf numFmtId="0" fontId="68" fillId="0" borderId="129" xfId="0" applyFont="1" applyBorder="1"/>
    <xf numFmtId="0" fontId="68" fillId="0" borderId="35" xfId="0" applyFont="1" applyBorder="1"/>
    <xf numFmtId="0" fontId="68" fillId="0" borderId="128" xfId="0" applyFont="1" applyBorder="1"/>
    <xf numFmtId="0" fontId="56" fillId="0" borderId="0" xfId="0" applyFont="1" applyAlignment="1">
      <alignment vertical="top"/>
    </xf>
    <xf numFmtId="0" fontId="102" fillId="19" borderId="0" xfId="16" applyFont="1" applyFill="1">
      <alignment vertical="center"/>
    </xf>
    <xf numFmtId="0" fontId="82" fillId="0" borderId="0" xfId="16" applyFont="1">
      <alignment vertical="center"/>
    </xf>
    <xf numFmtId="0" fontId="64" fillId="7" borderId="0" xfId="16" applyFont="1" applyFill="1">
      <alignment vertical="center"/>
    </xf>
    <xf numFmtId="0" fontId="64" fillId="0" borderId="66" xfId="0" applyFont="1" applyBorder="1"/>
    <xf numFmtId="0" fontId="64" fillId="0" borderId="130" xfId="0" applyFont="1" applyBorder="1"/>
    <xf numFmtId="0" fontId="64" fillId="0" borderId="6" xfId="16" applyFont="1" applyBorder="1">
      <alignment vertical="center"/>
    </xf>
    <xf numFmtId="0" fontId="64" fillId="0" borderId="7" xfId="16" applyFont="1" applyBorder="1">
      <alignment vertical="center"/>
    </xf>
    <xf numFmtId="0" fontId="64" fillId="0" borderId="16" xfId="16" applyFont="1" applyBorder="1">
      <alignment vertical="center"/>
    </xf>
    <xf numFmtId="0" fontId="61" fillId="19" borderId="0" xfId="16" applyFont="1" applyFill="1">
      <alignment vertical="center"/>
    </xf>
    <xf numFmtId="0" fontId="61" fillId="0" borderId="18" xfId="16" applyFont="1" applyBorder="1" applyAlignment="1">
      <alignment horizontal="center" vertical="center"/>
    </xf>
    <xf numFmtId="0" fontId="56" fillId="0" borderId="18" xfId="0" applyFont="1" applyBorder="1" applyAlignment="1">
      <alignment horizontal="center" vertical="center" shrinkToFit="1"/>
    </xf>
    <xf numFmtId="0" fontId="61" fillId="0" borderId="66" xfId="16" applyFont="1" applyBorder="1">
      <alignment vertical="center"/>
    </xf>
    <xf numFmtId="0" fontId="61" fillId="0" borderId="117" xfId="16" applyFont="1" applyBorder="1" applyAlignment="1">
      <alignment vertical="center" wrapText="1"/>
    </xf>
    <xf numFmtId="0" fontId="61" fillId="0" borderId="117" xfId="16" applyFont="1" applyBorder="1">
      <alignment vertical="center"/>
    </xf>
    <xf numFmtId="0" fontId="61" fillId="0" borderId="18" xfId="16" applyFont="1" applyBorder="1">
      <alignment vertical="center"/>
    </xf>
    <xf numFmtId="0" fontId="61" fillId="0" borderId="195" xfId="16" applyFont="1" applyBorder="1">
      <alignment vertical="center"/>
    </xf>
    <xf numFmtId="0" fontId="61" fillId="0" borderId="141" xfId="16" applyFont="1" applyBorder="1">
      <alignment vertical="center"/>
    </xf>
    <xf numFmtId="0" fontId="93" fillId="7" borderId="0" xfId="0" applyFont="1" applyFill="1"/>
    <xf numFmtId="0" fontId="68" fillId="0" borderId="0" xfId="0" applyFont="1" applyAlignment="1">
      <alignment horizontal="center" vertical="center" wrapText="1"/>
    </xf>
    <xf numFmtId="0" fontId="68" fillId="0" borderId="0" xfId="0" applyFont="1" applyAlignment="1">
      <alignment vertical="center" wrapText="1"/>
    </xf>
    <xf numFmtId="0" fontId="68" fillId="0" borderId="198" xfId="0" applyFont="1" applyBorder="1" applyAlignment="1">
      <alignment vertical="center" wrapText="1"/>
    </xf>
    <xf numFmtId="0" fontId="68" fillId="0" borderId="199" xfId="0" applyFont="1" applyBorder="1" applyAlignment="1">
      <alignment vertical="center" wrapText="1"/>
    </xf>
    <xf numFmtId="0" fontId="68" fillId="0" borderId="157" xfId="0" applyFont="1" applyBorder="1" applyAlignment="1">
      <alignment vertical="center" wrapText="1"/>
    </xf>
    <xf numFmtId="0" fontId="68" fillId="0" borderId="124" xfId="0" applyFont="1" applyBorder="1" applyAlignment="1">
      <alignment shrinkToFit="1"/>
    </xf>
    <xf numFmtId="0" fontId="68" fillId="0" borderId="125" xfId="0" applyFont="1" applyBorder="1" applyAlignment="1">
      <alignment vertical="center"/>
    </xf>
    <xf numFmtId="0" fontId="68" fillId="0" borderId="123" xfId="0" applyFont="1" applyBorder="1" applyAlignment="1">
      <alignment vertical="center"/>
    </xf>
    <xf numFmtId="0" fontId="68" fillId="0" borderId="31" xfId="0" applyFont="1" applyBorder="1" applyAlignment="1">
      <alignment vertical="center"/>
    </xf>
    <xf numFmtId="0" fontId="68" fillId="0" borderId="18" xfId="0" applyFont="1" applyBorder="1" applyAlignment="1">
      <alignment vertical="center" shrinkToFit="1"/>
    </xf>
    <xf numFmtId="0" fontId="68" fillId="0" borderId="129" xfId="0" applyFont="1" applyBorder="1" applyAlignment="1">
      <alignment vertical="center"/>
    </xf>
    <xf numFmtId="0" fontId="68" fillId="0" borderId="130" xfId="0" applyFont="1" applyBorder="1" applyAlignment="1">
      <alignment vertical="center"/>
    </xf>
    <xf numFmtId="0" fontId="68" fillId="19" borderId="0" xfId="0" applyFont="1" applyFill="1" applyAlignment="1">
      <alignment vertical="center"/>
    </xf>
    <xf numFmtId="0" fontId="68" fillId="0" borderId="7" xfId="0" applyFont="1" applyBorder="1" applyAlignment="1">
      <alignment vertical="center"/>
    </xf>
    <xf numFmtId="0" fontId="68" fillId="9" borderId="18" xfId="0" applyFont="1" applyFill="1" applyBorder="1" applyAlignment="1">
      <alignment vertical="center" shrinkToFit="1"/>
    </xf>
    <xf numFmtId="0" fontId="68" fillId="9" borderId="129" xfId="0" applyFont="1" applyFill="1" applyBorder="1" applyAlignment="1">
      <alignment vertical="center"/>
    </xf>
    <xf numFmtId="0" fontId="68" fillId="9" borderId="130" xfId="0" applyFont="1" applyFill="1" applyBorder="1" applyAlignment="1">
      <alignment vertical="center"/>
    </xf>
    <xf numFmtId="0" fontId="68" fillId="9" borderId="18" xfId="0" applyFont="1" applyFill="1" applyBorder="1" applyAlignment="1">
      <alignment vertical="center"/>
    </xf>
    <xf numFmtId="0" fontId="68" fillId="9" borderId="118" xfId="0" applyFont="1" applyFill="1" applyBorder="1" applyAlignment="1">
      <alignment vertical="center"/>
    </xf>
    <xf numFmtId="0" fontId="56" fillId="0" borderId="18" xfId="16" applyFont="1" applyBorder="1" applyAlignment="1">
      <alignment vertical="center" shrinkToFit="1"/>
    </xf>
    <xf numFmtId="0" fontId="56" fillId="0" borderId="129" xfId="16" applyFont="1" applyBorder="1">
      <alignment vertical="center"/>
    </xf>
    <xf numFmtId="0" fontId="56" fillId="0" borderId="130" xfId="16" applyFont="1" applyBorder="1">
      <alignment vertical="center"/>
    </xf>
    <xf numFmtId="0" fontId="56" fillId="0" borderId="18" xfId="16" applyFont="1" applyBorder="1">
      <alignment vertical="center"/>
    </xf>
    <xf numFmtId="0" fontId="56" fillId="0" borderId="118" xfId="16" applyFont="1" applyBorder="1">
      <alignment vertical="center"/>
    </xf>
    <xf numFmtId="0" fontId="56" fillId="0" borderId="0" xfId="16" applyFont="1">
      <alignment vertical="center"/>
    </xf>
    <xf numFmtId="0" fontId="61" fillId="0" borderId="18" xfId="16" applyFont="1" applyBorder="1" applyAlignment="1">
      <alignment vertical="center" shrinkToFit="1"/>
    </xf>
    <xf numFmtId="0" fontId="61" fillId="0" borderId="129" xfId="16" applyFont="1" applyBorder="1">
      <alignment vertical="center"/>
    </xf>
    <xf numFmtId="0" fontId="61" fillId="0" borderId="130" xfId="16" applyFont="1" applyBorder="1">
      <alignment vertical="center"/>
    </xf>
    <xf numFmtId="0" fontId="61" fillId="0" borderId="118" xfId="16" applyFont="1" applyBorder="1">
      <alignment vertical="center"/>
    </xf>
    <xf numFmtId="0" fontId="61" fillId="0" borderId="35" xfId="16" applyFont="1" applyBorder="1" applyAlignment="1">
      <alignment vertical="center" shrinkToFit="1"/>
    </xf>
    <xf numFmtId="0" fontId="61" fillId="0" borderId="128" xfId="16" applyFont="1" applyBorder="1">
      <alignment vertical="center"/>
    </xf>
    <xf numFmtId="0" fontId="61" fillId="0" borderId="127" xfId="16" applyFont="1" applyBorder="1">
      <alignment vertical="center"/>
    </xf>
    <xf numFmtId="0" fontId="61" fillId="0" borderId="35" xfId="16" applyFont="1" applyBorder="1">
      <alignment vertical="center"/>
    </xf>
    <xf numFmtId="0" fontId="68" fillId="0" borderId="200" xfId="0" applyFont="1" applyBorder="1" applyAlignment="1">
      <alignment horizontal="left" vertical="top"/>
    </xf>
    <xf numFmtId="0" fontId="68" fillId="0" borderId="202" xfId="0" applyFont="1" applyBorder="1"/>
    <xf numFmtId="0" fontId="68" fillId="0" borderId="204" xfId="0" applyFont="1" applyBorder="1" applyAlignment="1">
      <alignment horizontal="left" vertical="top"/>
    </xf>
    <xf numFmtId="0" fontId="68" fillId="0" borderId="206" xfId="0" applyFont="1" applyBorder="1"/>
    <xf numFmtId="0" fontId="68" fillId="0" borderId="208" xfId="0" applyFont="1" applyBorder="1"/>
    <xf numFmtId="0" fontId="68" fillId="0" borderId="121" xfId="0" applyFont="1" applyBorder="1"/>
    <xf numFmtId="0" fontId="68" fillId="0" borderId="199" xfId="0" applyFont="1" applyBorder="1"/>
    <xf numFmtId="0" fontId="68" fillId="0" borderId="157" xfId="0" applyFont="1" applyBorder="1"/>
    <xf numFmtId="0" fontId="68" fillId="0" borderId="120" xfId="0" applyFont="1" applyBorder="1"/>
    <xf numFmtId="0" fontId="68" fillId="0" borderId="123" xfId="0" applyFont="1" applyBorder="1" applyAlignment="1">
      <alignment horizontal="center"/>
    </xf>
    <xf numFmtId="0" fontId="68" fillId="0" borderId="66" xfId="0" applyFont="1" applyBorder="1"/>
    <xf numFmtId="0" fontId="68" fillId="0" borderId="130" xfId="0" applyFont="1" applyBorder="1" applyAlignment="1">
      <alignment horizontal="center"/>
    </xf>
    <xf numFmtId="0" fontId="68" fillId="0" borderId="133" xfId="0" applyFont="1" applyBorder="1"/>
    <xf numFmtId="0" fontId="68" fillId="0" borderId="127" xfId="0" applyFont="1" applyBorder="1" applyAlignment="1">
      <alignment horizontal="center"/>
    </xf>
    <xf numFmtId="0" fontId="68" fillId="0" borderId="123" xfId="0" applyFont="1" applyBorder="1"/>
    <xf numFmtId="0" fontId="68" fillId="0" borderId="130" xfId="0" applyFont="1" applyBorder="1"/>
    <xf numFmtId="0" fontId="68" fillId="0" borderId="127" xfId="0" applyFont="1" applyBorder="1"/>
    <xf numFmtId="0" fontId="12" fillId="4" borderId="0" xfId="0" applyFont="1" applyFill="1" applyAlignment="1">
      <alignment horizontal="right" vertical="center" shrinkToFit="1"/>
    </xf>
    <xf numFmtId="0" fontId="56" fillId="0" borderId="32" xfId="0" applyFont="1" applyFill="1" applyBorder="1" applyAlignment="1">
      <alignment horizontal="left" vertical="center"/>
    </xf>
    <xf numFmtId="0" fontId="56" fillId="0" borderId="117" xfId="0" applyFont="1" applyFill="1" applyBorder="1" applyAlignment="1">
      <alignment horizontal="left" vertical="center"/>
    </xf>
    <xf numFmtId="0" fontId="56" fillId="0" borderId="118" xfId="0" applyFont="1" applyFill="1" applyBorder="1" applyAlignment="1">
      <alignment horizontal="left" vertical="center"/>
    </xf>
    <xf numFmtId="0" fontId="90" fillId="2" borderId="0" xfId="17" applyFont="1" applyFill="1" applyAlignment="1">
      <alignment horizontal="left" vertical="center"/>
    </xf>
    <xf numFmtId="0" fontId="28" fillId="0" borderId="0" xfId="2" applyFont="1" applyFill="1">
      <alignment vertical="center"/>
    </xf>
    <xf numFmtId="0" fontId="60" fillId="0" borderId="0" xfId="2" applyFont="1" applyAlignment="1">
      <alignment vertical="top"/>
    </xf>
    <xf numFmtId="0" fontId="69" fillId="18" borderId="0" xfId="0" applyFont="1" applyFill="1" applyAlignment="1">
      <alignment horizontal="center" vertical="center"/>
    </xf>
    <xf numFmtId="0" fontId="112" fillId="0" borderId="0" xfId="0" applyFont="1" applyFill="1" applyAlignment="1"/>
    <xf numFmtId="0" fontId="113" fillId="0" borderId="0" xfId="0" applyFont="1" applyFill="1" applyAlignment="1">
      <alignment vertical="top"/>
    </xf>
    <xf numFmtId="0" fontId="112" fillId="0" borderId="0" xfId="0" applyFont="1" applyFill="1" applyAlignment="1">
      <alignment vertical="center"/>
    </xf>
    <xf numFmtId="0" fontId="113" fillId="0" borderId="0" xfId="0" applyFont="1" applyFill="1" applyAlignment="1">
      <alignment vertical="center"/>
    </xf>
    <xf numFmtId="0" fontId="78" fillId="0" borderId="0" xfId="0" applyFont="1" applyFill="1" applyAlignment="1">
      <alignment horizontal="left" vertical="center"/>
    </xf>
    <xf numFmtId="0" fontId="54" fillId="0" borderId="0" xfId="0" applyFont="1" applyFill="1" applyAlignment="1">
      <alignment vertical="top" wrapText="1"/>
    </xf>
    <xf numFmtId="0" fontId="82" fillId="0" borderId="0" xfId="0" applyFont="1" applyFill="1" applyAlignment="1">
      <alignment vertical="center"/>
    </xf>
    <xf numFmtId="0" fontId="82" fillId="0" borderId="0" xfId="0" applyFont="1" applyFill="1" applyAlignment="1">
      <alignment horizontal="left" vertical="center"/>
    </xf>
    <xf numFmtId="0" fontId="112" fillId="0" borderId="0" xfId="0" applyFont="1" applyFill="1" applyBorder="1" applyAlignment="1">
      <alignment vertical="center"/>
    </xf>
    <xf numFmtId="0" fontId="112" fillId="0" borderId="0" xfId="0" applyFont="1" applyFill="1" applyBorder="1" applyAlignment="1"/>
    <xf numFmtId="0" fontId="82" fillId="22" borderId="0" xfId="0" applyFont="1" applyFill="1" applyAlignment="1">
      <alignment vertical="center"/>
    </xf>
    <xf numFmtId="0" fontId="79" fillId="0" borderId="0" xfId="0" applyFont="1" applyBorder="1" applyAlignment="1">
      <alignment horizontal="right" vertical="center"/>
    </xf>
    <xf numFmtId="0" fontId="28" fillId="22" borderId="0" xfId="0" applyFont="1" applyFill="1" applyBorder="1" applyAlignment="1">
      <alignment vertical="center"/>
    </xf>
    <xf numFmtId="0" fontId="48" fillId="22" borderId="0" xfId="0" applyFont="1" applyFill="1" applyBorder="1" applyAlignment="1">
      <alignment horizontal="center" vertical="center"/>
    </xf>
    <xf numFmtId="0" fontId="48" fillId="22" borderId="0" xfId="0" applyFont="1" applyFill="1" applyBorder="1" applyAlignment="1">
      <alignment vertical="center"/>
    </xf>
    <xf numFmtId="0" fontId="28" fillId="22" borderId="0" xfId="0" quotePrefix="1" applyFont="1" applyFill="1" applyBorder="1" applyAlignment="1">
      <alignment vertical="center"/>
    </xf>
    <xf numFmtId="0" fontId="82" fillId="22" borderId="0" xfId="0" applyFont="1" applyFill="1" applyAlignment="1">
      <alignment horizontal="left" vertical="center"/>
    </xf>
    <xf numFmtId="0" fontId="112" fillId="22" borderId="0" xfId="0" applyFont="1" applyFill="1" applyAlignment="1">
      <alignment horizontal="left" vertical="center"/>
    </xf>
    <xf numFmtId="0" fontId="61" fillId="22" borderId="18" xfId="0" applyFont="1" applyFill="1" applyBorder="1" applyAlignment="1" applyProtection="1">
      <alignment horizontal="left" vertical="center"/>
      <protection locked="0"/>
    </xf>
    <xf numFmtId="0" fontId="82" fillId="0" borderId="0" xfId="0" applyFont="1" applyFill="1" applyAlignment="1">
      <alignment vertical="top" wrapText="1"/>
    </xf>
    <xf numFmtId="0" fontId="33" fillId="22" borderId="0" xfId="2" applyFont="1" applyFill="1" applyAlignment="1">
      <alignment horizontal="center" vertical="center"/>
    </xf>
    <xf numFmtId="0" fontId="28" fillId="0" borderId="0" xfId="0" applyFont="1" applyFill="1" applyAlignment="1">
      <alignment horizontal="left" vertical="center"/>
    </xf>
    <xf numFmtId="0" fontId="28" fillId="0" borderId="16" xfId="0" applyFont="1" applyFill="1" applyBorder="1" applyAlignment="1">
      <alignment horizontal="left" vertical="center" shrinkToFit="1"/>
    </xf>
    <xf numFmtId="0" fontId="28" fillId="0" borderId="0" xfId="0" applyFont="1" applyFill="1" applyAlignment="1">
      <alignment horizontal="left" vertical="center" shrinkToFit="1"/>
    </xf>
    <xf numFmtId="0" fontId="28" fillId="0" borderId="100" xfId="0" applyFont="1" applyFill="1" applyBorder="1" applyAlignment="1">
      <alignment horizontal="left" vertical="center" shrinkToFit="1"/>
    </xf>
    <xf numFmtId="0" fontId="31" fillId="3" borderId="14" xfId="0" applyFont="1" applyFill="1" applyBorder="1" applyAlignment="1">
      <alignment vertical="center" wrapText="1"/>
    </xf>
    <xf numFmtId="0" fontId="31" fillId="3" borderId="19" xfId="0" applyFont="1" applyFill="1" applyBorder="1" applyAlignment="1">
      <alignment horizontal="distributed" vertical="center"/>
    </xf>
    <xf numFmtId="0" fontId="31" fillId="3" borderId="48" xfId="0" applyFont="1" applyFill="1" applyBorder="1" applyAlignment="1">
      <alignment horizontal="center" vertical="center"/>
    </xf>
    <xf numFmtId="0" fontId="31" fillId="3" borderId="79" xfId="0" applyFont="1" applyFill="1" applyBorder="1" applyAlignment="1">
      <alignment horizontal="center" vertical="center"/>
    </xf>
    <xf numFmtId="0" fontId="31" fillId="0" borderId="14" xfId="0" applyFont="1" applyFill="1" applyBorder="1" applyAlignment="1">
      <alignment horizontal="right" vertical="center"/>
    </xf>
    <xf numFmtId="0" fontId="31" fillId="0" borderId="115" xfId="0" applyFont="1" applyFill="1" applyBorder="1" applyAlignment="1">
      <alignment horizontal="right" vertical="center"/>
    </xf>
    <xf numFmtId="176" fontId="31" fillId="0" borderId="115" xfId="0" applyNumberFormat="1" applyFont="1" applyFill="1" applyBorder="1" applyAlignment="1">
      <alignment vertical="center" shrinkToFit="1"/>
    </xf>
    <xf numFmtId="0" fontId="78" fillId="3" borderId="18" xfId="2" applyFont="1" applyFill="1" applyBorder="1" applyAlignment="1">
      <alignment horizontal="center" vertical="center"/>
    </xf>
    <xf numFmtId="0" fontId="79" fillId="27" borderId="66" xfId="2" applyFont="1" applyFill="1" applyBorder="1">
      <alignment vertical="center"/>
    </xf>
    <xf numFmtId="0" fontId="79" fillId="27" borderId="130" xfId="2" applyFont="1" applyFill="1" applyBorder="1">
      <alignment vertical="center"/>
    </xf>
    <xf numFmtId="0" fontId="79" fillId="0" borderId="117" xfId="2" applyFont="1" applyBorder="1">
      <alignment vertical="center"/>
    </xf>
    <xf numFmtId="0" fontId="79" fillId="22" borderId="66" xfId="2" applyFont="1" applyFill="1" applyBorder="1">
      <alignment vertical="center"/>
    </xf>
    <xf numFmtId="0" fontId="61" fillId="0" borderId="18" xfId="0" applyFont="1" applyBorder="1" applyAlignment="1">
      <alignment horizontal="center" vertical="top" shrinkToFit="1"/>
    </xf>
    <xf numFmtId="190" fontId="0" fillId="5" borderId="18" xfId="0" applyNumberFormat="1" applyFill="1" applyBorder="1" applyAlignment="1">
      <alignment vertical="top" shrinkToFit="1"/>
    </xf>
    <xf numFmtId="0" fontId="0" fillId="5" borderId="18" xfId="0" applyFill="1" applyBorder="1" applyAlignment="1">
      <alignment horizontal="center" vertical="top" shrinkToFit="1"/>
    </xf>
    <xf numFmtId="0" fontId="0" fillId="5" borderId="18" xfId="0" applyFill="1" applyBorder="1" applyAlignment="1">
      <alignment horizontal="center" vertical="top" wrapText="1"/>
    </xf>
    <xf numFmtId="0" fontId="0" fillId="5" borderId="18" xfId="0" applyFill="1" applyBorder="1" applyAlignment="1">
      <alignment vertical="top" wrapText="1"/>
    </xf>
    <xf numFmtId="0" fontId="85" fillId="18" borderId="119" xfId="0" applyFont="1" applyFill="1" applyBorder="1" applyAlignment="1" applyProtection="1">
      <alignment horizontal="center" vertical="center" wrapText="1"/>
      <protection locked="0"/>
    </xf>
    <xf numFmtId="0" fontId="61" fillId="9" borderId="120" xfId="0" applyFont="1" applyFill="1" applyBorder="1" applyAlignment="1" applyProtection="1">
      <alignment horizontal="right" vertical="center"/>
      <protection locked="0"/>
    </xf>
    <xf numFmtId="0" fontId="61" fillId="0" borderId="31" xfId="0" applyFont="1" applyBorder="1" applyAlignment="1" applyProtection="1">
      <alignment horizontal="left" vertical="center" wrapText="1"/>
      <protection locked="0"/>
    </xf>
    <xf numFmtId="0" fontId="61" fillId="0" borderId="121" xfId="0" applyFont="1" applyBorder="1" applyAlignment="1" applyProtection="1">
      <alignment vertical="center" wrapText="1"/>
      <protection locked="0"/>
    </xf>
    <xf numFmtId="0" fontId="68" fillId="9" borderId="122" xfId="0" applyFont="1" applyFill="1" applyBorder="1" applyAlignment="1" applyProtection="1">
      <alignment horizontal="center" vertical="center" wrapText="1"/>
      <protection locked="0"/>
    </xf>
    <xf numFmtId="0" fontId="61" fillId="0" borderId="29" xfId="0" applyFont="1" applyBorder="1" applyAlignment="1" applyProtection="1">
      <alignment vertical="center"/>
      <protection locked="0"/>
    </xf>
    <xf numFmtId="0" fontId="61" fillId="0" borderId="31" xfId="0" applyFont="1" applyBorder="1" applyAlignment="1" applyProtection="1">
      <alignment vertical="center"/>
      <protection locked="0"/>
    </xf>
    <xf numFmtId="0" fontId="61" fillId="0" borderId="123" xfId="0" applyFont="1" applyBorder="1" applyAlignment="1" applyProtection="1">
      <alignment vertical="center" wrapText="1"/>
      <protection locked="0"/>
    </xf>
    <xf numFmtId="0" fontId="61" fillId="0" borderId="124" xfId="0" applyFont="1" applyBorder="1" applyAlignment="1" applyProtection="1">
      <alignment horizontal="center" vertical="center"/>
      <protection locked="0"/>
    </xf>
    <xf numFmtId="0" fontId="61" fillId="0" borderId="125" xfId="0" applyFont="1" applyBorder="1" applyAlignment="1" applyProtection="1">
      <alignment horizontal="center" vertical="center"/>
      <protection locked="0"/>
    </xf>
    <xf numFmtId="0" fontId="61" fillId="0" borderId="126" xfId="0" applyFont="1" applyBorder="1" applyAlignment="1" applyProtection="1">
      <alignment vertical="center"/>
      <protection locked="0"/>
    </xf>
    <xf numFmtId="0" fontId="61" fillId="0" borderId="26" xfId="0" applyFont="1" applyBorder="1" applyAlignment="1" applyProtection="1">
      <alignment vertical="center" wrapText="1"/>
      <protection locked="0"/>
    </xf>
    <xf numFmtId="0" fontId="61" fillId="0" borderId="0" xfId="0" applyFont="1" applyAlignment="1" applyProtection="1">
      <alignment vertical="center"/>
      <protection locked="0"/>
    </xf>
    <xf numFmtId="0" fontId="61" fillId="0" borderId="0" xfId="16" applyFont="1" applyProtection="1">
      <alignment vertical="center"/>
      <protection locked="0"/>
    </xf>
    <xf numFmtId="0" fontId="61" fillId="0" borderId="51" xfId="0" applyFont="1" applyBorder="1" applyAlignment="1" applyProtection="1">
      <alignment vertical="center"/>
      <protection locked="0"/>
    </xf>
    <xf numFmtId="0" fontId="61" fillId="9" borderId="14" xfId="0" applyFont="1" applyFill="1" applyBorder="1" applyAlignment="1" applyProtection="1">
      <alignment horizontal="left" vertical="center"/>
      <protection locked="0"/>
    </xf>
    <xf numFmtId="0" fontId="61" fillId="9" borderId="115" xfId="0" applyFont="1" applyFill="1" applyBorder="1" applyAlignment="1" applyProtection="1">
      <alignment horizontal="left" vertical="center"/>
      <protection locked="0"/>
    </xf>
    <xf numFmtId="0" fontId="61" fillId="0" borderId="33" xfId="0" applyFont="1" applyBorder="1" applyAlignment="1" applyProtection="1">
      <alignment vertical="center"/>
      <protection locked="0"/>
    </xf>
    <xf numFmtId="0" fontId="61" fillId="9" borderId="129" xfId="0" applyFont="1" applyFill="1" applyBorder="1" applyAlignment="1" applyProtection="1">
      <alignment horizontal="center" vertical="center"/>
      <protection locked="0"/>
    </xf>
    <xf numFmtId="0" fontId="61" fillId="0" borderId="130" xfId="0" applyFont="1" applyBorder="1" applyAlignment="1" applyProtection="1">
      <alignment vertical="center"/>
      <protection locked="0"/>
    </xf>
    <xf numFmtId="0" fontId="61" fillId="9" borderId="66" xfId="0" applyFont="1" applyFill="1" applyBorder="1" applyAlignment="1" applyProtection="1">
      <alignment horizontal="center" vertical="center" shrinkToFit="1"/>
      <protection locked="0"/>
    </xf>
    <xf numFmtId="0" fontId="61" fillId="9" borderId="129" xfId="0" applyFont="1" applyFill="1" applyBorder="1" applyAlignment="1" applyProtection="1">
      <alignment horizontal="center" vertical="center" shrinkToFit="1"/>
      <protection locked="0"/>
    </xf>
    <xf numFmtId="0" fontId="61" fillId="4" borderId="61" xfId="0" applyFont="1" applyFill="1" applyBorder="1" applyAlignment="1" applyProtection="1">
      <alignment horizontal="center" vertical="center"/>
      <protection locked="0"/>
    </xf>
    <xf numFmtId="0" fontId="61" fillId="0" borderId="243" xfId="0" applyFont="1" applyBorder="1" applyAlignment="1" applyProtection="1">
      <alignment vertical="center"/>
      <protection locked="0"/>
    </xf>
    <xf numFmtId="0" fontId="61" fillId="0" borderId="33" xfId="0" applyFont="1" applyBorder="1" applyAlignment="1" applyProtection="1">
      <alignment horizontal="left" vertical="center"/>
      <protection locked="0"/>
    </xf>
    <xf numFmtId="0" fontId="61" fillId="0" borderId="66" xfId="0" applyFont="1" applyBorder="1" applyAlignment="1" applyProtection="1">
      <alignment horizontal="right" vertical="center"/>
      <protection locked="0"/>
    </xf>
    <xf numFmtId="0" fontId="61" fillId="9" borderId="117" xfId="0" applyFont="1" applyFill="1" applyBorder="1" applyAlignment="1" applyProtection="1">
      <alignment horizontal="left" vertical="center"/>
      <protection locked="0"/>
    </xf>
    <xf numFmtId="0" fontId="61" fillId="0" borderId="117" xfId="0" applyFont="1" applyBorder="1" applyAlignment="1" applyProtection="1">
      <alignment horizontal="right" vertical="center"/>
      <protection locked="0"/>
    </xf>
    <xf numFmtId="0" fontId="61" fillId="9" borderId="118" xfId="0" applyFont="1" applyFill="1" applyBorder="1" applyAlignment="1" applyProtection="1">
      <alignment horizontal="left" vertical="center"/>
      <protection locked="0"/>
    </xf>
    <xf numFmtId="49" fontId="61" fillId="9" borderId="61" xfId="0" applyNumberFormat="1" applyFont="1" applyFill="1" applyBorder="1" applyAlignment="1" applyProtection="1">
      <alignment horizontal="center" vertical="center"/>
      <protection locked="0"/>
    </xf>
    <xf numFmtId="0" fontId="61" fillId="0" borderId="58" xfId="0" applyFont="1" applyBorder="1" applyAlignment="1" applyProtection="1">
      <alignment vertical="center"/>
      <protection locked="0"/>
    </xf>
    <xf numFmtId="0" fontId="61" fillId="0" borderId="68" xfId="0" applyFont="1" applyBorder="1" applyAlignment="1" applyProtection="1">
      <alignment vertical="center"/>
      <protection locked="0"/>
    </xf>
    <xf numFmtId="0" fontId="61" fillId="0" borderId="68" xfId="0" applyFont="1" applyBorder="1" applyAlignment="1" applyProtection="1">
      <alignment horizontal="left" vertical="center"/>
      <protection locked="0"/>
    </xf>
    <xf numFmtId="0" fontId="61" fillId="9" borderId="68" xfId="0" applyFont="1" applyFill="1" applyBorder="1" applyAlignment="1" applyProtection="1">
      <alignment horizontal="left" vertical="center"/>
      <protection locked="0"/>
    </xf>
    <xf numFmtId="0" fontId="61" fillId="9" borderId="67" xfId="0" applyFont="1" applyFill="1" applyBorder="1" applyAlignment="1" applyProtection="1">
      <alignment horizontal="left" vertical="center"/>
      <protection locked="0"/>
    </xf>
    <xf numFmtId="0" fontId="61" fillId="0" borderId="34" xfId="0" applyFont="1" applyBorder="1" applyAlignment="1" applyProtection="1">
      <alignment vertical="center"/>
      <protection locked="0"/>
    </xf>
    <xf numFmtId="0" fontId="61" fillId="9" borderId="128" xfId="0" applyFont="1" applyFill="1" applyBorder="1" applyAlignment="1" applyProtection="1">
      <alignment horizontal="center" vertical="center"/>
      <protection locked="0"/>
    </xf>
    <xf numFmtId="0" fontId="61" fillId="0" borderId="131" xfId="0" applyFont="1" applyBorder="1" applyAlignment="1" applyProtection="1">
      <alignment vertical="center"/>
      <protection locked="0"/>
    </xf>
    <xf numFmtId="0" fontId="61" fillId="0" borderId="132" xfId="0" applyFont="1" applyBorder="1" applyAlignment="1" applyProtection="1">
      <alignment vertical="center"/>
      <protection locked="0"/>
    </xf>
    <xf numFmtId="0" fontId="61" fillId="0" borderId="127" xfId="0" applyFont="1" applyBorder="1" applyAlignment="1" applyProtection="1">
      <alignment vertical="center"/>
      <protection locked="0"/>
    </xf>
    <xf numFmtId="177" fontId="61" fillId="9" borderId="35" xfId="0" applyNumberFormat="1" applyFont="1" applyFill="1" applyBorder="1" applyAlignment="1" applyProtection="1">
      <alignment vertical="center" shrinkToFit="1"/>
      <protection locked="0"/>
    </xf>
    <xf numFmtId="177" fontId="61" fillId="9" borderId="128" xfId="0" applyNumberFormat="1" applyFont="1" applyFill="1" applyBorder="1" applyAlignment="1" applyProtection="1">
      <alignment vertical="center" shrinkToFit="1"/>
      <protection locked="0"/>
    </xf>
    <xf numFmtId="0" fontId="61" fillId="4" borderId="28" xfId="0" applyFont="1" applyFill="1" applyBorder="1" applyAlignment="1" applyProtection="1">
      <alignment horizontal="center" vertical="center"/>
      <protection locked="0"/>
    </xf>
    <xf numFmtId="0" fontId="61" fillId="0" borderId="28" xfId="0" applyFont="1" applyBorder="1" applyAlignment="1" applyProtection="1">
      <alignment vertical="center"/>
      <protection locked="0"/>
    </xf>
    <xf numFmtId="0" fontId="56" fillId="0" borderId="49"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125" xfId="0" applyFont="1" applyBorder="1" applyAlignment="1" applyProtection="1">
      <alignment horizontal="center" vertical="center"/>
      <protection locked="0"/>
    </xf>
    <xf numFmtId="0" fontId="56" fillId="0" borderId="116" xfId="0" applyFont="1" applyBorder="1" applyAlignment="1" applyProtection="1">
      <alignment vertical="center"/>
      <protection locked="0"/>
    </xf>
    <xf numFmtId="0" fontId="56" fillId="0" borderId="59" xfId="0" applyFont="1" applyBorder="1" applyAlignment="1" applyProtection="1">
      <alignment vertical="center"/>
      <protection locked="0"/>
    </xf>
    <xf numFmtId="0" fontId="56" fillId="0" borderId="115" xfId="0" applyFont="1" applyBorder="1" applyAlignment="1" applyProtection="1">
      <alignment vertical="center"/>
      <protection locked="0"/>
    </xf>
    <xf numFmtId="0" fontId="56" fillId="0" borderId="31" xfId="0" applyFont="1" applyBorder="1" applyAlignment="1" applyProtection="1">
      <alignment vertical="center"/>
      <protection locked="0"/>
    </xf>
    <xf numFmtId="0" fontId="56" fillId="0" borderId="29" xfId="0" applyFont="1" applyBorder="1" applyAlignment="1" applyProtection="1">
      <alignment vertical="center"/>
      <protection locked="0"/>
    </xf>
    <xf numFmtId="0" fontId="56" fillId="0" borderId="30" xfId="0" applyFont="1" applyBorder="1" applyAlignment="1" applyProtection="1">
      <alignment vertical="center"/>
      <protection locked="0"/>
    </xf>
    <xf numFmtId="0" fontId="56" fillId="0" borderId="30" xfId="0" applyFont="1" applyBorder="1" applyAlignment="1" applyProtection="1">
      <alignment vertical="center" shrinkToFit="1"/>
      <protection locked="0"/>
    </xf>
    <xf numFmtId="0" fontId="56" fillId="9" borderId="31" xfId="0" applyFont="1" applyFill="1" applyBorder="1" applyAlignment="1" applyProtection="1">
      <alignment vertical="center"/>
      <protection locked="0"/>
    </xf>
    <xf numFmtId="0" fontId="56" fillId="0" borderId="2" xfId="0" applyFont="1" applyBorder="1" applyAlignment="1" applyProtection="1">
      <alignment vertical="center"/>
      <protection locked="0"/>
    </xf>
    <xf numFmtId="0" fontId="56" fillId="0" borderId="129" xfId="0" applyFont="1" applyBorder="1" applyAlignment="1" applyProtection="1">
      <alignment horizontal="center" vertical="center"/>
      <protection locked="0"/>
    </xf>
    <xf numFmtId="0" fontId="56" fillId="0" borderId="57" xfId="0" applyFont="1" applyBorder="1" applyAlignment="1" applyProtection="1">
      <alignment vertical="center"/>
      <protection locked="0"/>
    </xf>
    <xf numFmtId="0" fontId="56" fillId="0" borderId="59" xfId="0" applyFont="1" applyBorder="1" applyAlignment="1" applyProtection="1">
      <alignment horizontal="left" vertical="center"/>
      <protection locked="0"/>
    </xf>
    <xf numFmtId="0" fontId="56" fillId="0" borderId="57" xfId="0" applyFont="1" applyBorder="1" applyAlignment="1" applyProtection="1">
      <alignment horizontal="center" vertical="center" shrinkToFit="1"/>
      <protection locked="0"/>
    </xf>
    <xf numFmtId="0" fontId="56" fillId="0" borderId="32" xfId="0" applyFont="1" applyBorder="1" applyAlignment="1" applyProtection="1">
      <alignment horizontal="left" vertical="center"/>
      <protection locked="0"/>
    </xf>
    <xf numFmtId="0" fontId="56" fillId="9" borderId="117" xfId="0" applyFont="1" applyFill="1" applyBorder="1" applyAlignment="1" applyProtection="1">
      <alignment horizontal="left" vertical="center"/>
      <protection locked="0"/>
    </xf>
    <xf numFmtId="0" fontId="56" fillId="9" borderId="118" xfId="0" applyFont="1" applyFill="1" applyBorder="1" applyAlignment="1" applyProtection="1">
      <alignment horizontal="left" vertical="center"/>
      <protection locked="0"/>
    </xf>
    <xf numFmtId="0" fontId="56" fillId="0" borderId="17" xfId="0" applyFont="1" applyBorder="1" applyAlignment="1" applyProtection="1">
      <alignment vertical="center"/>
      <protection locked="0"/>
    </xf>
    <xf numFmtId="0" fontId="56" fillId="0" borderId="60" xfId="0" applyFont="1" applyBorder="1" applyAlignment="1" applyProtection="1">
      <alignment horizontal="center" vertical="center"/>
      <protection locked="0"/>
    </xf>
    <xf numFmtId="0" fontId="56" fillId="0" borderId="33" xfId="0" applyFont="1" applyBorder="1" applyAlignment="1" applyProtection="1">
      <alignment horizontal="center" vertical="center" shrinkToFit="1"/>
      <protection locked="0"/>
    </xf>
    <xf numFmtId="0" fontId="56" fillId="0" borderId="129" xfId="0" applyFont="1" applyBorder="1" applyAlignment="1" applyProtection="1">
      <alignment horizontal="center" vertical="center" shrinkToFit="1"/>
      <protection locked="0"/>
    </xf>
    <xf numFmtId="0" fontId="56" fillId="0" borderId="0" xfId="0" applyFont="1" applyAlignment="1" applyProtection="1">
      <alignment horizontal="left" vertical="center"/>
      <protection locked="0"/>
    </xf>
    <xf numFmtId="0" fontId="56" fillId="9" borderId="115" xfId="0" applyFont="1" applyFill="1" applyBorder="1" applyAlignment="1" applyProtection="1">
      <alignment horizontal="left" vertical="center"/>
      <protection locked="0"/>
    </xf>
    <xf numFmtId="0" fontId="56" fillId="9" borderId="57" xfId="0" applyFont="1" applyFill="1" applyBorder="1" applyAlignment="1" applyProtection="1">
      <alignment horizontal="left" vertical="center"/>
      <protection locked="0"/>
    </xf>
    <xf numFmtId="0" fontId="56" fillId="0" borderId="1" xfId="0" applyFont="1" applyBorder="1" applyAlignment="1" applyProtection="1">
      <alignment vertical="center"/>
      <protection locked="0"/>
    </xf>
    <xf numFmtId="0" fontId="56" fillId="0" borderId="63" xfId="0" applyFont="1" applyBorder="1" applyAlignment="1" applyProtection="1">
      <alignment vertical="center"/>
      <protection locked="0"/>
    </xf>
    <xf numFmtId="0" fontId="56" fillId="0" borderId="133" xfId="0" applyFont="1" applyBorder="1" applyAlignment="1" applyProtection="1">
      <alignment horizontal="center" vertical="center"/>
      <protection locked="0"/>
    </xf>
    <xf numFmtId="0" fontId="56" fillId="0" borderId="52" xfId="0" applyFont="1" applyBorder="1" applyAlignment="1" applyProtection="1">
      <alignment horizontal="center" vertical="center" shrinkToFit="1"/>
      <protection locked="0"/>
    </xf>
    <xf numFmtId="0" fontId="56" fillId="0" borderId="64" xfId="0" applyFont="1" applyBorder="1" applyAlignment="1" applyProtection="1">
      <alignment horizontal="center" vertical="center" shrinkToFit="1"/>
      <protection locked="0"/>
    </xf>
    <xf numFmtId="0" fontId="56" fillId="0" borderId="34" xfId="0" applyFont="1" applyBorder="1" applyAlignment="1" applyProtection="1">
      <alignment horizontal="center" vertical="center" shrinkToFit="1"/>
      <protection locked="0"/>
    </xf>
    <xf numFmtId="0" fontId="56" fillId="0" borderId="128"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protection locked="0"/>
    </xf>
    <xf numFmtId="0" fontId="56" fillId="0" borderId="8" xfId="0" applyFont="1" applyBorder="1" applyAlignment="1" applyProtection="1">
      <alignment horizontal="center" vertical="center" shrinkToFit="1"/>
      <protection locked="0"/>
    </xf>
    <xf numFmtId="0" fontId="56" fillId="0" borderId="136" xfId="0" applyFont="1" applyBorder="1" applyAlignment="1" applyProtection="1">
      <alignment vertical="center"/>
      <protection locked="0"/>
    </xf>
    <xf numFmtId="0" fontId="56" fillId="0" borderId="120" xfId="0" applyFont="1" applyBorder="1" applyAlignment="1" applyProtection="1">
      <alignment vertical="center"/>
      <protection locked="0"/>
    </xf>
    <xf numFmtId="0" fontId="56" fillId="0" borderId="123" xfId="0" applyFont="1" applyBorder="1" applyAlignment="1" applyProtection="1">
      <alignment vertical="center"/>
      <protection locked="0"/>
    </xf>
    <xf numFmtId="0" fontId="56" fillId="0" borderId="119" xfId="0" applyFont="1" applyBorder="1" applyAlignment="1" applyProtection="1">
      <alignment vertical="center"/>
      <protection locked="0"/>
    </xf>
    <xf numFmtId="0" fontId="56" fillId="0" borderId="125" xfId="0" applyFont="1" applyBorder="1" applyAlignment="1" applyProtection="1">
      <alignment vertical="center"/>
      <protection locked="0"/>
    </xf>
    <xf numFmtId="0" fontId="56" fillId="0" borderId="137" xfId="0" applyFont="1" applyBorder="1" applyAlignment="1" applyProtection="1">
      <alignment vertical="center"/>
      <protection locked="0"/>
    </xf>
    <xf numFmtId="0" fontId="56" fillId="0" borderId="138" xfId="0" applyFont="1" applyBorder="1" applyAlignment="1" applyProtection="1">
      <alignment vertical="center"/>
      <protection locked="0"/>
    </xf>
    <xf numFmtId="0" fontId="56" fillId="9" borderId="119" xfId="0" applyFont="1" applyFill="1" applyBorder="1" applyAlignment="1" applyProtection="1">
      <alignment vertical="center"/>
      <protection locked="0"/>
    </xf>
    <xf numFmtId="0" fontId="56" fillId="9" borderId="124" xfId="0" applyFont="1" applyFill="1" applyBorder="1" applyAlignment="1" applyProtection="1">
      <alignment vertical="center"/>
      <protection locked="0"/>
    </xf>
    <xf numFmtId="0" fontId="56" fillId="0" borderId="135" xfId="0" applyFont="1" applyBorder="1" applyAlignment="1" applyProtection="1">
      <alignment vertical="center"/>
      <protection locked="0"/>
    </xf>
    <xf numFmtId="0" fontId="56" fillId="0" borderId="66" xfId="0" applyFont="1" applyBorder="1" applyAlignment="1" applyProtection="1">
      <alignment vertical="center"/>
      <protection locked="0"/>
    </xf>
    <xf numFmtId="0" fontId="56" fillId="0" borderId="117" xfId="0" applyFont="1" applyBorder="1" applyAlignment="1" applyProtection="1">
      <alignment vertical="center"/>
      <protection locked="0"/>
    </xf>
    <xf numFmtId="0" fontId="56" fillId="0" borderId="130" xfId="0" applyFont="1" applyBorder="1" applyAlignment="1" applyProtection="1">
      <alignment vertical="center"/>
      <protection locked="0"/>
    </xf>
    <xf numFmtId="0" fontId="56" fillId="0" borderId="33" xfId="0" applyFont="1" applyBorder="1" applyAlignment="1" applyProtection="1">
      <alignment vertical="center"/>
      <protection locked="0"/>
    </xf>
    <xf numFmtId="0" fontId="56" fillId="0" borderId="129" xfId="0" applyFont="1" applyBorder="1" applyAlignment="1" applyProtection="1">
      <alignment vertical="center"/>
      <protection locked="0"/>
    </xf>
    <xf numFmtId="0" fontId="56" fillId="0" borderId="139" xfId="0" applyFont="1" applyBorder="1" applyAlignment="1" applyProtection="1">
      <alignment vertical="center"/>
      <protection locked="0"/>
    </xf>
    <xf numFmtId="0" fontId="56" fillId="0" borderId="140" xfId="0" applyFont="1" applyBorder="1" applyAlignment="1" applyProtection="1">
      <alignment vertical="center"/>
      <protection locked="0"/>
    </xf>
    <xf numFmtId="0" fontId="56" fillId="9" borderId="33" xfId="0" applyFont="1" applyFill="1" applyBorder="1" applyAlignment="1" applyProtection="1">
      <alignment vertical="center"/>
      <protection locked="0"/>
    </xf>
    <xf numFmtId="0" fontId="56" fillId="9" borderId="18" xfId="0" applyFont="1" applyFill="1" applyBorder="1" applyAlignment="1" applyProtection="1">
      <alignment vertical="center"/>
      <protection locked="0"/>
    </xf>
    <xf numFmtId="0" fontId="56" fillId="9" borderId="129" xfId="0" applyFont="1" applyFill="1" applyBorder="1" applyAlignment="1" applyProtection="1">
      <alignment vertical="center"/>
      <protection locked="0"/>
    </xf>
    <xf numFmtId="182" fontId="56" fillId="0" borderId="33" xfId="0" applyNumberFormat="1" applyFont="1" applyBorder="1" applyAlignment="1" applyProtection="1">
      <alignment vertical="center"/>
      <protection locked="0"/>
    </xf>
    <xf numFmtId="0" fontId="56" fillId="0" borderId="8" xfId="0" applyFont="1" applyBorder="1" applyAlignment="1" applyProtection="1">
      <alignment vertical="center"/>
      <protection locked="0"/>
    </xf>
    <xf numFmtId="0" fontId="56" fillId="0" borderId="19" xfId="0" applyFont="1" applyBorder="1" applyAlignment="1" applyProtection="1">
      <alignment vertical="center"/>
      <protection locked="0"/>
    </xf>
    <xf numFmtId="0" fontId="56" fillId="0" borderId="13" xfId="0" applyFont="1" applyBorder="1" applyAlignment="1" applyProtection="1">
      <alignment vertical="center"/>
      <protection locked="0"/>
    </xf>
    <xf numFmtId="0" fontId="56" fillId="0" borderId="51" xfId="0" applyFont="1" applyBorder="1" applyAlignment="1" applyProtection="1">
      <alignment vertical="center"/>
      <protection locked="0"/>
    </xf>
    <xf numFmtId="0" fontId="56" fillId="0" borderId="130" xfId="0" applyFont="1" applyBorder="1" applyAlignment="1" applyProtection="1">
      <alignment horizontal="center" vertical="center"/>
      <protection locked="0"/>
    </xf>
    <xf numFmtId="0" fontId="56" fillId="9" borderId="130" xfId="0" applyFont="1" applyFill="1" applyBorder="1" applyAlignment="1" applyProtection="1">
      <alignment vertical="center"/>
      <protection locked="0"/>
    </xf>
    <xf numFmtId="0" fontId="56" fillId="9" borderId="66" xfId="0" applyFont="1" applyFill="1" applyBorder="1" applyAlignment="1" applyProtection="1">
      <alignment vertical="center"/>
      <protection locked="0"/>
    </xf>
    <xf numFmtId="0" fontId="56" fillId="0" borderId="52" xfId="0" applyFont="1" applyBorder="1" applyAlignment="1" applyProtection="1">
      <alignment vertical="center"/>
      <protection locked="0"/>
    </xf>
    <xf numFmtId="0" fontId="56" fillId="0" borderId="18" xfId="0" applyFont="1" applyBorder="1" applyAlignment="1" applyProtection="1">
      <alignment vertical="center"/>
      <protection locked="0"/>
    </xf>
    <xf numFmtId="0" fontId="56" fillId="0" borderId="8" xfId="0" applyFont="1" applyBorder="1" applyAlignment="1" applyProtection="1">
      <alignment vertical="center" wrapText="1"/>
      <protection locked="0"/>
    </xf>
    <xf numFmtId="0" fontId="56" fillId="0" borderId="6" xfId="0" applyFont="1" applyBorder="1" applyAlignment="1" applyProtection="1">
      <alignment vertical="center"/>
      <protection locked="0"/>
    </xf>
    <xf numFmtId="0" fontId="56" fillId="0" borderId="141" xfId="0" applyFont="1" applyBorder="1" applyAlignment="1" applyProtection="1">
      <alignment vertical="center"/>
      <protection locked="0"/>
    </xf>
    <xf numFmtId="0" fontId="56" fillId="0" borderId="19" xfId="0" applyFont="1" applyBorder="1" applyAlignment="1" applyProtection="1">
      <alignment horizontal="left" vertical="center"/>
      <protection locked="0"/>
    </xf>
    <xf numFmtId="0" fontId="56" fillId="0" borderId="18" xfId="0" applyFont="1" applyBorder="1" applyAlignment="1" applyProtection="1">
      <alignment horizontal="left" vertical="center"/>
      <protection locked="0"/>
    </xf>
    <xf numFmtId="0" fontId="56" fillId="0" borderId="142" xfId="0" applyFont="1" applyBorder="1" applyAlignment="1" applyProtection="1">
      <alignment vertical="center"/>
      <protection locked="0"/>
    </xf>
    <xf numFmtId="0" fontId="56" fillId="9" borderId="16" xfId="0" applyFont="1" applyFill="1" applyBorder="1" applyAlignment="1" applyProtection="1">
      <alignment vertical="center"/>
      <protection locked="0"/>
    </xf>
    <xf numFmtId="0" fontId="56" fillId="9" borderId="52" xfId="0" applyFont="1" applyFill="1" applyBorder="1" applyAlignment="1" applyProtection="1">
      <alignment vertical="center"/>
      <protection locked="0"/>
    </xf>
    <xf numFmtId="0" fontId="56" fillId="9" borderId="64" xfId="0" applyFont="1" applyFill="1" applyBorder="1" applyAlignment="1" applyProtection="1">
      <alignment vertical="center"/>
      <protection locked="0"/>
    </xf>
    <xf numFmtId="0" fontId="56" fillId="0" borderId="143" xfId="0" applyFont="1" applyBorder="1" applyAlignment="1" applyProtection="1">
      <alignment vertical="center"/>
      <protection locked="0"/>
    </xf>
    <xf numFmtId="0" fontId="56" fillId="9" borderId="8" xfId="0" applyFont="1" applyFill="1" applyBorder="1" applyAlignment="1" applyProtection="1">
      <alignment vertical="center"/>
      <protection locked="0"/>
    </xf>
    <xf numFmtId="0" fontId="56" fillId="0" borderId="13" xfId="0" applyFont="1" applyBorder="1" applyAlignment="1" applyProtection="1">
      <alignment vertical="center" wrapText="1"/>
      <protection locked="0"/>
    </xf>
    <xf numFmtId="0" fontId="56" fillId="0" borderId="5" xfId="0" applyFont="1" applyBorder="1" applyAlignment="1" applyProtection="1">
      <alignment vertical="center"/>
      <protection locked="0"/>
    </xf>
    <xf numFmtId="0" fontId="56" fillId="0" borderId="14" xfId="0" applyFont="1" applyBorder="1" applyAlignment="1" applyProtection="1">
      <alignment vertical="center"/>
      <protection locked="0"/>
    </xf>
    <xf numFmtId="0" fontId="56" fillId="0" borderId="144" xfId="0" applyFont="1" applyBorder="1" applyAlignment="1" applyProtection="1">
      <alignment vertical="center"/>
      <protection locked="0"/>
    </xf>
    <xf numFmtId="0" fontId="56" fillId="9" borderId="51" xfId="0" applyFont="1" applyFill="1" applyBorder="1" applyAlignment="1" applyProtection="1">
      <alignment vertical="center"/>
      <protection locked="0"/>
    </xf>
    <xf numFmtId="0" fontId="56" fillId="9" borderId="60" xfId="0" applyFont="1" applyFill="1" applyBorder="1" applyAlignment="1" applyProtection="1">
      <alignment vertical="center"/>
      <protection locked="0"/>
    </xf>
    <xf numFmtId="0" fontId="56" fillId="0" borderId="145" xfId="0" applyFont="1" applyBorder="1" applyAlignment="1" applyProtection="1">
      <alignment vertical="center"/>
      <protection locked="0"/>
    </xf>
    <xf numFmtId="0" fontId="56" fillId="0" borderId="19" xfId="0" applyFont="1" applyBorder="1" applyAlignment="1" applyProtection="1">
      <alignment horizontal="center" vertical="center"/>
      <protection locked="0"/>
    </xf>
    <xf numFmtId="0" fontId="56" fillId="0" borderId="13" xfId="0" applyFont="1" applyBorder="1" applyAlignment="1" applyProtection="1">
      <alignment horizontal="left" vertical="center"/>
      <protection locked="0"/>
    </xf>
    <xf numFmtId="0" fontId="56" fillId="0" borderId="8" xfId="0" applyFont="1" applyBorder="1" applyAlignment="1" applyProtection="1">
      <alignment horizontal="left" vertical="center"/>
      <protection locked="0"/>
    </xf>
    <xf numFmtId="0" fontId="56" fillId="0" borderId="16" xfId="0" applyFont="1" applyBorder="1" applyAlignment="1" applyProtection="1">
      <alignment vertical="center"/>
      <protection locked="0"/>
    </xf>
    <xf numFmtId="0" fontId="56" fillId="9" borderId="6" xfId="0" applyFont="1" applyFill="1" applyBorder="1" applyAlignment="1" applyProtection="1">
      <alignment vertical="center"/>
      <protection locked="0"/>
    </xf>
    <xf numFmtId="0" fontId="56" fillId="9" borderId="14" xfId="0" applyFont="1" applyFill="1" applyBorder="1" applyAlignment="1" applyProtection="1">
      <alignment vertical="center"/>
      <protection locked="0"/>
    </xf>
    <xf numFmtId="0" fontId="56" fillId="9" borderId="17" xfId="0" applyFont="1" applyFill="1" applyBorder="1" applyAlignment="1" applyProtection="1">
      <alignment vertical="center"/>
      <protection locked="0"/>
    </xf>
    <xf numFmtId="0" fontId="56" fillId="0" borderId="146" xfId="0" applyFont="1" applyBorder="1" applyAlignment="1" applyProtection="1">
      <alignment vertical="center"/>
      <protection locked="0"/>
    </xf>
    <xf numFmtId="0" fontId="56" fillId="0" borderId="53" xfId="0" applyFont="1" applyBorder="1" applyAlignment="1" applyProtection="1">
      <alignment vertical="center"/>
      <protection locked="0"/>
    </xf>
    <xf numFmtId="0" fontId="56" fillId="0" borderId="133" xfId="0" applyFont="1" applyBorder="1" applyAlignment="1" applyProtection="1">
      <alignment vertical="center"/>
      <protection locked="0"/>
    </xf>
    <xf numFmtId="0" fontId="56" fillId="0" borderId="34" xfId="0" applyFont="1" applyBorder="1" applyAlignment="1" applyProtection="1">
      <alignment vertical="center"/>
      <protection locked="0"/>
    </xf>
    <xf numFmtId="0" fontId="56" fillId="9" borderId="128" xfId="0" applyFont="1" applyFill="1" applyBorder="1" applyAlignment="1" applyProtection="1">
      <alignment vertical="center"/>
      <protection locked="0"/>
    </xf>
    <xf numFmtId="0" fontId="56" fillId="9" borderId="34" xfId="0" applyFont="1" applyFill="1" applyBorder="1" applyAlignment="1" applyProtection="1">
      <alignment vertical="center"/>
      <protection locked="0"/>
    </xf>
    <xf numFmtId="0" fontId="56" fillId="0" borderId="147" xfId="0" applyFont="1" applyBorder="1" applyAlignment="1" applyProtection="1">
      <alignment vertical="center"/>
      <protection locked="0"/>
    </xf>
    <xf numFmtId="0" fontId="56" fillId="9" borderId="35" xfId="0" applyFont="1" applyFill="1" applyBorder="1" applyAlignment="1" applyProtection="1">
      <alignment vertical="center"/>
      <protection locked="0"/>
    </xf>
    <xf numFmtId="0" fontId="56" fillId="0" borderId="132" xfId="0" applyFont="1" applyBorder="1" applyAlignment="1" applyProtection="1">
      <alignment vertical="center"/>
      <protection locked="0"/>
    </xf>
    <xf numFmtId="0" fontId="56" fillId="0" borderId="55" xfId="0" applyFont="1" applyBorder="1" applyAlignment="1" applyProtection="1">
      <alignment vertical="center"/>
      <protection locked="0"/>
    </xf>
    <xf numFmtId="0" fontId="68" fillId="0" borderId="25" xfId="0" applyFont="1" applyBorder="1" applyAlignment="1" applyProtection="1">
      <alignment vertical="center"/>
      <protection locked="0"/>
    </xf>
    <xf numFmtId="0" fontId="56" fillId="0" borderId="25" xfId="0" applyFont="1" applyBorder="1" applyAlignment="1" applyProtection="1">
      <alignment vertical="center"/>
      <protection locked="0"/>
    </xf>
    <xf numFmtId="0" fontId="56" fillId="9" borderId="119" xfId="0" applyFont="1" applyFill="1" applyBorder="1" applyAlignment="1" applyProtection="1">
      <alignment horizontal="left" vertical="center"/>
      <protection locked="0"/>
    </xf>
    <xf numFmtId="0" fontId="56" fillId="9" borderId="125" xfId="0" applyFont="1" applyFill="1" applyBorder="1" applyAlignment="1" applyProtection="1">
      <alignment horizontal="left" vertical="center"/>
      <protection locked="0"/>
    </xf>
    <xf numFmtId="0" fontId="56" fillId="0" borderId="148" xfId="0" applyFont="1" applyBorder="1" applyAlignment="1" applyProtection="1">
      <alignment vertical="center"/>
      <protection locked="0"/>
    </xf>
    <xf numFmtId="0" fontId="56" fillId="0" borderId="149" xfId="0" applyFont="1" applyBorder="1" applyAlignment="1" applyProtection="1">
      <alignment vertical="center"/>
      <protection locked="0"/>
    </xf>
    <xf numFmtId="0" fontId="56" fillId="0" borderId="150" xfId="0" applyFont="1" applyBorder="1" applyAlignment="1" applyProtection="1">
      <alignment vertical="center"/>
      <protection locked="0"/>
    </xf>
    <xf numFmtId="0" fontId="68" fillId="0" borderId="117" xfId="0" applyFont="1" applyBorder="1" applyAlignment="1" applyProtection="1">
      <alignment vertical="center"/>
      <protection locked="0"/>
    </xf>
    <xf numFmtId="0" fontId="56" fillId="0" borderId="118" xfId="0" applyFont="1" applyBorder="1" applyAlignment="1" applyProtection="1">
      <alignment vertical="center"/>
      <protection locked="0"/>
    </xf>
    <xf numFmtId="0" fontId="56" fillId="9" borderId="33" xfId="0" applyFont="1" applyFill="1" applyBorder="1" applyAlignment="1" applyProtection="1">
      <alignment horizontal="left" vertical="center"/>
      <protection locked="0"/>
    </xf>
    <xf numFmtId="0" fontId="56" fillId="9" borderId="129" xfId="0" applyFont="1" applyFill="1" applyBorder="1" applyAlignment="1" applyProtection="1">
      <alignment horizontal="left" vertical="center"/>
      <protection locked="0"/>
    </xf>
    <xf numFmtId="0" fontId="56" fillId="0" borderId="151" xfId="0" applyFont="1" applyBorder="1" applyAlignment="1" applyProtection="1">
      <alignment vertical="center"/>
      <protection locked="0"/>
    </xf>
    <xf numFmtId="0" fontId="56" fillId="0" borderId="152" xfId="0" applyFont="1" applyBorder="1" applyAlignment="1" applyProtection="1">
      <alignment vertical="center"/>
      <protection locked="0"/>
    </xf>
    <xf numFmtId="0" fontId="56" fillId="0" borderId="153" xfId="0" applyFont="1" applyBorder="1" applyAlignment="1" applyProtection="1">
      <alignment vertical="center"/>
      <protection locked="0"/>
    </xf>
    <xf numFmtId="0" fontId="56" fillId="0" borderId="62" xfId="0" applyFont="1" applyBorder="1" applyAlignment="1" applyProtection="1">
      <alignment vertical="center"/>
      <protection locked="0"/>
    </xf>
    <xf numFmtId="0" fontId="68" fillId="0" borderId="1" xfId="0" applyFont="1" applyBorder="1" applyAlignment="1" applyProtection="1">
      <alignment vertical="center"/>
      <protection locked="0"/>
    </xf>
    <xf numFmtId="0" fontId="56" fillId="0" borderId="68" xfId="0" applyFont="1" applyBorder="1" applyAlignment="1" applyProtection="1">
      <alignment vertical="center"/>
      <protection locked="0"/>
    </xf>
    <xf numFmtId="0" fontId="56" fillId="0" borderId="67" xfId="0" applyFont="1" applyBorder="1" applyAlignment="1" applyProtection="1">
      <alignment vertical="center"/>
      <protection locked="0"/>
    </xf>
    <xf numFmtId="0" fontId="56" fillId="9" borderId="34" xfId="0" applyFont="1" applyFill="1" applyBorder="1" applyAlignment="1" applyProtection="1">
      <alignment horizontal="left" vertical="center"/>
      <protection locked="0"/>
    </xf>
    <xf numFmtId="0" fontId="56" fillId="9" borderId="128" xfId="0" applyFont="1" applyFill="1" applyBorder="1" applyAlignment="1" applyProtection="1">
      <alignment horizontal="left" vertical="center"/>
      <protection locked="0"/>
    </xf>
    <xf numFmtId="0" fontId="56" fillId="0" borderId="154" xfId="0" applyFont="1" applyBorder="1" applyAlignment="1" applyProtection="1">
      <alignment vertical="center"/>
      <protection locked="0"/>
    </xf>
    <xf numFmtId="0" fontId="56" fillId="0" borderId="155" xfId="0" applyFont="1" applyBorder="1" applyAlignment="1" applyProtection="1">
      <alignment vertical="center"/>
      <protection locked="0"/>
    </xf>
    <xf numFmtId="0" fontId="56" fillId="0" borderId="156" xfId="0" applyFont="1" applyBorder="1" applyAlignment="1" applyProtection="1">
      <alignment vertical="center"/>
      <protection locked="0"/>
    </xf>
    <xf numFmtId="0" fontId="56" fillId="0" borderId="29" xfId="0" applyFont="1" applyBorder="1" applyAlignment="1" applyProtection="1">
      <alignment horizontal="left" vertical="center"/>
      <protection locked="0"/>
    </xf>
    <xf numFmtId="0" fontId="56" fillId="0" borderId="124" xfId="0" applyFont="1" applyBorder="1" applyAlignment="1" applyProtection="1">
      <alignment vertical="center"/>
      <protection locked="0"/>
    </xf>
    <xf numFmtId="0" fontId="56" fillId="0" borderId="124" xfId="0" applyFont="1" applyBorder="1" applyAlignment="1" applyProtection="1">
      <alignment horizontal="left" vertical="center"/>
      <protection locked="0"/>
    </xf>
    <xf numFmtId="0" fontId="56" fillId="0" borderId="125" xfId="0" applyFont="1" applyBorder="1" applyAlignment="1" applyProtection="1">
      <alignment horizontal="left" vertical="center"/>
      <protection locked="0"/>
    </xf>
    <xf numFmtId="0" fontId="56" fillId="0" borderId="121" xfId="0" applyFont="1" applyBorder="1" applyAlignment="1" applyProtection="1">
      <alignment horizontal="center" vertical="center" shrinkToFit="1"/>
      <protection locked="0"/>
    </xf>
    <xf numFmtId="0" fontId="56" fillId="0" borderId="157" xfId="0" applyFont="1" applyBorder="1" applyAlignment="1" applyProtection="1">
      <alignment horizontal="center" vertical="center" shrinkToFit="1"/>
      <protection locked="0"/>
    </xf>
    <xf numFmtId="0" fontId="56" fillId="0" borderId="119" xfId="0" applyFont="1" applyBorder="1" applyAlignment="1" applyProtection="1">
      <alignment horizontal="center" vertical="center"/>
      <protection locked="0"/>
    </xf>
    <xf numFmtId="0" fontId="56" fillId="0" borderId="158" xfId="0" applyFont="1" applyBorder="1" applyAlignment="1" applyProtection="1">
      <alignment horizontal="center" vertical="center" shrinkToFit="1"/>
      <protection locked="0"/>
    </xf>
    <xf numFmtId="0" fontId="56" fillId="0" borderId="159" xfId="0" applyFont="1" applyBorder="1" applyAlignment="1" applyProtection="1">
      <alignment horizontal="center" vertical="center" shrinkToFit="1"/>
      <protection locked="0"/>
    </xf>
    <xf numFmtId="0" fontId="56" fillId="0" borderId="160" xfId="0" applyFont="1" applyBorder="1" applyAlignment="1" applyProtection="1">
      <alignment vertical="top"/>
      <protection locked="0"/>
    </xf>
    <xf numFmtId="0" fontId="56" fillId="9" borderId="9" xfId="0" applyFont="1" applyFill="1" applyBorder="1" applyAlignment="1" applyProtection="1">
      <alignment vertical="center"/>
      <protection locked="0"/>
    </xf>
    <xf numFmtId="0" fontId="56" fillId="9" borderId="9" xfId="0" applyFont="1" applyFill="1" applyBorder="1" applyAlignment="1" applyProtection="1">
      <alignment horizontal="left" vertical="center"/>
      <protection locked="0"/>
    </xf>
    <xf numFmtId="0" fontId="56" fillId="9" borderId="161" xfId="0" applyFont="1" applyFill="1" applyBorder="1" applyAlignment="1" applyProtection="1">
      <alignment horizontal="left" vertical="center"/>
      <protection locked="0"/>
    </xf>
    <xf numFmtId="0" fontId="56" fillId="0" borderId="137" xfId="0" applyFont="1" applyBorder="1" applyAlignment="1" applyProtection="1">
      <alignment horizontal="left" vertical="center"/>
      <protection locked="0"/>
    </xf>
    <xf numFmtId="0" fontId="56" fillId="0" borderId="138" xfId="0" applyFont="1" applyBorder="1" applyAlignment="1" applyProtection="1">
      <alignment horizontal="left" vertical="center"/>
      <protection locked="0"/>
    </xf>
    <xf numFmtId="0" fontId="56" fillId="9" borderId="160" xfId="0" applyFont="1" applyFill="1" applyBorder="1" applyAlignment="1" applyProtection="1">
      <alignment vertical="center"/>
      <protection locked="0"/>
    </xf>
    <xf numFmtId="0" fontId="56" fillId="0" borderId="162" xfId="0" applyFont="1" applyBorder="1" applyAlignment="1" applyProtection="1">
      <alignment vertical="center"/>
      <protection locked="0"/>
    </xf>
    <xf numFmtId="0" fontId="56" fillId="0" borderId="163" xfId="0" applyFont="1" applyBorder="1" applyAlignment="1" applyProtection="1">
      <alignment vertical="top"/>
      <protection locked="0"/>
    </xf>
    <xf numFmtId="0" fontId="56" fillId="9" borderId="12" xfId="0" applyFont="1" applyFill="1" applyBorder="1" applyAlignment="1" applyProtection="1">
      <alignment vertical="center"/>
      <protection locked="0"/>
    </xf>
    <xf numFmtId="0" fontId="56" fillId="9" borderId="12" xfId="0" applyFont="1" applyFill="1" applyBorder="1" applyAlignment="1" applyProtection="1">
      <alignment horizontal="left" vertical="center"/>
      <protection locked="0"/>
    </xf>
    <xf numFmtId="0" fontId="56" fillId="9" borderId="164" xfId="0" applyFont="1" applyFill="1" applyBorder="1" applyAlignment="1" applyProtection="1">
      <alignment horizontal="left" vertical="center"/>
      <protection locked="0"/>
    </xf>
    <xf numFmtId="0" fontId="56" fillId="0" borderId="139" xfId="0" applyFont="1" applyBorder="1" applyAlignment="1" applyProtection="1">
      <alignment horizontal="left" vertical="center"/>
      <protection locked="0"/>
    </xf>
    <xf numFmtId="0" fontId="56" fillId="0" borderId="140" xfId="0" applyFont="1" applyBorder="1" applyAlignment="1" applyProtection="1">
      <alignment horizontal="left" vertical="center"/>
      <protection locked="0"/>
    </xf>
    <xf numFmtId="0" fontId="56" fillId="9" borderId="163" xfId="0" applyFont="1" applyFill="1" applyBorder="1" applyAlignment="1" applyProtection="1">
      <alignment vertical="center"/>
      <protection locked="0"/>
    </xf>
    <xf numFmtId="0" fontId="56" fillId="0" borderId="165" xfId="0" applyFont="1" applyBorder="1" applyAlignment="1" applyProtection="1">
      <alignment vertical="center"/>
      <protection locked="0"/>
    </xf>
    <xf numFmtId="0" fontId="56" fillId="0" borderId="169" xfId="0" applyFont="1" applyBorder="1" applyAlignment="1" applyProtection="1">
      <alignment horizontal="left" vertical="center"/>
      <protection locked="0"/>
    </xf>
    <xf numFmtId="0" fontId="56" fillId="0" borderId="162" xfId="0" applyFont="1" applyBorder="1" applyAlignment="1" applyProtection="1">
      <alignment horizontal="left" vertical="center"/>
      <protection locked="0"/>
    </xf>
    <xf numFmtId="0" fontId="56" fillId="9" borderId="167" xfId="0" applyFont="1" applyFill="1" applyBorder="1" applyAlignment="1" applyProtection="1">
      <alignment vertical="center"/>
      <protection locked="0"/>
    </xf>
    <xf numFmtId="0" fontId="56" fillId="9" borderId="170" xfId="0" applyFont="1" applyFill="1" applyBorder="1" applyAlignment="1" applyProtection="1">
      <alignment horizontal="left" vertical="center"/>
      <protection locked="0"/>
    </xf>
    <xf numFmtId="0" fontId="56" fillId="0" borderId="171" xfId="0" applyFont="1" applyBorder="1" applyAlignment="1" applyProtection="1">
      <alignment horizontal="left" vertical="center"/>
      <protection locked="0"/>
    </xf>
    <xf numFmtId="0" fontId="56" fillId="0" borderId="144" xfId="0" applyFont="1" applyBorder="1" applyAlignment="1" applyProtection="1">
      <alignment horizontal="left" vertical="center"/>
      <protection locked="0"/>
    </xf>
    <xf numFmtId="0" fontId="56" fillId="9" borderId="166" xfId="0" applyFont="1" applyFill="1" applyBorder="1" applyAlignment="1" applyProtection="1">
      <alignment vertical="center"/>
      <protection locked="0"/>
    </xf>
    <xf numFmtId="0" fontId="56" fillId="0" borderId="168" xfId="0" applyFont="1" applyBorder="1" applyAlignment="1" applyProtection="1">
      <alignment vertical="center"/>
      <protection locked="0"/>
    </xf>
    <xf numFmtId="0" fontId="56" fillId="0" borderId="172" xfId="0" applyFont="1" applyBorder="1" applyAlignment="1" applyProtection="1">
      <alignment vertical="top"/>
      <protection locked="0"/>
    </xf>
    <xf numFmtId="0" fontId="56" fillId="9" borderId="15" xfId="0" applyFont="1" applyFill="1" applyBorder="1" applyAlignment="1" applyProtection="1">
      <alignment vertical="center"/>
      <protection locked="0"/>
    </xf>
    <xf numFmtId="0" fontId="56" fillId="9" borderId="15" xfId="0" applyFont="1" applyFill="1" applyBorder="1" applyAlignment="1" applyProtection="1">
      <alignment horizontal="left" vertical="center"/>
      <protection locked="0"/>
    </xf>
    <xf numFmtId="0" fontId="56" fillId="0" borderId="174" xfId="0" applyFont="1" applyBorder="1" applyAlignment="1" applyProtection="1">
      <alignment vertical="center"/>
      <protection locked="0"/>
    </xf>
    <xf numFmtId="0" fontId="56" fillId="9" borderId="161" xfId="0" applyFont="1" applyFill="1" applyBorder="1" applyAlignment="1" applyProtection="1">
      <alignment vertical="center"/>
      <protection locked="0"/>
    </xf>
    <xf numFmtId="0" fontId="56" fillId="0" borderId="165" xfId="0" applyFont="1" applyBorder="1" applyAlignment="1" applyProtection="1">
      <alignment horizontal="left" vertical="center"/>
      <protection locked="0"/>
    </xf>
    <xf numFmtId="0" fontId="56" fillId="0" borderId="175" xfId="0" applyFont="1" applyBorder="1" applyAlignment="1" applyProtection="1">
      <alignment vertical="center"/>
      <protection locked="0"/>
    </xf>
    <xf numFmtId="0" fontId="56" fillId="9" borderId="164" xfId="0" applyFont="1" applyFill="1" applyBorder="1" applyAlignment="1" applyProtection="1">
      <alignment vertical="center"/>
      <protection locked="0"/>
    </xf>
    <xf numFmtId="0" fontId="56" fillId="9" borderId="176" xfId="0" applyFont="1" applyFill="1" applyBorder="1" applyAlignment="1" applyProtection="1">
      <alignment vertical="center"/>
      <protection locked="0"/>
    </xf>
    <xf numFmtId="0" fontId="56" fillId="0" borderId="177" xfId="0" applyFont="1" applyBorder="1" applyAlignment="1" applyProtection="1">
      <alignment horizontal="left" vertical="center"/>
      <protection locked="0"/>
    </xf>
    <xf numFmtId="0" fontId="56" fillId="9" borderId="178" xfId="0" applyFont="1" applyFill="1" applyBorder="1" applyAlignment="1" applyProtection="1">
      <alignment vertical="center"/>
      <protection locked="0"/>
    </xf>
    <xf numFmtId="0" fontId="56" fillId="0" borderId="179" xfId="0" applyFont="1" applyBorder="1" applyAlignment="1" applyProtection="1">
      <alignment vertical="center"/>
      <protection locked="0"/>
    </xf>
    <xf numFmtId="0" fontId="56" fillId="9" borderId="180" xfId="0" applyFont="1" applyFill="1" applyBorder="1" applyAlignment="1" applyProtection="1">
      <alignment vertical="center"/>
      <protection locked="0"/>
    </xf>
    <xf numFmtId="0" fontId="56" fillId="0" borderId="173" xfId="0" applyFont="1" applyBorder="1" applyAlignment="1" applyProtection="1">
      <alignment horizontal="left" vertical="center"/>
      <protection locked="0"/>
    </xf>
    <xf numFmtId="0" fontId="56" fillId="9" borderId="172" xfId="0" applyFont="1" applyFill="1" applyBorder="1" applyAlignment="1" applyProtection="1">
      <alignment vertical="center"/>
      <protection locked="0"/>
    </xf>
    <xf numFmtId="0" fontId="56" fillId="0" borderId="181" xfId="0" applyFont="1" applyBorder="1" applyAlignment="1" applyProtection="1">
      <alignment vertical="center"/>
      <protection locked="0"/>
    </xf>
    <xf numFmtId="0" fontId="56" fillId="9" borderId="182" xfId="0" applyFont="1" applyFill="1" applyBorder="1" applyAlignment="1" applyProtection="1">
      <alignment vertical="center"/>
      <protection locked="0"/>
    </xf>
    <xf numFmtId="0" fontId="56" fillId="9" borderId="13" xfId="0" applyFont="1" applyFill="1" applyBorder="1" applyAlignment="1" applyProtection="1">
      <alignment vertical="center"/>
      <protection locked="0"/>
    </xf>
    <xf numFmtId="0" fontId="56" fillId="0" borderId="183" xfId="0" applyFont="1" applyBorder="1" applyAlignment="1" applyProtection="1">
      <alignment horizontal="left" vertical="center"/>
      <protection locked="0"/>
    </xf>
    <xf numFmtId="0" fontId="56" fillId="9" borderId="135" xfId="0" applyFont="1" applyFill="1" applyBorder="1" applyAlignment="1" applyProtection="1">
      <alignment vertical="center"/>
      <protection locked="0"/>
    </xf>
    <xf numFmtId="0" fontId="56" fillId="0" borderId="184" xfId="0" applyFont="1" applyBorder="1" applyAlignment="1" applyProtection="1">
      <alignment vertical="center"/>
      <protection locked="0"/>
    </xf>
    <xf numFmtId="0" fontId="56" fillId="9" borderId="65" xfId="0" applyFont="1" applyFill="1" applyBorder="1" applyAlignment="1" applyProtection="1">
      <alignment vertical="center"/>
      <protection locked="0"/>
    </xf>
    <xf numFmtId="0" fontId="56" fillId="0" borderId="173" xfId="0" applyFont="1" applyBorder="1" applyAlignment="1" applyProtection="1">
      <alignment vertical="center"/>
      <protection locked="0"/>
    </xf>
    <xf numFmtId="0" fontId="56" fillId="0" borderId="178" xfId="0" applyFont="1" applyBorder="1" applyAlignment="1" applyProtection="1">
      <alignment vertical="top"/>
      <protection locked="0"/>
    </xf>
    <xf numFmtId="0" fontId="56" fillId="0" borderId="185" xfId="0" applyFont="1" applyBorder="1" applyAlignment="1" applyProtection="1">
      <alignment horizontal="left" vertical="center"/>
      <protection locked="0"/>
    </xf>
    <xf numFmtId="0" fontId="56" fillId="0" borderId="142" xfId="0" applyFont="1" applyBorder="1" applyAlignment="1" applyProtection="1">
      <alignment horizontal="left" vertical="center"/>
      <protection locked="0"/>
    </xf>
    <xf numFmtId="0" fontId="56" fillId="9" borderId="186" xfId="0" applyFont="1" applyFill="1" applyBorder="1" applyAlignment="1" applyProtection="1">
      <alignment vertical="center"/>
      <protection locked="0"/>
    </xf>
    <xf numFmtId="0" fontId="56" fillId="0" borderId="187" xfId="0" applyFont="1" applyBorder="1" applyAlignment="1" applyProtection="1">
      <alignment vertical="center"/>
      <protection locked="0"/>
    </xf>
    <xf numFmtId="0" fontId="56" fillId="0" borderId="188" xfId="0" applyFont="1" applyBorder="1" applyAlignment="1" applyProtection="1">
      <alignment vertical="center"/>
      <protection locked="0"/>
    </xf>
    <xf numFmtId="0" fontId="56" fillId="0" borderId="24" xfId="0" applyFont="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60" xfId="0" applyFont="1" applyBorder="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Protection="1">
      <protection locked="0"/>
    </xf>
    <xf numFmtId="0" fontId="56" fillId="0" borderId="8" xfId="0" applyFont="1" applyBorder="1" applyAlignment="1" applyProtection="1">
      <alignment vertical="top"/>
      <protection locked="0"/>
    </xf>
    <xf numFmtId="0" fontId="56" fillId="0" borderId="66" xfId="0" applyFont="1" applyBorder="1" applyAlignment="1" applyProtection="1">
      <alignment vertical="top"/>
      <protection locked="0"/>
    </xf>
    <xf numFmtId="0" fontId="56" fillId="0" borderId="117" xfId="0" applyFont="1" applyBorder="1" applyAlignment="1" applyProtection="1">
      <alignment vertical="top"/>
      <protection locked="0"/>
    </xf>
    <xf numFmtId="0" fontId="56" fillId="0" borderId="118" xfId="0" applyFont="1" applyBorder="1" applyAlignment="1" applyProtection="1">
      <alignment vertical="top"/>
      <protection locked="0"/>
    </xf>
    <xf numFmtId="0" fontId="56" fillId="0" borderId="32" xfId="0" applyFont="1" applyBorder="1" applyAlignment="1" applyProtection="1">
      <alignment vertical="center"/>
      <protection locked="0"/>
    </xf>
    <xf numFmtId="0" fontId="56" fillId="0" borderId="13" xfId="0" applyFont="1" applyBorder="1" applyAlignment="1" applyProtection="1">
      <alignment vertical="top"/>
      <protection locked="0"/>
    </xf>
    <xf numFmtId="0" fontId="56" fillId="0" borderId="18" xfId="0" applyFont="1" applyBorder="1" applyAlignment="1" applyProtection="1">
      <alignment vertical="top"/>
      <protection locked="0"/>
    </xf>
    <xf numFmtId="0" fontId="56" fillId="0" borderId="6" xfId="0" applyFont="1" applyBorder="1" applyAlignment="1" applyProtection="1">
      <alignment vertical="top"/>
      <protection locked="0"/>
    </xf>
    <xf numFmtId="0" fontId="56" fillId="0" borderId="5" xfId="0" applyFont="1" applyBorder="1" applyAlignment="1" applyProtection="1">
      <alignment vertical="top"/>
      <protection locked="0"/>
    </xf>
    <xf numFmtId="0" fontId="56" fillId="0" borderId="14" xfId="0" applyFont="1" applyBorder="1" applyAlignment="1" applyProtection="1">
      <alignment vertical="top"/>
      <protection locked="0"/>
    </xf>
    <xf numFmtId="0" fontId="56" fillId="0" borderId="19" xfId="0" applyFont="1" applyBorder="1" applyAlignment="1" applyProtection="1">
      <alignment vertical="top"/>
      <protection locked="0"/>
    </xf>
    <xf numFmtId="0" fontId="56" fillId="9" borderId="66" xfId="0" applyFont="1" applyFill="1" applyBorder="1" applyAlignment="1" applyProtection="1">
      <alignment vertical="top"/>
      <protection locked="0"/>
    </xf>
    <xf numFmtId="0" fontId="68" fillId="0" borderId="118" xfId="0" applyFont="1" applyBorder="1" applyAlignment="1" applyProtection="1">
      <alignment vertical="center"/>
      <protection locked="0"/>
    </xf>
    <xf numFmtId="0" fontId="56" fillId="0" borderId="7" xfId="0" applyFont="1" applyBorder="1" applyAlignment="1" applyProtection="1">
      <alignment vertical="top"/>
      <protection locked="0"/>
    </xf>
    <xf numFmtId="0" fontId="56" fillId="0" borderId="50" xfId="0" applyFont="1" applyBorder="1" applyAlignment="1" applyProtection="1">
      <alignment vertical="top"/>
      <protection locked="0"/>
    </xf>
    <xf numFmtId="0" fontId="56" fillId="0" borderId="27" xfId="0" applyFont="1" applyBorder="1" applyAlignment="1" applyProtection="1">
      <alignment vertical="center"/>
      <protection locked="0"/>
    </xf>
    <xf numFmtId="0" fontId="56" fillId="0" borderId="6" xfId="0" applyFont="1" applyBorder="1" applyAlignment="1" applyProtection="1">
      <alignment vertical="center" wrapText="1"/>
      <protection locked="0"/>
    </xf>
    <xf numFmtId="0" fontId="56" fillId="9" borderId="31" xfId="0" applyFont="1" applyFill="1" applyBorder="1" applyAlignment="1" applyProtection="1">
      <alignment vertical="top"/>
      <protection locked="0"/>
    </xf>
    <xf numFmtId="0" fontId="56" fillId="0" borderId="66" xfId="0" applyFont="1" applyBorder="1" applyAlignment="1" applyProtection="1">
      <alignment vertical="top" wrapText="1"/>
      <protection locked="0"/>
    </xf>
    <xf numFmtId="0" fontId="56" fillId="0" borderId="32" xfId="0" applyFont="1" applyBorder="1" applyAlignment="1" applyProtection="1">
      <alignment vertical="top"/>
      <protection locked="0"/>
    </xf>
    <xf numFmtId="0" fontId="56" fillId="9" borderId="118" xfId="0" applyFont="1" applyFill="1" applyBorder="1" applyAlignment="1" applyProtection="1">
      <alignment vertical="center"/>
      <protection locked="0"/>
    </xf>
    <xf numFmtId="0" fontId="56" fillId="0" borderId="62" xfId="0" applyFont="1" applyBorder="1" applyAlignment="1" applyProtection="1">
      <alignment vertical="top"/>
      <protection locked="0"/>
    </xf>
    <xf numFmtId="0" fontId="56" fillId="0" borderId="133" xfId="0" applyFont="1" applyBorder="1" applyAlignment="1" applyProtection="1">
      <alignment vertical="top"/>
      <protection locked="0"/>
    </xf>
    <xf numFmtId="0" fontId="68" fillId="0" borderId="133" xfId="0" applyFont="1" applyBorder="1" applyAlignment="1" applyProtection="1">
      <alignment vertical="center" wrapText="1"/>
      <protection locked="0"/>
    </xf>
    <xf numFmtId="0" fontId="56" fillId="0" borderId="67" xfId="0" applyFont="1" applyBorder="1" applyAlignment="1" applyProtection="1">
      <alignment vertical="top"/>
      <protection locked="0"/>
    </xf>
    <xf numFmtId="0" fontId="56" fillId="0" borderId="58" xfId="0" applyFont="1" applyBorder="1" applyAlignment="1" applyProtection="1">
      <alignment vertical="center"/>
      <protection locked="0"/>
    </xf>
    <xf numFmtId="0" fontId="68" fillId="0" borderId="58" xfId="0" applyFont="1" applyBorder="1" applyAlignment="1" applyProtection="1">
      <alignment vertical="center"/>
      <protection locked="0"/>
    </xf>
    <xf numFmtId="0" fontId="56" fillId="9" borderId="67" xfId="0" applyFont="1" applyFill="1" applyBorder="1" applyAlignment="1" applyProtection="1">
      <alignment vertical="top"/>
      <protection locked="0"/>
    </xf>
    <xf numFmtId="0" fontId="61" fillId="0" borderId="1" xfId="16" applyFont="1" applyBorder="1" applyProtection="1">
      <alignment vertical="center"/>
      <protection locked="0"/>
    </xf>
    <xf numFmtId="0" fontId="56" fillId="0" borderId="124" xfId="0" applyFont="1" applyBorder="1" applyAlignment="1" applyProtection="1">
      <alignment vertical="top"/>
      <protection locked="0"/>
    </xf>
    <xf numFmtId="0" fontId="68" fillId="0" borderId="124" xfId="0" applyFont="1" applyBorder="1" applyAlignment="1" applyProtection="1">
      <alignment vertical="center"/>
      <protection locked="0"/>
    </xf>
    <xf numFmtId="0" fontId="61" fillId="0" borderId="124" xfId="0" applyFont="1" applyBorder="1" applyAlignment="1" applyProtection="1">
      <alignment vertical="center"/>
      <protection locked="0"/>
    </xf>
    <xf numFmtId="0" fontId="68" fillId="0" borderId="124" xfId="0" applyFont="1" applyBorder="1" applyProtection="1">
      <protection locked="0"/>
    </xf>
    <xf numFmtId="0" fontId="68" fillId="0" borderId="125" xfId="0" applyFont="1" applyBorder="1" applyProtection="1">
      <protection locked="0"/>
    </xf>
    <xf numFmtId="0" fontId="68" fillId="0" borderId="18" xfId="0" applyFont="1" applyBorder="1" applyAlignment="1" applyProtection="1">
      <alignment vertical="center"/>
      <protection locked="0"/>
    </xf>
    <xf numFmtId="0" fontId="61" fillId="0" borderId="18" xfId="0" applyFont="1" applyBorder="1" applyAlignment="1" applyProtection="1">
      <alignment vertical="center"/>
      <protection locked="0"/>
    </xf>
    <xf numFmtId="0" fontId="68" fillId="0" borderId="18" xfId="0" applyFont="1" applyBorder="1" applyProtection="1">
      <protection locked="0"/>
    </xf>
    <xf numFmtId="0" fontId="68" fillId="0" borderId="129" xfId="0" applyFont="1" applyBorder="1" applyProtection="1">
      <protection locked="0"/>
    </xf>
    <xf numFmtId="0" fontId="56" fillId="0" borderId="35" xfId="0" applyFont="1" applyBorder="1" applyAlignment="1" applyProtection="1">
      <alignment vertical="top"/>
      <protection locked="0"/>
    </xf>
    <xf numFmtId="0" fontId="56" fillId="0" borderId="35" xfId="0" applyFont="1" applyBorder="1" applyAlignment="1" applyProtection="1">
      <alignment vertical="center"/>
      <protection locked="0"/>
    </xf>
    <xf numFmtId="0" fontId="68" fillId="0" borderId="35" xfId="0" applyFont="1" applyBorder="1" applyAlignment="1" applyProtection="1">
      <alignment vertical="center"/>
      <protection locked="0"/>
    </xf>
    <xf numFmtId="0" fontId="61" fillId="0" borderId="35" xfId="0" applyFont="1" applyBorder="1" applyAlignment="1" applyProtection="1">
      <alignment vertical="center"/>
      <protection locked="0"/>
    </xf>
    <xf numFmtId="0" fontId="68" fillId="0" borderId="35" xfId="0" applyFont="1" applyBorder="1" applyProtection="1">
      <protection locked="0"/>
    </xf>
    <xf numFmtId="0" fontId="68" fillId="0" borderId="128" xfId="0" applyFont="1" applyBorder="1" applyProtection="1">
      <protection locked="0"/>
    </xf>
    <xf numFmtId="0" fontId="56" fillId="0" borderId="59" xfId="0" applyFont="1" applyBorder="1" applyAlignment="1" applyProtection="1">
      <alignment horizontal="left" vertical="center" wrapText="1"/>
      <protection locked="0"/>
    </xf>
    <xf numFmtId="0" fontId="56" fillId="0" borderId="19"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0" borderId="19" xfId="0" applyFont="1" applyBorder="1" applyAlignment="1" applyProtection="1">
      <alignment horizontal="center" vertical="center" wrapText="1" shrinkToFit="1"/>
      <protection locked="0"/>
    </xf>
    <xf numFmtId="0" fontId="56" fillId="0" borderId="60" xfId="0" applyFont="1" applyBorder="1" applyAlignment="1" applyProtection="1">
      <alignment horizontal="center" vertical="center" wrapText="1" shrinkToFit="1"/>
      <protection locked="0"/>
    </xf>
    <xf numFmtId="0" fontId="66" fillId="0" borderId="51" xfId="0" applyFont="1" applyBorder="1" applyAlignment="1" applyProtection="1">
      <alignment vertical="center" shrinkToFit="1"/>
      <protection locked="0"/>
    </xf>
    <xf numFmtId="0" fontId="56" fillId="0" borderId="19" xfId="0" applyFont="1" applyBorder="1" applyAlignment="1" applyProtection="1">
      <alignment vertical="center" shrinkToFit="1"/>
      <protection locked="0"/>
    </xf>
    <xf numFmtId="0" fontId="56" fillId="0" borderId="60" xfId="0" applyFont="1" applyBorder="1" applyAlignment="1" applyProtection="1">
      <alignment vertical="center" shrinkToFit="1"/>
      <protection locked="0"/>
    </xf>
    <xf numFmtId="0" fontId="56" fillId="9" borderId="23" xfId="0" applyFont="1" applyFill="1" applyBorder="1" applyAlignment="1" applyProtection="1">
      <alignment horizontal="left" vertical="center"/>
      <protection locked="0"/>
    </xf>
    <xf numFmtId="0" fontId="56" fillId="0" borderId="33" xfId="0" applyFont="1" applyBorder="1" applyAlignment="1" applyProtection="1">
      <alignment vertical="center" shrinkToFit="1"/>
      <protection locked="0"/>
    </xf>
    <xf numFmtId="0" fontId="56" fillId="9" borderId="18" xfId="0" applyFont="1" applyFill="1" applyBorder="1" applyAlignment="1" applyProtection="1">
      <alignment vertical="center" shrinkToFit="1"/>
      <protection locked="0"/>
    </xf>
    <xf numFmtId="0" fontId="56" fillId="9" borderId="129" xfId="0" applyFont="1" applyFill="1" applyBorder="1" applyAlignment="1" applyProtection="1">
      <alignment vertical="center" shrinkToFit="1"/>
      <protection locked="0"/>
    </xf>
    <xf numFmtId="0" fontId="56" fillId="9" borderId="189" xfId="0" applyFont="1" applyFill="1" applyBorder="1" applyAlignment="1" applyProtection="1">
      <alignment horizontal="left" vertical="center"/>
      <protection locked="0"/>
    </xf>
    <xf numFmtId="0" fontId="56" fillId="0" borderId="33" xfId="0" applyFont="1" applyBorder="1" applyAlignment="1" applyProtection="1">
      <alignment horizontal="right" vertical="center" shrinkToFit="1"/>
      <protection locked="0"/>
    </xf>
    <xf numFmtId="0" fontId="56" fillId="9" borderId="182" xfId="0" applyFont="1" applyFill="1" applyBorder="1" applyAlignment="1" applyProtection="1">
      <alignment horizontal="left" vertical="center"/>
      <protection locked="0"/>
    </xf>
    <xf numFmtId="0" fontId="56" fillId="0" borderId="190" xfId="0" applyFont="1" applyBorder="1" applyAlignment="1" applyProtection="1">
      <alignment horizontal="left" vertical="center"/>
      <protection locked="0"/>
    </xf>
    <xf numFmtId="0" fontId="56" fillId="0" borderId="191" xfId="0" applyFont="1" applyBorder="1" applyAlignment="1" applyProtection="1">
      <alignment horizontal="left" vertical="center"/>
      <protection locked="0"/>
    </xf>
    <xf numFmtId="0" fontId="56" fillId="0" borderId="34" xfId="0" applyFont="1" applyBorder="1" applyAlignment="1" applyProtection="1">
      <alignment vertical="center" shrinkToFit="1"/>
      <protection locked="0"/>
    </xf>
    <xf numFmtId="0" fontId="56" fillId="9" borderId="35" xfId="0" applyFont="1" applyFill="1" applyBorder="1" applyAlignment="1" applyProtection="1">
      <alignment vertical="center" shrinkToFit="1"/>
      <protection locked="0"/>
    </xf>
    <xf numFmtId="0" fontId="56" fillId="0" borderId="0" xfId="0" applyFont="1" applyAlignment="1" applyProtection="1">
      <alignment vertical="center" shrinkToFit="1"/>
      <protection locked="0"/>
    </xf>
    <xf numFmtId="0" fontId="56" fillId="0" borderId="186" xfId="0" applyFont="1" applyBorder="1" applyAlignment="1" applyProtection="1">
      <alignment vertical="top"/>
      <protection locked="0"/>
    </xf>
    <xf numFmtId="0" fontId="56" fillId="9" borderId="192" xfId="0" applyFont="1" applyFill="1" applyBorder="1" applyAlignment="1" applyProtection="1">
      <alignment vertical="center"/>
      <protection locked="0"/>
    </xf>
    <xf numFmtId="0" fontId="56" fillId="0" borderId="193" xfId="0" applyFont="1" applyBorder="1" applyAlignment="1" applyProtection="1">
      <alignment horizontal="left" vertical="center"/>
      <protection locked="0"/>
    </xf>
    <xf numFmtId="0" fontId="56" fillId="9" borderId="192" xfId="0" applyFont="1" applyFill="1" applyBorder="1" applyAlignment="1" applyProtection="1">
      <alignment horizontal="left" vertical="center"/>
      <protection locked="0"/>
    </xf>
    <xf numFmtId="0" fontId="56" fillId="9" borderId="194" xfId="0" applyFont="1" applyFill="1" applyBorder="1" applyAlignment="1" applyProtection="1">
      <alignment horizontal="left" vertical="center"/>
      <protection locked="0"/>
    </xf>
    <xf numFmtId="0" fontId="56" fillId="9" borderId="128" xfId="0" applyFont="1" applyFill="1" applyBorder="1" applyAlignment="1" applyProtection="1">
      <alignment vertical="center" shrinkToFit="1"/>
      <protection locked="0"/>
    </xf>
    <xf numFmtId="0" fontId="52" fillId="0" borderId="0" xfId="0" applyFont="1" applyAlignment="1" applyProtection="1">
      <alignment vertical="center"/>
    </xf>
    <xf numFmtId="14" fontId="102" fillId="0" borderId="0" xfId="0" applyNumberFormat="1" applyFont="1" applyAlignment="1" applyProtection="1">
      <alignment vertical="center"/>
    </xf>
    <xf numFmtId="0" fontId="102" fillId="0" borderId="0" xfId="16" applyFont="1" applyProtection="1">
      <alignment vertical="center"/>
    </xf>
    <xf numFmtId="0" fontId="102" fillId="0" borderId="0" xfId="0" applyFont="1" applyAlignment="1" applyProtection="1">
      <alignment vertical="center"/>
    </xf>
    <xf numFmtId="0" fontId="68" fillId="0" borderId="0" xfId="0" applyFont="1" applyProtection="1"/>
    <xf numFmtId="0" fontId="68" fillId="19" borderId="0" xfId="0" applyFont="1" applyFill="1" applyProtection="1"/>
    <xf numFmtId="0" fontId="90" fillId="2" borderId="0" xfId="17" applyFont="1" applyFill="1" applyAlignment="1" applyProtection="1">
      <alignment horizontal="left" vertical="center"/>
    </xf>
    <xf numFmtId="0" fontId="61" fillId="2" borderId="0" xfId="16" applyFont="1" applyFill="1" applyProtection="1">
      <alignment vertical="center"/>
    </xf>
    <xf numFmtId="0" fontId="102" fillId="2" borderId="0" xfId="16" applyFont="1" applyFill="1" applyProtection="1">
      <alignment vertical="center"/>
    </xf>
    <xf numFmtId="0" fontId="68" fillId="2" borderId="0" xfId="0" applyFont="1" applyFill="1" applyProtection="1"/>
    <xf numFmtId="0" fontId="103" fillId="2" borderId="0" xfId="17" applyFont="1" applyFill="1" applyAlignment="1" applyProtection="1">
      <alignment horizontal="center" vertical="center"/>
    </xf>
    <xf numFmtId="0" fontId="59" fillId="2" borderId="0" xfId="16" applyFont="1" applyFill="1" applyAlignment="1" applyProtection="1">
      <alignment horizontal="left" vertical="center"/>
    </xf>
    <xf numFmtId="0" fontId="61" fillId="0" borderId="0" xfId="16" applyFont="1" applyProtection="1">
      <alignment vertical="center"/>
    </xf>
    <xf numFmtId="0" fontId="59" fillId="2" borderId="0" xfId="0" applyFont="1" applyFill="1" applyProtection="1"/>
    <xf numFmtId="0" fontId="103" fillId="0" borderId="0" xfId="17" applyFont="1" applyAlignment="1" applyProtection="1">
      <alignment vertical="center"/>
    </xf>
    <xf numFmtId="0" fontId="61" fillId="0" borderId="0" xfId="16" applyFont="1" applyAlignment="1" applyProtection="1">
      <alignment vertical="center" wrapText="1"/>
    </xf>
    <xf numFmtId="0" fontId="59" fillId="2" borderId="0" xfId="16" applyFont="1" applyFill="1" applyProtection="1">
      <alignment vertical="center"/>
    </xf>
    <xf numFmtId="0" fontId="59" fillId="2" borderId="0" xfId="0" applyFont="1" applyFill="1" applyAlignment="1" applyProtection="1">
      <alignment horizontal="right"/>
    </xf>
    <xf numFmtId="0" fontId="56" fillId="0" borderId="32" xfId="0" applyFont="1" applyFill="1" applyBorder="1" applyAlignment="1" applyProtection="1">
      <alignment horizontal="left" vertical="center"/>
    </xf>
    <xf numFmtId="0" fontId="56" fillId="0" borderId="117" xfId="0" applyFont="1" applyFill="1" applyBorder="1" applyAlignment="1" applyProtection="1">
      <alignment horizontal="left" vertical="center"/>
    </xf>
    <xf numFmtId="0" fontId="56" fillId="0" borderId="118" xfId="0" applyFont="1" applyFill="1" applyBorder="1" applyAlignment="1" applyProtection="1">
      <alignment horizontal="left" vertical="center"/>
    </xf>
    <xf numFmtId="0" fontId="69" fillId="16" borderId="0" xfId="16" applyFont="1" applyFill="1" applyProtection="1">
      <alignment vertical="center"/>
    </xf>
    <xf numFmtId="0" fontId="102" fillId="16" borderId="0" xfId="16" applyFont="1" applyFill="1" applyProtection="1">
      <alignment vertical="center"/>
    </xf>
    <xf numFmtId="0" fontId="102" fillId="16" borderId="0" xfId="16" applyFont="1" applyFill="1" applyAlignment="1" applyProtection="1">
      <alignment vertical="center" wrapText="1"/>
    </xf>
    <xf numFmtId="0" fontId="106" fillId="16" borderId="0" xfId="16" applyFont="1" applyFill="1" applyProtection="1">
      <alignment vertical="center"/>
    </xf>
    <xf numFmtId="0" fontId="107" fillId="16" borderId="0" xfId="16" applyFont="1" applyFill="1" applyProtection="1">
      <alignment vertical="center"/>
    </xf>
    <xf numFmtId="0" fontId="107" fillId="16" borderId="0" xfId="16" applyFont="1" applyFill="1" applyAlignment="1" applyProtection="1">
      <alignment vertical="center" wrapText="1"/>
    </xf>
    <xf numFmtId="0" fontId="108" fillId="0" borderId="0" xfId="0" applyFont="1" applyAlignment="1" applyProtection="1">
      <alignment vertical="center"/>
    </xf>
    <xf numFmtId="0" fontId="93" fillId="0" borderId="58" xfId="0" applyFont="1" applyBorder="1" applyAlignment="1" applyProtection="1">
      <alignment horizontal="center" vertical="center" wrapText="1"/>
    </xf>
    <xf numFmtId="0" fontId="93" fillId="0" borderId="128" xfId="0" applyFont="1" applyBorder="1" applyAlignment="1" applyProtection="1">
      <alignment horizontal="center" vertical="center" wrapText="1"/>
    </xf>
    <xf numFmtId="0" fontId="93" fillId="0" borderId="59" xfId="0" applyFont="1" applyBorder="1" applyAlignment="1" applyProtection="1">
      <alignment vertical="center"/>
    </xf>
    <xf numFmtId="0" fontId="93" fillId="0" borderId="32" xfId="0" applyFont="1" applyBorder="1" applyAlignment="1" applyProtection="1">
      <alignment vertical="center"/>
    </xf>
    <xf numFmtId="0" fontId="68" fillId="0" borderId="116" xfId="0" applyFont="1" applyBorder="1" applyProtection="1"/>
    <xf numFmtId="0" fontId="68" fillId="0" borderId="134" xfId="0" applyFont="1" applyBorder="1" applyProtection="1"/>
    <xf numFmtId="0" fontId="56" fillId="0" borderId="135" xfId="0" applyFont="1" applyBorder="1" applyAlignment="1" applyProtection="1">
      <alignment horizontal="center" vertical="center"/>
    </xf>
    <xf numFmtId="0" fontId="56" fillId="0" borderId="13" xfId="0" applyFont="1" applyBorder="1" applyAlignment="1" applyProtection="1">
      <alignment horizontal="center" vertical="center" shrinkToFit="1"/>
    </xf>
    <xf numFmtId="0" fontId="56" fillId="0" borderId="65" xfId="0" applyFont="1" applyBorder="1" applyAlignment="1" applyProtection="1">
      <alignment horizontal="center" vertical="center" shrinkToFit="1"/>
    </xf>
    <xf numFmtId="0" fontId="56" fillId="0" borderId="119" xfId="0" applyFont="1" applyBorder="1" applyAlignment="1" applyProtection="1">
      <alignment vertical="center"/>
    </xf>
    <xf numFmtId="0" fontId="56" fillId="0" borderId="138" xfId="0" applyFont="1" applyBorder="1" applyAlignment="1" applyProtection="1">
      <alignment vertical="center"/>
    </xf>
    <xf numFmtId="0" fontId="56" fillId="0" borderId="124" xfId="0" applyFont="1" applyBorder="1" applyAlignment="1" applyProtection="1">
      <alignment vertical="center"/>
    </xf>
    <xf numFmtId="0" fontId="56" fillId="0" borderId="135" xfId="0" applyFont="1" applyBorder="1" applyAlignment="1" applyProtection="1">
      <alignment vertical="center"/>
    </xf>
    <xf numFmtId="0" fontId="56" fillId="0" borderId="33" xfId="0" applyFont="1" applyBorder="1" applyAlignment="1" applyProtection="1">
      <alignment vertical="center"/>
    </xf>
    <xf numFmtId="0" fontId="56" fillId="0" borderId="129" xfId="0" applyFont="1" applyBorder="1" applyAlignment="1" applyProtection="1">
      <alignment vertical="center"/>
    </xf>
    <xf numFmtId="0" fontId="56" fillId="0" borderId="140" xfId="0" applyFont="1" applyBorder="1" applyAlignment="1" applyProtection="1">
      <alignment vertical="center"/>
    </xf>
    <xf numFmtId="0" fontId="56" fillId="0" borderId="18" xfId="0" applyFont="1" applyBorder="1" applyAlignment="1" applyProtection="1">
      <alignment vertical="center"/>
    </xf>
    <xf numFmtId="0" fontId="56" fillId="0" borderId="8" xfId="0" applyFont="1" applyBorder="1" applyAlignment="1" applyProtection="1">
      <alignment vertical="center"/>
    </xf>
    <xf numFmtId="0" fontId="56" fillId="0" borderId="13" xfId="0" applyFont="1" applyBorder="1" applyAlignment="1" applyProtection="1">
      <alignment vertical="center"/>
    </xf>
    <xf numFmtId="0" fontId="56" fillId="0" borderId="51" xfId="0" applyFont="1" applyBorder="1" applyAlignment="1" applyProtection="1">
      <alignment vertical="center"/>
    </xf>
    <xf numFmtId="0" fontId="56" fillId="0" borderId="52" xfId="0" applyFont="1" applyBorder="1" applyAlignment="1" applyProtection="1">
      <alignment vertical="center"/>
    </xf>
    <xf numFmtId="0" fontId="93" fillId="0" borderId="58" xfId="0" applyFont="1" applyBorder="1" applyAlignment="1" applyProtection="1">
      <alignment vertical="center"/>
    </xf>
    <xf numFmtId="0" fontId="61" fillId="19" borderId="0" xfId="16" applyFont="1" applyFill="1" applyProtection="1">
      <alignment vertical="center"/>
    </xf>
    <xf numFmtId="0" fontId="56" fillId="0" borderId="141" xfId="0" applyFont="1" applyBorder="1" applyAlignment="1" applyProtection="1">
      <alignment vertical="center"/>
    </xf>
    <xf numFmtId="0" fontId="56" fillId="0" borderId="143" xfId="0" applyFont="1" applyBorder="1" applyAlignment="1" applyProtection="1">
      <alignment vertical="center"/>
    </xf>
    <xf numFmtId="0" fontId="56" fillId="0" borderId="64" xfId="0" applyFont="1" applyBorder="1" applyAlignment="1" applyProtection="1">
      <alignment vertical="center"/>
    </xf>
    <xf numFmtId="0" fontId="56" fillId="0" borderId="144" xfId="0" applyFont="1" applyBorder="1" applyAlignment="1" applyProtection="1">
      <alignment vertical="center"/>
    </xf>
    <xf numFmtId="0" fontId="56" fillId="0" borderId="145" xfId="0" applyFont="1" applyBorder="1" applyAlignment="1" applyProtection="1">
      <alignment vertical="center"/>
    </xf>
    <xf numFmtId="0" fontId="56" fillId="0" borderId="34" xfId="0" applyFont="1" applyBorder="1" applyAlignment="1" applyProtection="1">
      <alignment vertical="center"/>
    </xf>
    <xf numFmtId="0" fontId="56" fillId="0" borderId="147" xfId="0" applyFont="1" applyBorder="1" applyAlignment="1" applyProtection="1">
      <alignment vertical="center"/>
    </xf>
    <xf numFmtId="0" fontId="56" fillId="0" borderId="132" xfId="0" applyFont="1" applyBorder="1" applyAlignment="1" applyProtection="1">
      <alignment vertical="center"/>
    </xf>
    <xf numFmtId="0" fontId="56" fillId="0" borderId="35" xfId="0" applyFont="1" applyBorder="1" applyAlignment="1" applyProtection="1">
      <alignment vertical="center"/>
    </xf>
    <xf numFmtId="0" fontId="56" fillId="0" borderId="119" xfId="0" applyFont="1" applyBorder="1" applyAlignment="1" applyProtection="1">
      <alignment horizontal="center" vertical="center"/>
    </xf>
    <xf numFmtId="0" fontId="56" fillId="0" borderId="158" xfId="0" applyFont="1" applyBorder="1" applyAlignment="1" applyProtection="1">
      <alignment horizontal="center" vertical="center" shrinkToFit="1"/>
    </xf>
    <xf numFmtId="0" fontId="56" fillId="0" borderId="159" xfId="0" applyFont="1" applyBorder="1" applyAlignment="1" applyProtection="1">
      <alignment horizontal="center" vertical="center" shrinkToFit="1"/>
    </xf>
    <xf numFmtId="0" fontId="56" fillId="0" borderId="162" xfId="0" applyFont="1" applyBorder="1" applyAlignment="1" applyProtection="1">
      <alignment vertical="center"/>
    </xf>
    <xf numFmtId="0" fontId="56" fillId="0" borderId="160" xfId="0" applyFont="1" applyBorder="1" applyAlignment="1" applyProtection="1">
      <alignment vertical="center"/>
    </xf>
    <xf numFmtId="0" fontId="56" fillId="0" borderId="9" xfId="0" applyFont="1" applyBorder="1" applyAlignment="1" applyProtection="1">
      <alignment vertical="center"/>
    </xf>
    <xf numFmtId="0" fontId="56" fillId="0" borderId="165" xfId="0" applyFont="1" applyBorder="1" applyAlignment="1" applyProtection="1">
      <alignment vertical="center"/>
    </xf>
    <xf numFmtId="0" fontId="56" fillId="0" borderId="166" xfId="0" applyFont="1" applyBorder="1" applyAlignment="1" applyProtection="1">
      <alignment vertical="center"/>
    </xf>
    <xf numFmtId="0" fontId="56" fillId="0" borderId="167" xfId="0" applyFont="1" applyBorder="1" applyAlignment="1" applyProtection="1">
      <alignment vertical="center"/>
    </xf>
    <xf numFmtId="0" fontId="56" fillId="0" borderId="168" xfId="0" applyFont="1" applyBorder="1" applyAlignment="1" applyProtection="1">
      <alignment vertical="center"/>
    </xf>
    <xf numFmtId="0" fontId="56" fillId="0" borderId="12" xfId="0" applyFont="1" applyBorder="1" applyAlignment="1" applyProtection="1">
      <alignment vertical="center"/>
    </xf>
    <xf numFmtId="0" fontId="56" fillId="0" borderId="163" xfId="0" applyFont="1" applyBorder="1" applyAlignment="1" applyProtection="1">
      <alignment vertical="center"/>
    </xf>
    <xf numFmtId="0" fontId="56" fillId="0" borderId="172" xfId="0" applyFont="1" applyBorder="1" applyAlignment="1" applyProtection="1">
      <alignment vertical="center"/>
    </xf>
    <xf numFmtId="0" fontId="56" fillId="0" borderId="15" xfId="0" applyFont="1" applyBorder="1" applyAlignment="1" applyProtection="1">
      <alignment vertical="center"/>
    </xf>
    <xf numFmtId="0" fontId="56" fillId="0" borderId="173" xfId="0" applyFont="1" applyBorder="1" applyAlignment="1" applyProtection="1">
      <alignment vertical="center"/>
    </xf>
    <xf numFmtId="0" fontId="56" fillId="0" borderId="174" xfId="0" applyFont="1" applyBorder="1" applyAlignment="1" applyProtection="1">
      <alignment vertical="center"/>
    </xf>
    <xf numFmtId="0" fontId="56" fillId="0" borderId="161" xfId="0" applyFont="1" applyBorder="1" applyAlignment="1" applyProtection="1">
      <alignment vertical="center"/>
    </xf>
    <xf numFmtId="0" fontId="56" fillId="0" borderId="175" xfId="0" applyFont="1" applyBorder="1" applyAlignment="1" applyProtection="1">
      <alignment vertical="center"/>
    </xf>
    <xf numFmtId="0" fontId="56" fillId="0" borderId="164" xfId="0" applyFont="1" applyBorder="1" applyAlignment="1" applyProtection="1">
      <alignment vertical="center"/>
    </xf>
    <xf numFmtId="0" fontId="56" fillId="0" borderId="179" xfId="0" applyFont="1" applyBorder="1" applyAlignment="1" applyProtection="1">
      <alignment vertical="center"/>
    </xf>
    <xf numFmtId="0" fontId="56" fillId="0" borderId="178" xfId="0" applyFont="1" applyBorder="1" applyAlignment="1" applyProtection="1">
      <alignment vertical="center"/>
    </xf>
    <xf numFmtId="0" fontId="56" fillId="0" borderId="176" xfId="0" applyFont="1" applyBorder="1" applyAlignment="1" applyProtection="1">
      <alignment vertical="center"/>
    </xf>
    <xf numFmtId="0" fontId="56" fillId="0" borderId="180" xfId="0" applyFont="1" applyBorder="1" applyAlignment="1" applyProtection="1">
      <alignment vertical="center"/>
    </xf>
    <xf numFmtId="0" fontId="56" fillId="0" borderId="181" xfId="0" applyFont="1" applyBorder="1" applyAlignment="1" applyProtection="1">
      <alignment vertical="center"/>
    </xf>
    <xf numFmtId="0" fontId="56" fillId="0" borderId="182" xfId="0" applyFont="1" applyBorder="1" applyAlignment="1" applyProtection="1">
      <alignment vertical="center"/>
    </xf>
    <xf numFmtId="0" fontId="56" fillId="0" borderId="184" xfId="0" applyFont="1" applyBorder="1" applyAlignment="1" applyProtection="1">
      <alignment vertical="center"/>
    </xf>
    <xf numFmtId="0" fontId="56" fillId="0" borderId="65" xfId="0" applyFont="1" applyBorder="1" applyAlignment="1" applyProtection="1">
      <alignment vertical="center"/>
    </xf>
    <xf numFmtId="0" fontId="56" fillId="0" borderId="187" xfId="0" applyFont="1" applyBorder="1" applyAlignment="1" applyProtection="1">
      <alignment vertical="center"/>
    </xf>
    <xf numFmtId="0" fontId="56" fillId="0" borderId="188" xfId="0" applyFont="1" applyBorder="1" applyAlignment="1" applyProtection="1">
      <alignment vertical="center"/>
    </xf>
    <xf numFmtId="0" fontId="56" fillId="0" borderId="186" xfId="0" applyFont="1" applyBorder="1" applyAlignment="1" applyProtection="1">
      <alignment vertical="center"/>
    </xf>
    <xf numFmtId="0" fontId="68" fillId="0" borderId="0" xfId="0" applyFont="1" applyAlignment="1" applyProtection="1">
      <alignment vertical="center"/>
    </xf>
    <xf numFmtId="0" fontId="68" fillId="0" borderId="118" xfId="0" applyFont="1" applyBorder="1" applyAlignment="1" applyProtection="1">
      <alignment vertical="center"/>
    </xf>
    <xf numFmtId="0" fontId="68" fillId="0" borderId="124" xfId="0" applyFont="1" applyBorder="1" applyProtection="1"/>
    <xf numFmtId="0" fontId="68" fillId="0" borderId="18" xfId="0" applyFont="1" applyBorder="1" applyAlignment="1" applyProtection="1">
      <alignment vertical="center"/>
    </xf>
    <xf numFmtId="0" fontId="68" fillId="0" borderId="18" xfId="0" applyFont="1" applyBorder="1" applyProtection="1"/>
    <xf numFmtId="0" fontId="68" fillId="0" borderId="129" xfId="0" applyFont="1" applyBorder="1" applyProtection="1"/>
    <xf numFmtId="0" fontId="68" fillId="0" borderId="35" xfId="0" applyFont="1" applyBorder="1" applyProtection="1"/>
    <xf numFmtId="0" fontId="68" fillId="0" borderId="128" xfId="0" applyFont="1" applyBorder="1" applyProtection="1"/>
    <xf numFmtId="0" fontId="102" fillId="19" borderId="0" xfId="16" applyFont="1" applyFill="1" applyProtection="1">
      <alignment vertical="center"/>
    </xf>
    <xf numFmtId="0" fontId="82" fillId="0" borderId="0" xfId="16" applyFont="1" applyProtection="1">
      <alignment vertical="center"/>
    </xf>
    <xf numFmtId="0" fontId="64" fillId="7" borderId="0" xfId="16" applyFont="1" applyFill="1" applyProtection="1">
      <alignment vertical="center"/>
    </xf>
    <xf numFmtId="0" fontId="64" fillId="0" borderId="66" xfId="0" applyFont="1" applyBorder="1" applyProtection="1"/>
    <xf numFmtId="0" fontId="64" fillId="0" borderId="130" xfId="0" applyFont="1" applyBorder="1" applyProtection="1"/>
    <xf numFmtId="0" fontId="64" fillId="0" borderId="6" xfId="16" applyFont="1" applyBorder="1" applyProtection="1">
      <alignment vertical="center"/>
    </xf>
    <xf numFmtId="0" fontId="64" fillId="0" borderId="7" xfId="16" applyFont="1" applyBorder="1" applyProtection="1">
      <alignment vertical="center"/>
    </xf>
    <xf numFmtId="0" fontId="64" fillId="0" borderId="16" xfId="16" applyFont="1" applyBorder="1" applyProtection="1">
      <alignment vertical="center"/>
    </xf>
    <xf numFmtId="0" fontId="61" fillId="0" borderId="18" xfId="16" applyFont="1" applyBorder="1" applyAlignment="1" applyProtection="1">
      <alignment horizontal="center" vertical="center"/>
    </xf>
    <xf numFmtId="0" fontId="56" fillId="0" borderId="18" xfId="0" applyFont="1" applyBorder="1" applyAlignment="1" applyProtection="1">
      <alignment horizontal="center" vertical="center"/>
    </xf>
    <xf numFmtId="0" fontId="56" fillId="0" borderId="18" xfId="0" applyFont="1" applyBorder="1" applyAlignment="1" applyProtection="1">
      <alignment horizontal="center" vertical="center" shrinkToFit="1"/>
    </xf>
    <xf numFmtId="0" fontId="61" fillId="0" borderId="66" xfId="16" applyFont="1" applyBorder="1" applyProtection="1">
      <alignment vertical="center"/>
    </xf>
    <xf numFmtId="0" fontId="61" fillId="0" borderId="117" xfId="16" applyFont="1" applyBorder="1" applyAlignment="1" applyProtection="1">
      <alignment vertical="center" wrapText="1"/>
    </xf>
    <xf numFmtId="0" fontId="61" fillId="0" borderId="117" xfId="16" applyFont="1" applyBorder="1" applyProtection="1">
      <alignment vertical="center"/>
    </xf>
    <xf numFmtId="0" fontId="61" fillId="0" borderId="18" xfId="16" applyFont="1" applyBorder="1" applyProtection="1">
      <alignment vertical="center"/>
    </xf>
    <xf numFmtId="0" fontId="61" fillId="0" borderId="195" xfId="16" applyFont="1" applyBorder="1" applyProtection="1">
      <alignment vertical="center"/>
    </xf>
    <xf numFmtId="0" fontId="61" fillId="0" borderId="141" xfId="16" applyFont="1" applyBorder="1" applyProtection="1">
      <alignment vertical="center"/>
    </xf>
    <xf numFmtId="0" fontId="93" fillId="7" borderId="0" xfId="0" applyFont="1" applyFill="1" applyProtection="1"/>
    <xf numFmtId="0" fontId="68" fillId="0" borderId="198" xfId="0" applyFont="1" applyBorder="1" applyAlignment="1" applyProtection="1">
      <alignment vertical="center" wrapText="1"/>
    </xf>
    <xf numFmtId="0" fontId="68" fillId="0" borderId="199" xfId="0" applyFont="1" applyBorder="1" applyAlignment="1" applyProtection="1">
      <alignment vertical="center" wrapText="1"/>
    </xf>
    <xf numFmtId="0" fontId="68" fillId="0" borderId="157" xfId="0" applyFont="1" applyBorder="1" applyAlignment="1" applyProtection="1">
      <alignment vertical="center" wrapText="1"/>
    </xf>
    <xf numFmtId="0" fontId="68" fillId="0" borderId="0" xfId="0" applyFont="1" applyAlignment="1" applyProtection="1">
      <alignment vertical="center" wrapText="1"/>
    </xf>
    <xf numFmtId="0" fontId="68" fillId="0" borderId="124" xfId="0" applyFont="1" applyBorder="1" applyAlignment="1" applyProtection="1">
      <alignment shrinkToFit="1"/>
    </xf>
    <xf numFmtId="0" fontId="68" fillId="0" borderId="125" xfId="0" applyFont="1" applyBorder="1" applyAlignment="1" applyProtection="1">
      <alignment vertical="center"/>
    </xf>
    <xf numFmtId="0" fontId="68" fillId="0" borderId="123" xfId="0" applyFont="1" applyBorder="1" applyAlignment="1" applyProtection="1">
      <alignment vertical="center"/>
    </xf>
    <xf numFmtId="0" fontId="68" fillId="0" borderId="31" xfId="0" applyFont="1" applyBorder="1" applyAlignment="1" applyProtection="1">
      <alignment vertical="center"/>
    </xf>
    <xf numFmtId="0" fontId="68" fillId="19" borderId="0" xfId="0" applyFont="1" applyFill="1" applyAlignment="1" applyProtection="1">
      <alignment vertical="center"/>
    </xf>
    <xf numFmtId="0" fontId="68" fillId="0" borderId="18" xfId="0" applyFont="1" applyBorder="1" applyAlignment="1" applyProtection="1">
      <alignment vertical="center" shrinkToFit="1"/>
    </xf>
    <xf numFmtId="0" fontId="68" fillId="0" borderId="129" xfId="0" applyFont="1" applyBorder="1" applyAlignment="1" applyProtection="1">
      <alignment vertical="center"/>
    </xf>
    <xf numFmtId="0" fontId="68" fillId="0" borderId="130" xfId="0" applyFont="1" applyBorder="1" applyAlignment="1" applyProtection="1">
      <alignment vertical="center"/>
    </xf>
    <xf numFmtId="0" fontId="68" fillId="0" borderId="7" xfId="0" applyFont="1" applyBorder="1" applyAlignment="1" applyProtection="1">
      <alignment vertical="center"/>
    </xf>
    <xf numFmtId="0" fontId="68" fillId="9" borderId="18" xfId="0" applyFont="1" applyFill="1" applyBorder="1" applyAlignment="1" applyProtection="1">
      <alignment vertical="center" shrinkToFit="1"/>
    </xf>
    <xf numFmtId="0" fontId="68" fillId="9" borderId="129" xfId="0" applyFont="1" applyFill="1" applyBorder="1" applyAlignment="1" applyProtection="1">
      <alignment vertical="center"/>
    </xf>
    <xf numFmtId="0" fontId="68" fillId="9" borderId="130" xfId="0" applyFont="1" applyFill="1" applyBorder="1" applyAlignment="1" applyProtection="1">
      <alignment vertical="center"/>
    </xf>
    <xf numFmtId="0" fontId="68" fillId="9" borderId="18" xfId="0" applyFont="1" applyFill="1" applyBorder="1" applyAlignment="1" applyProtection="1">
      <alignment vertical="center"/>
    </xf>
    <xf numFmtId="0" fontId="68" fillId="9" borderId="118" xfId="0" applyFont="1" applyFill="1" applyBorder="1" applyAlignment="1" applyProtection="1">
      <alignment vertical="center"/>
    </xf>
    <xf numFmtId="0" fontId="56" fillId="0" borderId="18" xfId="16" applyFont="1" applyBorder="1" applyAlignment="1" applyProtection="1">
      <alignment vertical="center" shrinkToFit="1"/>
    </xf>
    <xf numFmtId="0" fontId="56" fillId="0" borderId="129" xfId="16" applyFont="1" applyBorder="1" applyProtection="1">
      <alignment vertical="center"/>
    </xf>
    <xf numFmtId="0" fontId="56" fillId="0" borderId="130" xfId="16" applyFont="1" applyBorder="1" applyProtection="1">
      <alignment vertical="center"/>
    </xf>
    <xf numFmtId="0" fontId="56" fillId="0" borderId="18" xfId="16" applyFont="1" applyBorder="1" applyProtection="1">
      <alignment vertical="center"/>
    </xf>
    <xf numFmtId="0" fontId="56" fillId="0" borderId="118" xfId="16" applyFont="1" applyBorder="1" applyProtection="1">
      <alignment vertical="center"/>
    </xf>
    <xf numFmtId="0" fontId="56" fillId="0" borderId="0" xfId="16" applyFont="1" applyProtection="1">
      <alignment vertical="center"/>
    </xf>
    <xf numFmtId="0" fontId="61" fillId="0" borderId="18" xfId="16" applyFont="1" applyBorder="1" applyAlignment="1" applyProtection="1">
      <alignment vertical="center" shrinkToFit="1"/>
    </xf>
    <xf numFmtId="0" fontId="61" fillId="0" borderId="129" xfId="16" applyFont="1" applyBorder="1" applyProtection="1">
      <alignment vertical="center"/>
    </xf>
    <xf numFmtId="0" fontId="61" fillId="0" borderId="130" xfId="16" applyFont="1" applyBorder="1" applyProtection="1">
      <alignment vertical="center"/>
    </xf>
    <xf numFmtId="0" fontId="61" fillId="0" borderId="118" xfId="16" applyFont="1" applyBorder="1" applyProtection="1">
      <alignment vertical="center"/>
    </xf>
    <xf numFmtId="0" fontId="61" fillId="0" borderId="35" xfId="16" applyFont="1" applyBorder="1" applyAlignment="1" applyProtection="1">
      <alignment vertical="center" shrinkToFit="1"/>
    </xf>
    <xf numFmtId="0" fontId="61" fillId="0" borderId="128" xfId="16" applyFont="1" applyBorder="1" applyProtection="1">
      <alignment vertical="center"/>
    </xf>
    <xf numFmtId="0" fontId="61" fillId="0" borderId="127" xfId="16" applyFont="1" applyBorder="1" applyProtection="1">
      <alignment vertical="center"/>
    </xf>
    <xf numFmtId="0" fontId="68" fillId="0" borderId="200" xfId="0" applyFont="1" applyBorder="1" applyAlignment="1" applyProtection="1">
      <alignment horizontal="left" vertical="top"/>
    </xf>
    <xf numFmtId="0" fontId="68" fillId="0" borderId="202" xfId="0" applyFont="1" applyBorder="1" applyProtection="1"/>
    <xf numFmtId="0" fontId="68" fillId="0" borderId="204" xfId="0" applyFont="1" applyBorder="1" applyAlignment="1" applyProtection="1">
      <alignment horizontal="left" vertical="top"/>
    </xf>
    <xf numFmtId="0" fontId="68" fillId="0" borderId="206" xfId="0" applyFont="1" applyBorder="1" applyProtection="1"/>
    <xf numFmtId="0" fontId="68" fillId="0" borderId="208" xfId="0" applyFont="1" applyBorder="1" applyProtection="1"/>
    <xf numFmtId="0" fontId="68" fillId="0" borderId="121" xfId="0" applyFont="1" applyBorder="1" applyProtection="1"/>
    <xf numFmtId="0" fontId="68" fillId="0" borderId="199" xfId="0" applyFont="1" applyBorder="1" applyProtection="1"/>
    <xf numFmtId="0" fontId="68" fillId="0" borderId="157" xfId="0" applyFont="1" applyBorder="1" applyProtection="1"/>
    <xf numFmtId="0" fontId="68" fillId="0" borderId="120" xfId="0" applyFont="1" applyBorder="1" applyProtection="1"/>
    <xf numFmtId="0" fontId="68" fillId="0" borderId="123" xfId="0" applyFont="1" applyBorder="1" applyAlignment="1" applyProtection="1">
      <alignment horizontal="center"/>
    </xf>
    <xf numFmtId="0" fontId="68" fillId="0" borderId="66" xfId="0" applyFont="1" applyBorder="1" applyProtection="1"/>
    <xf numFmtId="0" fontId="68" fillId="0" borderId="130" xfId="0" applyFont="1" applyBorder="1" applyAlignment="1" applyProtection="1">
      <alignment horizontal="center"/>
    </xf>
    <xf numFmtId="0" fontId="68" fillId="0" borderId="133" xfId="0" applyFont="1" applyBorder="1" applyProtection="1"/>
    <xf numFmtId="0" fontId="68" fillId="0" borderId="127" xfId="0" applyFont="1" applyBorder="1" applyAlignment="1" applyProtection="1">
      <alignment horizontal="center"/>
    </xf>
    <xf numFmtId="0" fontId="68" fillId="0" borderId="123" xfId="0" applyFont="1" applyBorder="1" applyProtection="1"/>
    <xf numFmtId="0" fontId="68" fillId="0" borderId="130" xfId="0" applyFont="1" applyBorder="1" applyProtection="1"/>
    <xf numFmtId="0" fontId="68" fillId="0" borderId="127" xfId="0" applyFont="1" applyBorder="1" applyProtection="1"/>
    <xf numFmtId="0" fontId="106" fillId="0" borderId="0" xfId="16" applyFont="1" applyProtection="1">
      <alignment vertical="center"/>
    </xf>
    <xf numFmtId="0" fontId="123" fillId="0" borderId="0" xfId="17" applyFont="1" applyAlignment="1" applyProtection="1">
      <alignment vertical="center"/>
    </xf>
    <xf numFmtId="0" fontId="61" fillId="0" borderId="119" xfId="0" applyFont="1" applyBorder="1" applyAlignment="1" applyProtection="1">
      <alignment vertical="center"/>
      <protection locked="0"/>
    </xf>
    <xf numFmtId="0" fontId="61" fillId="0" borderId="125" xfId="0" applyFont="1" applyBorder="1" applyAlignment="1" applyProtection="1">
      <alignment vertical="center"/>
      <protection locked="0"/>
    </xf>
    <xf numFmtId="0" fontId="61" fillId="9" borderId="61" xfId="0" applyFont="1" applyFill="1" applyBorder="1" applyAlignment="1" applyProtection="1">
      <alignment horizontal="center" vertical="center"/>
      <protection locked="0"/>
    </xf>
    <xf numFmtId="0" fontId="61" fillId="9" borderId="28" xfId="0" applyFont="1" applyFill="1" applyBorder="1" applyAlignment="1" applyProtection="1">
      <alignment horizontal="center" vertical="center"/>
      <protection locked="0"/>
    </xf>
    <xf numFmtId="0" fontId="102" fillId="0" borderId="0" xfId="16" applyFont="1" applyAlignment="1" applyProtection="1">
      <alignment vertical="center" wrapText="1"/>
    </xf>
    <xf numFmtId="0" fontId="68" fillId="0" borderId="0" xfId="0" applyFont="1" applyAlignment="1" applyProtection="1">
      <alignment horizontal="center" vertical="center" wrapText="1"/>
    </xf>
    <xf numFmtId="0" fontId="61" fillId="0" borderId="209" xfId="16" applyFont="1" applyBorder="1" applyAlignment="1" applyProtection="1">
      <alignment horizontal="left" vertical="top"/>
    </xf>
    <xf numFmtId="0" fontId="68" fillId="0" borderId="210" xfId="0" applyFont="1" applyBorder="1" applyAlignment="1" applyProtection="1">
      <alignment horizontal="left" vertical="top"/>
    </xf>
    <xf numFmtId="0" fontId="68" fillId="0" borderId="211" xfId="0" applyFont="1" applyBorder="1" applyAlignment="1" applyProtection="1">
      <alignment horizontal="left" vertical="top"/>
    </xf>
    <xf numFmtId="0" fontId="68" fillId="0" borderId="212" xfId="0" applyFont="1" applyBorder="1" applyAlignment="1" applyProtection="1">
      <alignment horizontal="left" vertical="top"/>
    </xf>
    <xf numFmtId="0" fontId="68" fillId="0" borderId="213" xfId="0" applyFont="1" applyBorder="1" applyProtection="1"/>
    <xf numFmtId="0" fontId="61" fillId="0" borderId="0" xfId="16" applyFont="1" applyAlignment="1" applyProtection="1">
      <alignment vertical="center" shrinkToFit="1"/>
    </xf>
    <xf numFmtId="0" fontId="61" fillId="0" borderId="214" xfId="16" applyFont="1" applyBorder="1" applyProtection="1">
      <alignment vertical="center"/>
    </xf>
    <xf numFmtId="0" fontId="61" fillId="0" borderId="215" xfId="16" applyFont="1" applyBorder="1" applyProtection="1">
      <alignment vertical="center"/>
    </xf>
    <xf numFmtId="0" fontId="61" fillId="0" borderId="216" xfId="16" applyFont="1" applyBorder="1" applyProtection="1">
      <alignment vertical="center"/>
    </xf>
    <xf numFmtId="0" fontId="61" fillId="0" borderId="216" xfId="16" applyFont="1" applyBorder="1" applyAlignment="1" applyProtection="1">
      <alignment vertical="center" wrapText="1"/>
    </xf>
    <xf numFmtId="0" fontId="61" fillId="0" borderId="215" xfId="16" applyFont="1" applyBorder="1" applyAlignment="1" applyProtection="1">
      <alignment vertical="center" wrapText="1"/>
    </xf>
    <xf numFmtId="0" fontId="61" fillId="0" borderId="217" xfId="16" applyFont="1" applyBorder="1" applyAlignment="1" applyProtection="1">
      <alignment vertical="center" wrapText="1"/>
    </xf>
    <xf numFmtId="0" fontId="61" fillId="0" borderId="218" xfId="16" applyFont="1" applyBorder="1" applyAlignment="1" applyProtection="1">
      <alignment vertical="center" wrapText="1"/>
    </xf>
    <xf numFmtId="0" fontId="61" fillId="0" borderId="217" xfId="16" applyFont="1" applyBorder="1" applyProtection="1">
      <alignment vertical="center"/>
    </xf>
    <xf numFmtId="0" fontId="61" fillId="0" borderId="219" xfId="16" applyFont="1" applyBorder="1" applyProtection="1">
      <alignment vertical="center"/>
    </xf>
    <xf numFmtId="0" fontId="61" fillId="0" borderId="220" xfId="16" applyFont="1" applyBorder="1" applyAlignment="1" applyProtection="1">
      <alignment vertical="center" wrapText="1"/>
    </xf>
    <xf numFmtId="0" fontId="61" fillId="0" borderId="221" xfId="16" applyFont="1" applyBorder="1" applyProtection="1">
      <alignment vertical="center"/>
    </xf>
    <xf numFmtId="0" fontId="61" fillId="0" borderId="222" xfId="16" applyFont="1" applyBorder="1" applyProtection="1">
      <alignment vertical="center"/>
    </xf>
    <xf numFmtId="0" fontId="61" fillId="0" borderId="223" xfId="16" applyFont="1" applyBorder="1" applyProtection="1">
      <alignment vertical="center"/>
    </xf>
    <xf numFmtId="0" fontId="61" fillId="0" borderId="224" xfId="16" applyFont="1" applyBorder="1" applyProtection="1">
      <alignment vertical="center"/>
    </xf>
    <xf numFmtId="0" fontId="61" fillId="0" borderId="225" xfId="16" applyFont="1" applyBorder="1" applyProtection="1">
      <alignment vertical="center"/>
    </xf>
    <xf numFmtId="0" fontId="61" fillId="0" borderId="226" xfId="16" applyFont="1" applyBorder="1" applyProtection="1">
      <alignment vertical="center"/>
    </xf>
    <xf numFmtId="0" fontId="61" fillId="0" borderId="227" xfId="16" applyFont="1" applyBorder="1" applyProtection="1">
      <alignment vertical="center"/>
    </xf>
    <xf numFmtId="0" fontId="61" fillId="0" borderId="228" xfId="16" applyFont="1" applyBorder="1" applyAlignment="1" applyProtection="1">
      <alignment vertical="center" wrapText="1"/>
    </xf>
    <xf numFmtId="0" fontId="61" fillId="0" borderId="229" xfId="16" applyFont="1" applyBorder="1" applyProtection="1">
      <alignment vertical="center"/>
    </xf>
    <xf numFmtId="0" fontId="61" fillId="0" borderId="228" xfId="16" applyFont="1" applyBorder="1" applyProtection="1">
      <alignment vertical="center"/>
    </xf>
    <xf numFmtId="0" fontId="61" fillId="0" borderId="230" xfId="16" applyFont="1" applyBorder="1" applyProtection="1">
      <alignment vertical="center"/>
    </xf>
    <xf numFmtId="0" fontId="61" fillId="0" borderId="231" xfId="16" applyFont="1" applyBorder="1" applyProtection="1">
      <alignment vertical="center"/>
    </xf>
    <xf numFmtId="0" fontId="61" fillId="0" borderId="232" xfId="16" applyFont="1" applyBorder="1" applyProtection="1">
      <alignment vertical="center"/>
    </xf>
    <xf numFmtId="0" fontId="61" fillId="0" borderId="233" xfId="16" applyFont="1" applyBorder="1" applyProtection="1">
      <alignment vertical="center"/>
    </xf>
    <xf numFmtId="0" fontId="61" fillId="0" borderId="12" xfId="16" applyFont="1" applyBorder="1" applyProtection="1">
      <alignment vertical="center"/>
    </xf>
    <xf numFmtId="0" fontId="61" fillId="0" borderId="234" xfId="16" applyFont="1" applyBorder="1" applyProtection="1">
      <alignment vertical="center"/>
    </xf>
    <xf numFmtId="0" fontId="61" fillId="0" borderId="235" xfId="16" applyFont="1" applyBorder="1" applyAlignment="1" applyProtection="1">
      <alignment vertical="center" wrapText="1"/>
    </xf>
    <xf numFmtId="0" fontId="61" fillId="0" borderId="236" xfId="16" applyFont="1" applyBorder="1" applyProtection="1">
      <alignment vertical="center"/>
    </xf>
    <xf numFmtId="0" fontId="61" fillId="0" borderId="235" xfId="16" applyFont="1" applyBorder="1" applyProtection="1">
      <alignment vertical="center"/>
    </xf>
    <xf numFmtId="0" fontId="61" fillId="0" borderId="237" xfId="16" applyFont="1" applyBorder="1" applyProtection="1">
      <alignment vertical="center"/>
    </xf>
    <xf numFmtId="0" fontId="61" fillId="0" borderId="238" xfId="16" applyFont="1" applyBorder="1" applyProtection="1">
      <alignment vertical="center"/>
    </xf>
    <xf numFmtId="0" fontId="61" fillId="0" borderId="239" xfId="16" applyFont="1" applyBorder="1" applyProtection="1">
      <alignment vertical="center"/>
    </xf>
    <xf numFmtId="0" fontId="61" fillId="0" borderId="240" xfId="16" applyFont="1" applyBorder="1" applyProtection="1">
      <alignment vertical="center"/>
    </xf>
    <xf numFmtId="0" fontId="61" fillId="0" borderId="15" xfId="16" applyFont="1" applyBorder="1" applyProtection="1">
      <alignment vertical="center"/>
    </xf>
    <xf numFmtId="0" fontId="61" fillId="9" borderId="18" xfId="16" applyFont="1" applyFill="1" applyBorder="1" applyProtection="1">
      <alignment vertical="center"/>
    </xf>
    <xf numFmtId="0" fontId="68" fillId="16" borderId="0" xfId="0" applyFont="1" applyFill="1" applyProtection="1"/>
    <xf numFmtId="0" fontId="13" fillId="4" borderId="114" xfId="0" applyFont="1" applyFill="1" applyBorder="1" applyAlignment="1">
      <alignment vertical="center" shrinkToFit="1"/>
    </xf>
    <xf numFmtId="0" fontId="13" fillId="4" borderId="114" xfId="0" quotePrefix="1" applyFont="1" applyFill="1" applyBorder="1" applyAlignment="1">
      <alignment vertical="center" shrinkToFit="1"/>
    </xf>
    <xf numFmtId="0" fontId="60" fillId="0" borderId="0" xfId="2" applyFont="1" applyAlignment="1" applyProtection="1">
      <alignment vertical="top"/>
    </xf>
    <xf numFmtId="0" fontId="28" fillId="0" borderId="0" xfId="2" applyFont="1" applyProtection="1">
      <alignment vertical="center"/>
    </xf>
    <xf numFmtId="0" fontId="36" fillId="0" borderId="0" xfId="2" applyFont="1" applyAlignment="1" applyProtection="1">
      <alignment horizontal="right" vertical="center"/>
    </xf>
    <xf numFmtId="0" fontId="46" fillId="9" borderId="18" xfId="2" applyFont="1" applyFill="1" applyBorder="1" applyAlignment="1" applyProtection="1">
      <alignment horizontal="center" vertical="center" shrinkToFit="1"/>
    </xf>
    <xf numFmtId="0" fontId="46" fillId="2" borderId="18" xfId="2" applyFont="1" applyFill="1" applyBorder="1" applyAlignment="1" applyProtection="1">
      <alignment horizontal="center" vertical="center" wrapText="1" shrinkToFit="1"/>
    </xf>
    <xf numFmtId="0" fontId="46" fillId="8" borderId="18" xfId="2" applyFont="1" applyFill="1" applyBorder="1" applyAlignment="1" applyProtection="1">
      <alignment horizontal="center" vertical="center" shrinkToFit="1"/>
    </xf>
    <xf numFmtId="0" fontId="69" fillId="18" borderId="0" xfId="0" applyFont="1" applyFill="1" applyAlignment="1" applyProtection="1">
      <alignment horizontal="center" vertical="center"/>
    </xf>
    <xf numFmtId="0" fontId="90" fillId="14" borderId="0" xfId="2" applyFont="1" applyFill="1" applyAlignment="1" applyProtection="1">
      <alignment horizontal="center" vertical="center"/>
    </xf>
    <xf numFmtId="0" fontId="28" fillId="0" borderId="0" xfId="2" applyFont="1" applyFill="1" applyBorder="1" applyProtection="1">
      <alignment vertical="center"/>
    </xf>
    <xf numFmtId="0" fontId="46" fillId="0" borderId="0" xfId="2" applyFont="1" applyFill="1" applyBorder="1" applyAlignment="1" applyProtection="1">
      <alignment horizontal="right" vertical="center" shrinkToFit="1"/>
    </xf>
    <xf numFmtId="0" fontId="46" fillId="0" borderId="115" xfId="2" applyFont="1" applyFill="1" applyBorder="1" applyAlignment="1" applyProtection="1">
      <alignment horizontal="center" vertical="center" shrinkToFit="1"/>
    </xf>
    <xf numFmtId="0" fontId="46" fillId="0" borderId="0" xfId="2" applyFont="1" applyFill="1" applyBorder="1" applyAlignment="1" applyProtection="1">
      <alignment horizontal="center" vertical="center" shrinkToFit="1"/>
    </xf>
    <xf numFmtId="0" fontId="46" fillId="0" borderId="0" xfId="2" applyFont="1" applyFill="1" applyBorder="1" applyProtection="1">
      <alignment vertical="center"/>
    </xf>
    <xf numFmtId="0" fontId="47" fillId="0" borderId="0" xfId="2" applyFont="1" applyFill="1" applyBorder="1" applyProtection="1">
      <alignment vertical="center"/>
    </xf>
    <xf numFmtId="0" fontId="33" fillId="0" borderId="0" xfId="2" applyFont="1" applyFill="1" applyBorder="1" applyAlignment="1" applyProtection="1">
      <alignment horizontal="center" vertical="center"/>
    </xf>
    <xf numFmtId="0" fontId="36" fillId="0" borderId="0" xfId="2" applyFont="1" applyFill="1" applyBorder="1" applyAlignment="1" applyProtection="1">
      <alignment vertical="center" shrinkToFit="1"/>
    </xf>
    <xf numFmtId="0" fontId="44" fillId="0" borderId="0" xfId="2" applyFont="1" applyProtection="1">
      <alignment vertical="center"/>
    </xf>
    <xf numFmtId="0" fontId="112" fillId="0" borderId="0" xfId="0" applyFont="1" applyFill="1" applyAlignment="1" applyProtection="1"/>
    <xf numFmtId="0" fontId="45" fillId="14" borderId="0" xfId="2" applyFont="1" applyFill="1" applyProtection="1">
      <alignment vertical="center"/>
    </xf>
    <xf numFmtId="0" fontId="31" fillId="0" borderId="0" xfId="2" applyFont="1" applyProtection="1">
      <alignment vertical="center"/>
    </xf>
    <xf numFmtId="0" fontId="48" fillId="0" borderId="0" xfId="2" applyFont="1" applyAlignment="1" applyProtection="1">
      <alignment horizontal="right" vertical="center"/>
    </xf>
    <xf numFmtId="0" fontId="48" fillId="0" borderId="0" xfId="2" applyFont="1" applyAlignment="1" applyProtection="1">
      <alignment horizontal="center" vertical="center"/>
    </xf>
    <xf numFmtId="0" fontId="113" fillId="0" borderId="0" xfId="0" applyFont="1" applyFill="1" applyAlignment="1" applyProtection="1">
      <alignment vertical="top"/>
    </xf>
    <xf numFmtId="0" fontId="28" fillId="0" borderId="0" xfId="2" applyFont="1" applyAlignment="1" applyProtection="1">
      <alignment horizontal="right" vertical="center"/>
    </xf>
    <xf numFmtId="0" fontId="31" fillId="0" borderId="0" xfId="2" applyFont="1" applyAlignment="1" applyProtection="1">
      <alignment horizontal="right" vertical="center"/>
    </xf>
    <xf numFmtId="0" fontId="39" fillId="14" borderId="0" xfId="2" applyFont="1" applyFill="1" applyProtection="1">
      <alignment vertical="center"/>
    </xf>
    <xf numFmtId="0" fontId="31" fillId="0" borderId="0" xfId="2" applyFont="1" applyAlignment="1" applyProtection="1">
      <alignment horizontal="left" vertical="center"/>
    </xf>
    <xf numFmtId="0" fontId="31" fillId="0" borderId="0" xfId="2" applyFont="1" applyAlignment="1" applyProtection="1">
      <alignment horizontal="distributed" vertical="center"/>
    </xf>
    <xf numFmtId="0" fontId="39" fillId="14" borderId="0" xfId="2" applyFont="1" applyFill="1" applyAlignment="1" applyProtection="1">
      <alignment horizontal="left" vertical="top" wrapText="1"/>
    </xf>
    <xf numFmtId="0" fontId="31" fillId="0" borderId="0" xfId="2" applyFont="1" applyAlignment="1" applyProtection="1">
      <alignment horizontal="center" vertical="center"/>
    </xf>
    <xf numFmtId="0" fontId="39" fillId="14" borderId="0" xfId="2" applyFont="1" applyFill="1" applyAlignment="1" applyProtection="1">
      <alignment vertical="center" wrapText="1"/>
    </xf>
    <xf numFmtId="0" fontId="39" fillId="14" borderId="0" xfId="2" applyFont="1" applyFill="1" applyAlignment="1" applyProtection="1">
      <alignment horizontal="right" vertical="center"/>
    </xf>
    <xf numFmtId="0" fontId="61" fillId="0" borderId="0" xfId="2" applyFont="1" applyProtection="1">
      <alignment vertical="center"/>
    </xf>
    <xf numFmtId="0" fontId="37" fillId="0" borderId="0" xfId="2" applyFont="1" applyAlignment="1" applyProtection="1">
      <alignment horizontal="left" vertical="center"/>
    </xf>
    <xf numFmtId="0" fontId="31" fillId="3" borderId="18" xfId="2" applyFont="1" applyFill="1" applyBorder="1" applyAlignment="1" applyProtection="1">
      <alignment horizontal="distributed" vertical="center" wrapText="1"/>
    </xf>
    <xf numFmtId="0" fontId="31" fillId="0" borderId="66" xfId="12" applyNumberFormat="1" applyFont="1" applyFill="1" applyBorder="1" applyAlignment="1" applyProtection="1">
      <alignment horizontal="center" vertical="center"/>
    </xf>
    <xf numFmtId="0" fontId="31" fillId="0" borderId="66" xfId="2" applyFont="1" applyBorder="1" applyAlignment="1" applyProtection="1">
      <alignment horizontal="right" vertical="center" wrapText="1"/>
    </xf>
    <xf numFmtId="0" fontId="31" fillId="0" borderId="66" xfId="2" applyFont="1" applyFill="1" applyBorder="1" applyAlignment="1" applyProtection="1">
      <alignment horizontal="right" vertical="center" wrapText="1"/>
    </xf>
    <xf numFmtId="0" fontId="31" fillId="0" borderId="117" xfId="2" applyFont="1" applyBorder="1" applyAlignment="1" applyProtection="1">
      <alignment horizontal="left" vertical="center" wrapText="1"/>
    </xf>
    <xf numFmtId="0" fontId="31" fillId="0" borderId="130" xfId="2" applyFont="1" applyBorder="1" applyAlignment="1" applyProtection="1">
      <alignment horizontal="left" vertical="center" wrapText="1"/>
    </xf>
    <xf numFmtId="0" fontId="31" fillId="0" borderId="66" xfId="2" applyFont="1" applyBorder="1" applyAlignment="1" applyProtection="1">
      <alignment horizontal="right" vertical="center"/>
    </xf>
    <xf numFmtId="0" fontId="61" fillId="0" borderId="0" xfId="2" applyFont="1" applyAlignment="1" applyProtection="1">
      <alignment vertical="top" wrapText="1"/>
    </xf>
    <xf numFmtId="0" fontId="31" fillId="0" borderId="117" xfId="2" applyFont="1" applyFill="1" applyBorder="1" applyAlignment="1" applyProtection="1">
      <alignment horizontal="left" vertical="center" wrapText="1"/>
    </xf>
    <xf numFmtId="0" fontId="31" fillId="0" borderId="130" xfId="2" applyFont="1" applyFill="1" applyBorder="1" applyAlignment="1" applyProtection="1">
      <alignment horizontal="left" vertical="center" wrapText="1"/>
    </xf>
    <xf numFmtId="0" fontId="31" fillId="0" borderId="66" xfId="2" applyFont="1" applyFill="1" applyBorder="1" applyAlignment="1" applyProtection="1">
      <alignment horizontal="right" vertical="center"/>
    </xf>
    <xf numFmtId="0" fontId="31" fillId="3" borderId="66" xfId="2" applyFont="1" applyFill="1" applyBorder="1" applyProtection="1">
      <alignment vertical="center"/>
    </xf>
    <xf numFmtId="0" fontId="31" fillId="0" borderId="0" xfId="0" applyFont="1" applyAlignment="1" applyProtection="1">
      <alignment horizontal="left" vertical="center"/>
    </xf>
    <xf numFmtId="0" fontId="42" fillId="0" borderId="0" xfId="0" applyFont="1" applyAlignment="1" applyProtection="1">
      <alignment horizontal="left" vertical="center"/>
    </xf>
    <xf numFmtId="0" fontId="31" fillId="0" borderId="130" xfId="2" applyFont="1" applyBorder="1" applyAlignment="1" applyProtection="1">
      <alignment horizontal="left" vertical="center"/>
    </xf>
    <xf numFmtId="0" fontId="43" fillId="14" borderId="0" xfId="0" applyFont="1" applyFill="1" applyAlignment="1" applyProtection="1">
      <alignment horizontal="left" vertical="center"/>
    </xf>
    <xf numFmtId="0" fontId="37" fillId="0" borderId="0" xfId="0" applyFont="1" applyAlignment="1" applyProtection="1">
      <alignment vertical="center"/>
    </xf>
    <xf numFmtId="0" fontId="42" fillId="0" borderId="0" xfId="0" applyFont="1" applyAlignment="1" applyProtection="1">
      <alignment vertical="center"/>
    </xf>
    <xf numFmtId="0" fontId="64" fillId="0" borderId="0" xfId="0" applyFont="1" applyAlignment="1" applyProtection="1">
      <alignment vertical="center"/>
    </xf>
    <xf numFmtId="0" fontId="43" fillId="14" borderId="0" xfId="0" applyFont="1" applyFill="1" applyAlignment="1" applyProtection="1">
      <alignment vertical="center"/>
    </xf>
    <xf numFmtId="0" fontId="31" fillId="3" borderId="66" xfId="0" applyFont="1" applyFill="1" applyBorder="1" applyAlignment="1" applyProtection="1">
      <alignment horizontal="distributed" vertical="center"/>
    </xf>
    <xf numFmtId="0" fontId="31" fillId="0" borderId="66" xfId="0" applyFont="1" applyBorder="1" applyAlignment="1" applyProtection="1">
      <alignment vertical="center"/>
    </xf>
    <xf numFmtId="0" fontId="31" fillId="0" borderId="117" xfId="0" applyFont="1" applyBorder="1" applyAlignment="1" applyProtection="1">
      <alignment horizontal="left" vertical="center"/>
    </xf>
    <xf numFmtId="0" fontId="31" fillId="0" borderId="117" xfId="0" applyFont="1" applyBorder="1" applyAlignment="1" applyProtection="1">
      <alignment vertical="center"/>
    </xf>
    <xf numFmtId="0" fontId="31" fillId="0" borderId="117" xfId="0" applyFont="1" applyBorder="1" applyAlignment="1" applyProtection="1">
      <alignment horizontal="right" vertical="center"/>
    </xf>
    <xf numFmtId="0" fontId="31" fillId="0" borderId="0" xfId="0" applyFont="1" applyAlignment="1" applyProtection="1">
      <alignment vertical="center"/>
    </xf>
    <xf numFmtId="0" fontId="64" fillId="0" borderId="0" xfId="0" applyFont="1" applyAlignment="1" applyProtection="1">
      <alignment horizontal="left" vertical="center"/>
    </xf>
    <xf numFmtId="0" fontId="31" fillId="0" borderId="0" xfId="0" applyFont="1" applyAlignment="1" applyProtection="1">
      <alignment horizontal="center" vertical="center"/>
    </xf>
    <xf numFmtId="0" fontId="39" fillId="14" borderId="0" xfId="0" applyFont="1" applyFill="1" applyAlignment="1" applyProtection="1">
      <alignment horizontal="center" vertical="center"/>
    </xf>
    <xf numFmtId="0" fontId="117" fillId="0" borderId="0" xfId="2" applyFont="1" applyProtection="1">
      <alignment vertical="center"/>
    </xf>
    <xf numFmtId="0" fontId="31" fillId="3" borderId="18" xfId="0" applyFont="1" applyFill="1" applyBorder="1" applyAlignment="1" applyProtection="1">
      <alignment horizontal="distributed" vertical="center" wrapText="1"/>
    </xf>
    <xf numFmtId="0" fontId="28" fillId="14" borderId="0" xfId="2" applyFont="1" applyFill="1" applyProtection="1">
      <alignment vertical="center"/>
    </xf>
    <xf numFmtId="0" fontId="82" fillId="0" borderId="124" xfId="0" applyFont="1" applyFill="1" applyBorder="1" applyAlignment="1" applyProtection="1">
      <alignment vertical="top" wrapText="1"/>
      <protection locked="0"/>
    </xf>
    <xf numFmtId="0" fontId="82" fillId="0" borderId="120" xfId="0" applyFont="1" applyFill="1" applyBorder="1" applyAlignment="1" applyProtection="1">
      <alignment vertical="top" wrapText="1"/>
      <protection locked="0"/>
    </xf>
    <xf numFmtId="0" fontId="61" fillId="0" borderId="139" xfId="0" applyFont="1" applyFill="1" applyBorder="1" applyAlignment="1" applyProtection="1">
      <alignment vertical="center"/>
      <protection locked="0"/>
    </xf>
    <xf numFmtId="177" fontId="61" fillId="0" borderId="141" xfId="0" applyNumberFormat="1" applyFont="1" applyFill="1" applyBorder="1" applyAlignment="1" applyProtection="1">
      <alignment vertical="center" shrinkToFit="1"/>
      <protection locked="0"/>
    </xf>
    <xf numFmtId="0" fontId="61" fillId="0" borderId="141" xfId="0" applyFont="1" applyFill="1" applyBorder="1" applyAlignment="1" applyProtection="1">
      <alignment vertical="center"/>
      <protection locked="0"/>
    </xf>
    <xf numFmtId="0" fontId="61" fillId="0" borderId="151" xfId="0" applyFont="1" applyFill="1" applyBorder="1" applyAlignment="1" applyProtection="1">
      <alignment vertical="center"/>
      <protection locked="0"/>
    </xf>
    <xf numFmtId="0" fontId="61" fillId="9" borderId="33" xfId="0" applyFont="1" applyFill="1" applyBorder="1" applyAlignment="1" applyProtection="1">
      <alignment vertical="center"/>
      <protection locked="0"/>
    </xf>
    <xf numFmtId="0" fontId="61" fillId="9" borderId="18" xfId="0" applyFont="1" applyFill="1" applyBorder="1" applyAlignment="1" applyProtection="1">
      <alignment vertical="center"/>
      <protection locked="0"/>
    </xf>
    <xf numFmtId="0" fontId="61" fillId="9" borderId="66" xfId="0" applyFont="1" applyFill="1" applyBorder="1" applyAlignment="1" applyProtection="1">
      <alignment vertical="center"/>
      <protection locked="0"/>
    </xf>
    <xf numFmtId="0" fontId="61" fillId="0" borderId="131" xfId="0" applyFont="1" applyFill="1" applyBorder="1" applyAlignment="1" applyProtection="1">
      <alignment horizontal="center" vertical="center" shrinkToFit="1"/>
      <protection locked="0"/>
    </xf>
    <xf numFmtId="0" fontId="61" fillId="0" borderId="154" xfId="0" applyFont="1" applyFill="1" applyBorder="1" applyAlignment="1" applyProtection="1">
      <alignment vertical="center"/>
      <protection locked="0"/>
    </xf>
    <xf numFmtId="0" fontId="82" fillId="0" borderId="119" xfId="0" applyFont="1" applyFill="1" applyBorder="1" applyAlignment="1" applyProtection="1">
      <alignment vertical="center" wrapText="1"/>
      <protection locked="0"/>
    </xf>
    <xf numFmtId="0" fontId="78" fillId="0" borderId="18" xfId="2" applyFont="1" applyBorder="1" applyAlignment="1">
      <alignment horizontal="center" vertical="center" shrinkToFit="1"/>
    </xf>
    <xf numFmtId="0" fontId="79" fillId="0" borderId="18" xfId="3" applyNumberFormat="1" applyFont="1" applyFill="1" applyBorder="1" applyAlignment="1">
      <alignment horizontal="center" vertical="center" shrinkToFit="1"/>
    </xf>
    <xf numFmtId="0" fontId="82" fillId="0" borderId="125" xfId="0" applyFont="1" applyFill="1" applyBorder="1" applyAlignment="1" applyProtection="1">
      <alignment vertical="top" wrapText="1"/>
      <protection locked="0"/>
    </xf>
    <xf numFmtId="0" fontId="61" fillId="0" borderId="140" xfId="0" applyFont="1" applyFill="1" applyBorder="1" applyAlignment="1" applyProtection="1">
      <alignment vertical="center"/>
      <protection locked="0"/>
    </xf>
    <xf numFmtId="0" fontId="61" fillId="9" borderId="129" xfId="0" applyFont="1" applyFill="1" applyBorder="1" applyAlignment="1" applyProtection="1">
      <alignment vertical="center"/>
      <protection locked="0"/>
    </xf>
    <xf numFmtId="0" fontId="61" fillId="0" borderId="132" xfId="0" applyFont="1" applyFill="1" applyBorder="1" applyAlignment="1" applyProtection="1">
      <alignment vertical="center"/>
      <protection locked="0"/>
    </xf>
    <xf numFmtId="0" fontId="31" fillId="14" borderId="229" xfId="0" applyFont="1" applyFill="1" applyBorder="1" applyAlignment="1">
      <alignment vertical="center" shrinkToFit="1"/>
    </xf>
    <xf numFmtId="0" fontId="31" fillId="14" borderId="229" xfId="0" applyFont="1" applyFill="1" applyBorder="1" applyAlignment="1">
      <alignment vertical="center"/>
    </xf>
    <xf numFmtId="0" fontId="54" fillId="0" borderId="0" xfId="0" applyFont="1" applyFill="1" applyAlignment="1">
      <alignment horizontal="left" vertical="center" wrapText="1"/>
    </xf>
    <xf numFmtId="0" fontId="31" fillId="0" borderId="0" xfId="0" applyFont="1" applyFill="1" applyAlignment="1">
      <alignment vertical="center"/>
    </xf>
    <xf numFmtId="0" fontId="127" fillId="0" borderId="0" xfId="0" applyFont="1" applyFill="1" applyAlignment="1">
      <alignment vertical="center"/>
    </xf>
    <xf numFmtId="0" fontId="134" fillId="2" borderId="0" xfId="17" applyFill="1" applyProtection="1"/>
    <xf numFmtId="0" fontId="134" fillId="2" borderId="0" xfId="17" applyFill="1"/>
    <xf numFmtId="0" fontId="68" fillId="0" borderId="203" xfId="0" applyFont="1" applyFill="1" applyBorder="1" applyAlignment="1">
      <alignment vertical="center"/>
    </xf>
    <xf numFmtId="0" fontId="68" fillId="0" borderId="202" xfId="0" applyFont="1" applyFill="1" applyBorder="1" applyAlignment="1">
      <alignment vertical="center"/>
    </xf>
    <xf numFmtId="0" fontId="68" fillId="0" borderId="207" xfId="0" applyFont="1" applyFill="1" applyBorder="1" applyAlignment="1">
      <alignment vertical="center"/>
    </xf>
    <xf numFmtId="0" fontId="68" fillId="0" borderId="208" xfId="0" applyFont="1" applyFill="1" applyBorder="1" applyAlignment="1">
      <alignment vertical="center"/>
    </xf>
    <xf numFmtId="0" fontId="68" fillId="0" borderId="29" xfId="0" applyFont="1" applyBorder="1" applyAlignment="1">
      <alignment vertical="center"/>
    </xf>
    <xf numFmtId="0" fontId="68" fillId="0" borderId="32" xfId="0" applyFont="1" applyBorder="1" applyAlignment="1">
      <alignment vertical="center"/>
    </xf>
    <xf numFmtId="0" fontId="68" fillId="0" borderId="58" xfId="0" applyFont="1" applyBorder="1" applyAlignment="1">
      <alignment vertical="center"/>
    </xf>
    <xf numFmtId="0" fontId="68" fillId="0" borderId="29" xfId="0" applyFont="1" applyBorder="1" applyAlignment="1" applyProtection="1">
      <alignment vertical="center"/>
    </xf>
    <xf numFmtId="0" fontId="68" fillId="0" borderId="32" xfId="0" applyFont="1" applyBorder="1" applyAlignment="1" applyProtection="1">
      <alignment vertical="center"/>
    </xf>
    <xf numFmtId="0" fontId="68" fillId="0" borderId="58" xfId="0" applyFont="1" applyBorder="1" applyAlignment="1" applyProtection="1">
      <alignment vertical="center"/>
    </xf>
    <xf numFmtId="0" fontId="85" fillId="0" borderId="0" xfId="0" applyFont="1"/>
    <xf numFmtId="189" fontId="68" fillId="0" borderId="0" xfId="6" applyNumberFormat="1" applyFont="1" applyAlignment="1" applyProtection="1"/>
    <xf numFmtId="189" fontId="68" fillId="0" borderId="1" xfId="6" applyNumberFormat="1" applyFont="1" applyBorder="1" applyAlignment="1" applyProtection="1"/>
    <xf numFmtId="0" fontId="68" fillId="0" borderId="0" xfId="6" applyNumberFormat="1" applyFont="1" applyAlignment="1"/>
    <xf numFmtId="0" fontId="68" fillId="0" borderId="1" xfId="6" applyNumberFormat="1" applyFont="1" applyBorder="1" applyAlignment="1"/>
    <xf numFmtId="0" fontId="68" fillId="2" borderId="30" xfId="0" applyFont="1" applyFill="1" applyBorder="1" applyAlignment="1" applyProtection="1">
      <alignment vertical="center"/>
      <protection locked="0"/>
    </xf>
    <xf numFmtId="0" fontId="68" fillId="2" borderId="115" xfId="0" applyFont="1" applyFill="1" applyBorder="1" applyAlignment="1" applyProtection="1">
      <alignment vertical="center"/>
      <protection locked="0"/>
    </xf>
    <xf numFmtId="0" fontId="68" fillId="2" borderId="1" xfId="0" applyFont="1" applyFill="1" applyBorder="1" applyAlignment="1" applyProtection="1">
      <alignment vertical="center"/>
      <protection locked="0"/>
    </xf>
    <xf numFmtId="0" fontId="109" fillId="0" borderId="123" xfId="0" applyFont="1" applyFill="1" applyBorder="1" applyAlignment="1" applyProtection="1">
      <alignment horizontal="right" vertical="center" shrinkToFit="1"/>
      <protection locked="0"/>
    </xf>
    <xf numFmtId="0" fontId="110" fillId="0" borderId="30" xfId="17" applyFont="1" applyFill="1" applyBorder="1" applyAlignment="1" applyProtection="1">
      <alignment horizontal="center" vertical="center"/>
      <protection locked="0"/>
    </xf>
    <xf numFmtId="0" fontId="109" fillId="0" borderId="17" xfId="0" applyFont="1" applyFill="1" applyBorder="1" applyAlignment="1" applyProtection="1">
      <alignment horizontal="right" vertical="center" shrinkToFit="1"/>
      <protection locked="0"/>
    </xf>
    <xf numFmtId="0" fontId="110" fillId="0" borderId="115" xfId="17" applyFont="1" applyFill="1" applyBorder="1" applyAlignment="1" applyProtection="1">
      <alignment horizontal="center" vertical="center"/>
      <protection locked="0"/>
    </xf>
    <xf numFmtId="0" fontId="109" fillId="0" borderId="127" xfId="0" applyFont="1" applyFill="1" applyBorder="1" applyAlignment="1" applyProtection="1">
      <alignment horizontal="right" vertical="center" shrinkToFit="1"/>
      <protection locked="0"/>
    </xf>
    <xf numFmtId="0" fontId="110" fillId="0" borderId="1" xfId="17"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68" fillId="0" borderId="29" xfId="0" applyFont="1" applyFill="1" applyBorder="1" applyAlignment="1">
      <alignment vertical="center"/>
    </xf>
    <xf numFmtId="0" fontId="109" fillId="0" borderId="123" xfId="0" applyFont="1" applyFill="1" applyBorder="1" applyAlignment="1" applyProtection="1">
      <alignment horizontal="right" vertical="center"/>
      <protection locked="0"/>
    </xf>
    <xf numFmtId="0" fontId="111" fillId="0" borderId="31" xfId="0" applyFont="1" applyFill="1" applyBorder="1" applyAlignment="1" applyProtection="1">
      <alignment horizontal="center" vertical="center"/>
      <protection locked="0"/>
    </xf>
    <xf numFmtId="0" fontId="109" fillId="0" borderId="17" xfId="0" applyFont="1" applyFill="1" applyBorder="1" applyAlignment="1" applyProtection="1">
      <alignment horizontal="right" vertical="center"/>
      <protection locked="0"/>
    </xf>
    <xf numFmtId="0" fontId="111" fillId="0" borderId="115" xfId="0" applyFont="1" applyFill="1" applyBorder="1" applyAlignment="1" applyProtection="1">
      <alignment horizontal="center" vertical="center"/>
      <protection locked="0"/>
    </xf>
    <xf numFmtId="0" fontId="68" fillId="0" borderId="32" xfId="0" applyFont="1" applyFill="1" applyBorder="1" applyAlignment="1">
      <alignment vertical="center"/>
    </xf>
    <xf numFmtId="0" fontId="109" fillId="0" borderId="115" xfId="0" applyFont="1" applyFill="1" applyBorder="1" applyAlignment="1" applyProtection="1">
      <alignment horizontal="right" vertical="center"/>
      <protection locked="0"/>
    </xf>
    <xf numFmtId="0" fontId="111" fillId="0" borderId="60" xfId="0" applyFont="1" applyFill="1" applyBorder="1" applyAlignment="1" applyProtection="1">
      <alignment horizontal="center" vertical="center"/>
      <protection locked="0"/>
    </xf>
    <xf numFmtId="0" fontId="109" fillId="0" borderId="63" xfId="0" applyFont="1" applyFill="1" applyBorder="1" applyAlignment="1" applyProtection="1">
      <alignment horizontal="right" vertical="center"/>
      <protection locked="0"/>
    </xf>
    <xf numFmtId="0" fontId="111" fillId="0" borderId="1" xfId="0" applyFont="1" applyFill="1" applyBorder="1" applyAlignment="1" applyProtection="1">
      <alignment horizontal="center" vertical="center"/>
      <protection locked="0"/>
    </xf>
    <xf numFmtId="0" fontId="68" fillId="0" borderId="58" xfId="0" applyFont="1" applyFill="1" applyBorder="1" applyAlignment="1">
      <alignment vertical="center"/>
    </xf>
    <xf numFmtId="0" fontId="109" fillId="0" borderId="1" xfId="0" applyFont="1" applyFill="1" applyBorder="1" applyAlignment="1" applyProtection="1">
      <alignment horizontal="right" vertical="center"/>
      <protection locked="0"/>
    </xf>
    <xf numFmtId="0" fontId="111" fillId="0" borderId="54" xfId="0" applyFont="1" applyFill="1" applyBorder="1" applyAlignment="1" applyProtection="1">
      <alignment horizontal="center" vertical="center"/>
      <protection locked="0"/>
    </xf>
    <xf numFmtId="0" fontId="68" fillId="0" borderId="29" xfId="0" applyFont="1" applyFill="1" applyBorder="1" applyAlignment="1" applyProtection="1">
      <alignment vertical="center"/>
    </xf>
    <xf numFmtId="0" fontId="68" fillId="0" borderId="32" xfId="0" applyFont="1" applyFill="1" applyBorder="1" applyAlignment="1" applyProtection="1">
      <alignment vertical="center"/>
    </xf>
    <xf numFmtId="0" fontId="68" fillId="0" borderId="58" xfId="0" applyFont="1" applyFill="1" applyBorder="1" applyAlignment="1" applyProtection="1">
      <alignment vertical="center"/>
    </xf>
    <xf numFmtId="0" fontId="61" fillId="0" borderId="18" xfId="0" applyFont="1" applyBorder="1" applyAlignment="1" applyProtection="1">
      <alignment horizontal="center" vertical="center"/>
    </xf>
    <xf numFmtId="0" fontId="12" fillId="4" borderId="247" xfId="2" applyFont="1" applyFill="1" applyBorder="1" applyAlignment="1">
      <alignment horizontal="center" vertical="center"/>
    </xf>
    <xf numFmtId="0" fontId="75" fillId="4" borderId="246" xfId="2" applyFont="1" applyFill="1" applyBorder="1" applyAlignment="1">
      <alignment horizontal="center" vertical="center"/>
    </xf>
    <xf numFmtId="0" fontId="75" fillId="4" borderId="251" xfId="2" applyFont="1" applyFill="1" applyBorder="1" applyAlignment="1">
      <alignment horizontal="center" vertical="center"/>
    </xf>
    <xf numFmtId="0" fontId="75" fillId="4" borderId="252" xfId="2" applyFont="1" applyFill="1" applyBorder="1" applyAlignment="1">
      <alignment horizontal="center" vertical="center"/>
    </xf>
    <xf numFmtId="0" fontId="12" fillId="4" borderId="247" xfId="2" applyFont="1" applyFill="1" applyBorder="1" applyAlignment="1">
      <alignment horizontal="center" vertical="center" wrapText="1"/>
    </xf>
    <xf numFmtId="0" fontId="12" fillId="4" borderId="247" xfId="2" applyFont="1" applyFill="1" applyBorder="1" applyAlignment="1">
      <alignment horizontal="left" vertical="center" wrapText="1"/>
    </xf>
    <xf numFmtId="0" fontId="12" fillId="4" borderId="247" xfId="2" applyFont="1" applyFill="1" applyBorder="1" applyAlignment="1">
      <alignment horizontal="left" vertical="center"/>
    </xf>
    <xf numFmtId="0" fontId="12" fillId="2" borderId="247" xfId="2" applyFont="1" applyFill="1" applyBorder="1" applyAlignment="1">
      <alignment horizontal="center" vertical="center"/>
    </xf>
    <xf numFmtId="0" fontId="12" fillId="20" borderId="114" xfId="2" applyFont="1" applyFill="1" applyBorder="1" applyAlignment="1">
      <alignment horizontal="center" vertical="center"/>
    </xf>
    <xf numFmtId="0" fontId="12" fillId="20" borderId="254" xfId="2" applyFont="1" applyFill="1" applyBorder="1" applyAlignment="1">
      <alignment horizontal="center" vertical="center"/>
    </xf>
    <xf numFmtId="0" fontId="12" fillId="20" borderId="249" xfId="0" applyFont="1" applyFill="1" applyBorder="1" applyAlignment="1">
      <alignment horizontal="center" vertical="center"/>
    </xf>
    <xf numFmtId="0" fontId="12" fillId="20" borderId="250" xfId="0" applyFont="1" applyFill="1" applyBorder="1" applyAlignment="1">
      <alignment horizontal="center" vertical="center"/>
    </xf>
    <xf numFmtId="38" fontId="75" fillId="4" borderId="246" xfId="6" applyFont="1" applyFill="1" applyBorder="1" applyAlignment="1">
      <alignment horizontal="right" vertical="center"/>
    </xf>
    <xf numFmtId="38" fontId="75" fillId="4" borderId="252" xfId="6" applyFont="1" applyFill="1" applyBorder="1" applyAlignment="1">
      <alignment horizontal="right" vertical="center"/>
    </xf>
    <xf numFmtId="179" fontId="12" fillId="4" borderId="246" xfId="2" applyNumberFormat="1" applyFont="1" applyFill="1" applyBorder="1" applyAlignment="1">
      <alignment horizontal="left" vertical="center"/>
    </xf>
    <xf numFmtId="179" fontId="12" fillId="4" borderId="252" xfId="2" applyNumberFormat="1" applyFont="1" applyFill="1" applyBorder="1" applyAlignment="1">
      <alignment horizontal="left" vertical="center"/>
    </xf>
    <xf numFmtId="38" fontId="75" fillId="4" borderId="247" xfId="6" applyFont="1" applyFill="1" applyBorder="1" applyAlignment="1">
      <alignment horizontal="right" vertical="center"/>
    </xf>
    <xf numFmtId="179" fontId="12" fillId="4" borderId="247" xfId="2" applyNumberFormat="1" applyFont="1" applyFill="1" applyBorder="1" applyAlignment="1">
      <alignment horizontal="left" vertical="center"/>
    </xf>
    <xf numFmtId="179" fontId="12" fillId="4" borderId="247" xfId="2" applyNumberFormat="1" applyFont="1" applyFill="1" applyBorder="1" applyAlignment="1">
      <alignment horizontal="center" vertical="center"/>
    </xf>
    <xf numFmtId="0" fontId="12" fillId="20" borderId="247" xfId="2" applyFont="1" applyFill="1" applyBorder="1" applyAlignment="1">
      <alignment horizontal="center" vertical="center"/>
    </xf>
    <xf numFmtId="0" fontId="74" fillId="2" borderId="247" xfId="2" applyFont="1" applyFill="1" applyBorder="1" applyAlignment="1">
      <alignment horizontal="center" vertical="center"/>
    </xf>
    <xf numFmtId="179" fontId="12" fillId="4" borderId="247" xfId="2" applyNumberFormat="1" applyFont="1" applyFill="1" applyBorder="1" applyAlignment="1">
      <alignment horizontal="center" vertical="center" wrapText="1"/>
    </xf>
    <xf numFmtId="38" fontId="75" fillId="4" borderId="247" xfId="6" applyFont="1" applyFill="1" applyBorder="1" applyAlignment="1">
      <alignment horizontal="right" vertical="center" wrapText="1"/>
    </xf>
    <xf numFmtId="38" fontId="12" fillId="4" borderId="247" xfId="6" applyFont="1" applyFill="1" applyBorder="1" applyAlignment="1">
      <alignment horizontal="left" vertical="center" wrapText="1"/>
    </xf>
    <xf numFmtId="38" fontId="12" fillId="4" borderId="247" xfId="6" applyFont="1" applyFill="1" applyBorder="1" applyAlignment="1">
      <alignment horizontal="center" vertical="center" wrapText="1"/>
    </xf>
    <xf numFmtId="0" fontId="74" fillId="20" borderId="248" xfId="2" applyFont="1" applyFill="1" applyBorder="1" applyAlignment="1">
      <alignment horizontal="center" vertical="center"/>
    </xf>
    <xf numFmtId="0" fontId="74" fillId="20" borderId="249" xfId="2" applyFont="1" applyFill="1" applyBorder="1" applyAlignment="1">
      <alignment horizontal="center" vertical="center"/>
    </xf>
    <xf numFmtId="0" fontId="74" fillId="20" borderId="250" xfId="2" applyFont="1" applyFill="1" applyBorder="1" applyAlignment="1">
      <alignment horizontal="center" vertical="center"/>
    </xf>
    <xf numFmtId="38" fontId="12" fillId="4" borderId="246" xfId="6" applyFont="1" applyFill="1" applyBorder="1" applyAlignment="1">
      <alignment horizontal="left" vertical="center" wrapText="1"/>
    </xf>
    <xf numFmtId="38" fontId="12" fillId="4" borderId="251" xfId="6" applyFont="1" applyFill="1" applyBorder="1" applyAlignment="1">
      <alignment horizontal="left" vertical="center" wrapText="1"/>
    </xf>
    <xf numFmtId="38" fontId="12" fillId="4" borderId="252" xfId="6" applyFont="1" applyFill="1" applyBorder="1" applyAlignment="1">
      <alignment horizontal="left" vertical="center" wrapText="1"/>
    </xf>
    <xf numFmtId="38" fontId="12" fillId="4" borderId="246" xfId="6" applyFont="1" applyFill="1" applyBorder="1" applyAlignment="1">
      <alignment horizontal="center" vertical="center" wrapText="1"/>
    </xf>
    <xf numFmtId="38" fontId="12" fillId="4" borderId="251" xfId="6" applyFont="1" applyFill="1" applyBorder="1" applyAlignment="1">
      <alignment horizontal="center" vertical="center" wrapText="1"/>
    </xf>
    <xf numFmtId="38" fontId="12" fillId="4" borderId="252" xfId="6" applyFont="1" applyFill="1" applyBorder="1" applyAlignment="1">
      <alignment horizontal="center" vertical="center" wrapText="1"/>
    </xf>
    <xf numFmtId="0" fontId="12" fillId="4" borderId="246" xfId="2" applyFont="1" applyFill="1" applyBorder="1" applyAlignment="1">
      <alignment horizontal="left" vertical="center" wrapText="1"/>
    </xf>
    <xf numFmtId="0" fontId="12" fillId="4" borderId="251" xfId="2" applyFont="1" applyFill="1" applyBorder="1" applyAlignment="1">
      <alignment horizontal="left" vertical="center" wrapText="1"/>
    </xf>
    <xf numFmtId="0" fontId="12" fillId="4" borderId="252" xfId="2" applyFont="1" applyFill="1" applyBorder="1" applyAlignment="1">
      <alignment horizontal="left" vertical="center" wrapText="1"/>
    </xf>
    <xf numFmtId="0" fontId="12" fillId="4" borderId="246" xfId="2" applyFont="1" applyFill="1" applyBorder="1" applyAlignment="1">
      <alignment horizontal="center" vertical="center"/>
    </xf>
    <xf numFmtId="0" fontId="12" fillId="4" borderId="251" xfId="2" applyFont="1" applyFill="1" applyBorder="1" applyAlignment="1">
      <alignment horizontal="center" vertical="center"/>
    </xf>
    <xf numFmtId="0" fontId="12" fillId="4" borderId="252" xfId="2" applyFont="1" applyFill="1" applyBorder="1" applyAlignment="1">
      <alignment horizontal="center" vertical="center"/>
    </xf>
    <xf numFmtId="0" fontId="16" fillId="4" borderId="247" xfId="2" applyFont="1" applyFill="1" applyBorder="1" applyAlignment="1">
      <alignment horizontal="center" vertical="center"/>
    </xf>
    <xf numFmtId="0" fontId="16" fillId="4" borderId="247" xfId="2" applyFont="1" applyFill="1" applyBorder="1" applyAlignment="1">
      <alignment horizontal="center" vertical="center" wrapText="1"/>
    </xf>
    <xf numFmtId="0" fontId="12" fillId="4" borderId="256"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257" xfId="0" applyFont="1" applyFill="1" applyBorder="1" applyAlignment="1">
      <alignment horizontal="center" vertical="center" wrapText="1" shrinkToFit="1"/>
    </xf>
    <xf numFmtId="0" fontId="0" fillId="0" borderId="0" xfId="0" applyFont="1" applyAlignment="1">
      <alignment horizontal="left" vertical="top" wrapText="1"/>
    </xf>
    <xf numFmtId="0" fontId="68" fillId="0" borderId="0" xfId="0" applyFont="1" applyAlignment="1">
      <alignment horizontal="left" vertical="top" wrapText="1"/>
    </xf>
    <xf numFmtId="0" fontId="93" fillId="0" borderId="8" xfId="0" applyFont="1" applyBorder="1" applyAlignment="1">
      <alignment horizontal="center" vertical="center"/>
    </xf>
    <xf numFmtId="0" fontId="93" fillId="0" borderId="13" xfId="0" applyFont="1" applyBorder="1" applyAlignment="1">
      <alignment horizontal="center" vertical="center"/>
    </xf>
    <xf numFmtId="0" fontId="93" fillId="0" borderId="19" xfId="0" applyFont="1" applyBorder="1" applyAlignment="1">
      <alignment horizontal="center" vertical="center"/>
    </xf>
    <xf numFmtId="0" fontId="61" fillId="0" borderId="8" xfId="0" applyFont="1" applyBorder="1" applyAlignment="1">
      <alignment horizontal="left" vertical="top" wrapText="1"/>
    </xf>
    <xf numFmtId="0" fontId="61" fillId="0" borderId="13" xfId="0" applyFont="1" applyBorder="1" applyAlignment="1">
      <alignment horizontal="left" vertical="top" wrapText="1"/>
    </xf>
    <xf numFmtId="0" fontId="61" fillId="0" borderId="19" xfId="0" applyFont="1" applyBorder="1" applyAlignment="1">
      <alignment horizontal="left" vertical="top" wrapText="1"/>
    </xf>
    <xf numFmtId="0" fontId="38" fillId="14" borderId="0" xfId="2" applyFont="1" applyFill="1" applyAlignment="1">
      <alignment horizontal="left" vertical="top" wrapText="1"/>
    </xf>
    <xf numFmtId="0" fontId="68" fillId="8" borderId="8" xfId="0" applyFont="1" applyFill="1" applyBorder="1" applyAlignment="1">
      <alignment horizontal="center" vertical="center"/>
    </xf>
    <xf numFmtId="0" fontId="68" fillId="8" borderId="13" xfId="0" applyFont="1" applyFill="1" applyBorder="1" applyAlignment="1">
      <alignment horizontal="center" vertical="center"/>
    </xf>
    <xf numFmtId="0" fontId="68" fillId="8" borderId="19" xfId="0" applyFont="1" applyFill="1" applyBorder="1" applyAlignment="1">
      <alignment horizontal="center" vertical="center"/>
    </xf>
    <xf numFmtId="0" fontId="61" fillId="0" borderId="0" xfId="0" applyFont="1" applyAlignment="1">
      <alignment horizontal="left" vertical="top" wrapText="1"/>
    </xf>
    <xf numFmtId="0" fontId="55" fillId="25" borderId="0" xfId="0" applyFont="1" applyFill="1" applyAlignment="1">
      <alignment horizontal="center" vertical="center"/>
    </xf>
    <xf numFmtId="0" fontId="87" fillId="0" borderId="0" xfId="0" applyFont="1" applyAlignment="1">
      <alignment horizontal="left" vertical="top" wrapText="1"/>
    </xf>
    <xf numFmtId="0" fontId="94" fillId="0" borderId="0" xfId="0" applyFont="1" applyAlignment="1">
      <alignment horizontal="left" vertical="center" wrapText="1"/>
    </xf>
    <xf numFmtId="0" fontId="61" fillId="0" borderId="0" xfId="0" applyFont="1" applyAlignment="1">
      <alignment horizontal="left" vertical="center" wrapText="1"/>
    </xf>
    <xf numFmtId="0" fontId="68" fillId="0" borderId="119"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16" xfId="0" applyFont="1" applyBorder="1" applyAlignment="1">
      <alignment horizontal="center" vertical="center"/>
    </xf>
    <xf numFmtId="0" fontId="68" fillId="0" borderId="63" xfId="0" applyFont="1" applyBorder="1" applyAlignment="1">
      <alignment horizontal="center" vertical="center"/>
    </xf>
    <xf numFmtId="0" fontId="68" fillId="0" borderId="49" xfId="0" applyFont="1" applyBorder="1" applyAlignment="1">
      <alignment horizontal="center" shrinkToFit="1"/>
    </xf>
    <xf numFmtId="0" fontId="68" fillId="0" borderId="0" xfId="0" applyFont="1" applyAlignment="1">
      <alignment horizontal="center" shrinkToFit="1"/>
    </xf>
    <xf numFmtId="0" fontId="68" fillId="0" borderId="27" xfId="0" applyFont="1" applyBorder="1" applyAlignment="1">
      <alignment horizontal="center"/>
    </xf>
    <xf numFmtId="0" fontId="68" fillId="0" borderId="1" xfId="0" applyFont="1" applyBorder="1" applyAlignment="1">
      <alignment horizontal="center"/>
    </xf>
    <xf numFmtId="0" fontId="68" fillId="0" borderId="196" xfId="0" applyFont="1" applyBorder="1" applyAlignment="1">
      <alignment horizontal="center" shrinkToFit="1"/>
    </xf>
    <xf numFmtId="0" fontId="68" fillId="0" borderId="122" xfId="0" applyFont="1" applyBorder="1" applyAlignment="1">
      <alignment horizontal="center" shrinkToFit="1"/>
    </xf>
    <xf numFmtId="0" fontId="68" fillId="0" borderId="197" xfId="0" applyFont="1" applyBorder="1" applyAlignment="1">
      <alignment horizontal="center" shrinkToFit="1"/>
    </xf>
    <xf numFmtId="0" fontId="68" fillId="0" borderId="18" xfId="0" applyFont="1" applyBorder="1" applyAlignment="1">
      <alignment horizontal="center" vertical="center"/>
    </xf>
    <xf numFmtId="0" fontId="68" fillId="0" borderId="18" xfId="0" applyFont="1" applyBorder="1" applyAlignment="1">
      <alignment horizontal="center"/>
    </xf>
    <xf numFmtId="0" fontId="68" fillId="0" borderId="196" xfId="0" applyFont="1" applyBorder="1" applyAlignment="1">
      <alignment horizontal="center" vertical="center" wrapText="1"/>
    </xf>
    <xf numFmtId="0" fontId="68" fillId="0" borderId="122" xfId="0" applyFont="1" applyBorder="1" applyAlignment="1">
      <alignment horizontal="center" vertical="center" wrapText="1"/>
    </xf>
    <xf numFmtId="0" fontId="68" fillId="0" borderId="197"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24" xfId="16" applyFont="1" applyBorder="1" applyAlignment="1">
      <alignment horizontal="center" vertical="center"/>
    </xf>
    <xf numFmtId="0" fontId="68" fillId="0" borderId="201" xfId="16" applyFont="1" applyBorder="1" applyAlignment="1">
      <alignment horizontal="center" vertical="center"/>
    </xf>
    <xf numFmtId="0" fontId="68" fillId="0" borderId="27" xfId="16" applyFont="1" applyBorder="1" applyAlignment="1">
      <alignment horizontal="center" vertical="center"/>
    </xf>
    <xf numFmtId="0" fontId="68" fillId="0" borderId="205" xfId="16" applyFont="1" applyBorder="1" applyAlignment="1">
      <alignment horizontal="center" vertical="center"/>
    </xf>
    <xf numFmtId="0" fontId="68" fillId="0" borderId="203" xfId="0" applyFont="1" applyBorder="1" applyAlignment="1">
      <alignment horizontal="center" vertical="center" wrapText="1"/>
    </xf>
    <xf numFmtId="0" fontId="68" fillId="0" borderId="207" xfId="0" applyFont="1" applyBorder="1" applyAlignment="1">
      <alignment horizontal="center" vertical="center" wrapTex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177" fontId="61" fillId="2" borderId="35" xfId="0" applyNumberFormat="1" applyFont="1" applyFill="1" applyBorder="1" applyAlignment="1" applyProtection="1">
      <alignment horizontal="center" vertical="center" shrinkToFit="1"/>
      <protection locked="0"/>
    </xf>
    <xf numFmtId="177" fontId="61" fillId="2" borderId="133" xfId="0" applyNumberFormat="1" applyFont="1" applyFill="1" applyBorder="1" applyAlignment="1" applyProtection="1">
      <alignment horizontal="center" vertical="center" shrinkToFit="1"/>
      <protection locked="0"/>
    </xf>
    <xf numFmtId="177" fontId="61" fillId="2" borderId="34" xfId="0" applyNumberFormat="1" applyFont="1" applyFill="1" applyBorder="1" applyAlignment="1" applyProtection="1">
      <alignment horizontal="center" vertical="center" shrinkToFit="1"/>
      <protection locked="0"/>
    </xf>
    <xf numFmtId="177" fontId="61" fillId="2" borderId="128" xfId="0" applyNumberFormat="1" applyFont="1" applyFill="1" applyBorder="1" applyAlignment="1" applyProtection="1">
      <alignment horizontal="center" vertical="center" shrinkToFit="1"/>
      <protection locked="0"/>
    </xf>
    <xf numFmtId="0" fontId="93" fillId="0" borderId="29" xfId="0" applyFont="1" applyBorder="1" applyAlignment="1">
      <alignment horizontal="center"/>
    </xf>
    <xf numFmtId="0" fontId="93" fillId="0" borderId="30" xfId="0" applyFont="1" applyBorder="1" applyAlignment="1">
      <alignment horizontal="center"/>
    </xf>
    <xf numFmtId="0" fontId="93" fillId="0" borderId="31" xfId="0" applyFont="1" applyBorder="1" applyAlignment="1">
      <alignment horizontal="center"/>
    </xf>
    <xf numFmtId="0" fontId="61" fillId="0" borderId="33" xfId="0" applyFont="1" applyBorder="1" applyAlignment="1">
      <alignment horizontal="center" vertical="center"/>
    </xf>
    <xf numFmtId="0" fontId="61" fillId="0" borderId="18" xfId="0" applyFont="1" applyBorder="1" applyAlignment="1">
      <alignment horizontal="center" vertical="center"/>
    </xf>
    <xf numFmtId="0" fontId="61" fillId="2" borderId="18" xfId="0" applyFont="1" applyFill="1" applyBorder="1" applyAlignment="1" applyProtection="1">
      <alignment horizontal="center" vertical="center" shrinkToFit="1"/>
      <protection locked="0"/>
    </xf>
    <xf numFmtId="0" fontId="61" fillId="2" borderId="66" xfId="0" applyFont="1" applyFill="1" applyBorder="1" applyAlignment="1" applyProtection="1">
      <alignment horizontal="center" vertical="center" shrinkToFit="1"/>
      <protection locked="0"/>
    </xf>
    <xf numFmtId="0" fontId="61" fillId="2" borderId="33" xfId="0" applyFont="1" applyFill="1" applyBorder="1" applyAlignment="1" applyProtection="1">
      <alignment horizontal="center" vertical="center" shrinkToFit="1"/>
      <protection locked="0"/>
    </xf>
    <xf numFmtId="0" fontId="61" fillId="2" borderId="129" xfId="0" applyFont="1" applyFill="1" applyBorder="1" applyAlignment="1" applyProtection="1">
      <alignment horizontal="center" vertical="center" shrinkToFit="1"/>
      <protection locked="0"/>
    </xf>
    <xf numFmtId="0" fontId="104" fillId="2" borderId="0" xfId="17" applyFont="1" applyFill="1" applyAlignment="1">
      <alignment horizontal="left"/>
    </xf>
    <xf numFmtId="0" fontId="104" fillId="2" borderId="116" xfId="17" applyFont="1" applyFill="1" applyBorder="1" applyAlignment="1">
      <alignment horizontal="left"/>
    </xf>
    <xf numFmtId="0" fontId="93" fillId="0" borderId="26" xfId="0" applyFont="1" applyBorder="1" applyAlignment="1">
      <alignment horizontal="center" vertical="center"/>
    </xf>
    <xf numFmtId="0" fontId="93" fillId="0" borderId="28" xfId="0" applyFont="1" applyBorder="1" applyAlignment="1">
      <alignment horizontal="center" vertical="center"/>
    </xf>
    <xf numFmtId="0" fontId="93" fillId="0" borderId="29" xfId="0" applyFont="1" applyBorder="1" applyAlignment="1">
      <alignment horizontal="center" vertical="center"/>
    </xf>
    <xf numFmtId="0" fontId="93" fillId="0" borderId="30" xfId="0" applyFont="1" applyBorder="1" applyAlignment="1">
      <alignment horizontal="center" vertical="center"/>
    </xf>
    <xf numFmtId="0" fontId="93" fillId="0" borderId="31" xfId="0" applyFont="1" applyBorder="1" applyAlignment="1">
      <alignment horizontal="center" vertical="center"/>
    </xf>
    <xf numFmtId="0" fontId="93" fillId="0" borderId="68" xfId="0" applyFont="1" applyBorder="1" applyAlignment="1">
      <alignment horizontal="center" vertical="center" wrapText="1"/>
    </xf>
    <xf numFmtId="0" fontId="93" fillId="0" borderId="127" xfId="0" applyFont="1" applyBorder="1" applyAlignment="1">
      <alignment horizontal="center" vertical="center"/>
    </xf>
    <xf numFmtId="0" fontId="61" fillId="0" borderId="119" xfId="0" applyFont="1" applyBorder="1" applyAlignment="1">
      <alignment horizontal="center" vertical="center" wrapText="1"/>
    </xf>
    <xf numFmtId="0" fontId="61" fillId="0" borderId="124" xfId="0" applyFont="1" applyBorder="1" applyAlignment="1">
      <alignment horizontal="center" vertical="center" wrapText="1"/>
    </xf>
    <xf numFmtId="0" fontId="61" fillId="0" borderId="124" xfId="0" applyFont="1" applyBorder="1" applyAlignment="1">
      <alignment horizontal="center" vertical="center"/>
    </xf>
    <xf numFmtId="0" fontId="61" fillId="0" borderId="120" xfId="0" applyFont="1" applyBorder="1" applyAlignment="1">
      <alignment horizontal="center" vertical="center"/>
    </xf>
    <xf numFmtId="0" fontId="61" fillId="0" borderId="119" xfId="0" applyFont="1" applyBorder="1" applyAlignment="1">
      <alignment horizontal="center" vertical="center"/>
    </xf>
    <xf numFmtId="0" fontId="61" fillId="0" borderId="125" xfId="0" applyFont="1" applyBorder="1" applyAlignment="1">
      <alignment horizontal="center" vertical="center"/>
    </xf>
    <xf numFmtId="0" fontId="68" fillId="0" borderId="119" xfId="0" applyFont="1" applyBorder="1" applyAlignment="1" applyProtection="1">
      <alignment horizontal="center" vertical="center" wrapText="1"/>
    </xf>
    <xf numFmtId="0" fontId="68" fillId="0" borderId="33" xfId="0" applyFont="1" applyBorder="1" applyAlignment="1" applyProtection="1">
      <alignment horizontal="center" vertical="center" wrapText="1"/>
    </xf>
    <xf numFmtId="0" fontId="68" fillId="0" borderId="34" xfId="0" applyFont="1" applyBorder="1" applyAlignment="1" applyProtection="1">
      <alignment horizontal="center" vertical="center" wrapText="1"/>
    </xf>
    <xf numFmtId="0" fontId="68" fillId="0" borderId="136" xfId="0" applyFont="1" applyBorder="1" applyAlignment="1" applyProtection="1">
      <alignment horizontal="center" vertical="center" wrapText="1"/>
    </xf>
    <xf numFmtId="0" fontId="68" fillId="0" borderId="135" xfId="0" applyFont="1" applyBorder="1" applyAlignment="1" applyProtection="1">
      <alignment horizontal="center" vertical="center" wrapText="1"/>
    </xf>
    <xf numFmtId="0" fontId="68" fillId="0" borderId="146" xfId="0" applyFont="1" applyBorder="1" applyAlignment="1" applyProtection="1">
      <alignment horizontal="center" vertical="center" wrapText="1"/>
    </xf>
    <xf numFmtId="0" fontId="68" fillId="0" borderId="24" xfId="16" applyFont="1" applyBorder="1" applyAlignment="1" applyProtection="1">
      <alignment horizontal="center" vertical="center"/>
    </xf>
    <xf numFmtId="0" fontId="68" fillId="0" borderId="201" xfId="16" applyFont="1" applyBorder="1" applyAlignment="1" applyProtection="1">
      <alignment horizontal="center" vertical="center"/>
    </xf>
    <xf numFmtId="0" fontId="68" fillId="0" borderId="27" xfId="16" applyFont="1" applyBorder="1" applyAlignment="1" applyProtection="1">
      <alignment horizontal="center" vertical="center"/>
    </xf>
    <xf numFmtId="0" fontId="68" fillId="0" borderId="205" xfId="16" applyFont="1" applyBorder="1" applyAlignment="1" applyProtection="1">
      <alignment horizontal="center" vertical="center"/>
    </xf>
    <xf numFmtId="0" fontId="68" fillId="0" borderId="203" xfId="0" applyFont="1" applyBorder="1" applyAlignment="1" applyProtection="1">
      <alignment horizontal="center" vertical="center" wrapText="1"/>
    </xf>
    <xf numFmtId="0" fontId="68" fillId="0" borderId="207" xfId="0" applyFont="1" applyBorder="1" applyAlignment="1" applyProtection="1">
      <alignment horizontal="center" vertical="center" wrapText="1"/>
    </xf>
    <xf numFmtId="0" fontId="68" fillId="0" borderId="196" xfId="0" applyFont="1" applyBorder="1" applyAlignment="1" applyProtection="1">
      <alignment horizontal="center" shrinkToFit="1"/>
    </xf>
    <xf numFmtId="0" fontId="68" fillId="0" borderId="122" xfId="0" applyFont="1" applyBorder="1" applyAlignment="1" applyProtection="1">
      <alignment horizontal="center" shrinkToFit="1"/>
    </xf>
    <xf numFmtId="0" fontId="68" fillId="0" borderId="197" xfId="0" applyFont="1" applyBorder="1" applyAlignment="1" applyProtection="1">
      <alignment horizontal="center" shrinkToFit="1"/>
    </xf>
    <xf numFmtId="0" fontId="61" fillId="0" borderId="34" xfId="0" applyFont="1" applyBorder="1" applyAlignment="1" applyProtection="1">
      <alignment horizontal="center" vertical="center"/>
    </xf>
    <xf numFmtId="0" fontId="61" fillId="0" borderId="35" xfId="0" applyFont="1" applyBorder="1" applyAlignment="1" applyProtection="1">
      <alignment horizontal="center" vertical="center"/>
    </xf>
    <xf numFmtId="0" fontId="93" fillId="0" borderId="29" xfId="0" applyFont="1" applyBorder="1" applyAlignment="1" applyProtection="1">
      <alignment horizontal="center"/>
    </xf>
    <xf numFmtId="0" fontId="93" fillId="0" borderId="30" xfId="0" applyFont="1" applyBorder="1" applyAlignment="1" applyProtection="1">
      <alignment horizontal="center"/>
    </xf>
    <xf numFmtId="0" fontId="93" fillId="0" borderId="31" xfId="0" applyFont="1" applyBorder="1" applyAlignment="1" applyProtection="1">
      <alignment horizontal="center"/>
    </xf>
    <xf numFmtId="0" fontId="68" fillId="0" borderId="49" xfId="0" applyFont="1" applyBorder="1" applyAlignment="1" applyProtection="1">
      <alignment horizontal="center" shrinkToFit="1"/>
    </xf>
    <xf numFmtId="0" fontId="68" fillId="0" borderId="0" xfId="0" applyFont="1" applyAlignment="1" applyProtection="1">
      <alignment horizontal="center" shrinkToFit="1"/>
    </xf>
    <xf numFmtId="0" fontId="68" fillId="0" borderId="27" xfId="0" applyFont="1" applyBorder="1" applyAlignment="1" applyProtection="1">
      <alignment horizontal="center"/>
    </xf>
    <xf numFmtId="0" fontId="68" fillId="0" borderId="1" xfId="0" applyFont="1" applyBorder="1" applyAlignment="1" applyProtection="1">
      <alignment horizontal="center"/>
    </xf>
    <xf numFmtId="0" fontId="68" fillId="0" borderId="18" xfId="0" applyFont="1" applyBorder="1" applyAlignment="1" applyProtection="1">
      <alignment horizontal="center" vertical="center"/>
    </xf>
    <xf numFmtId="0" fontId="68" fillId="0" borderId="18" xfId="0" applyFont="1" applyBorder="1" applyAlignment="1" applyProtection="1">
      <alignment horizontal="center"/>
    </xf>
    <xf numFmtId="0" fontId="68" fillId="0" borderId="196" xfId="0" applyFont="1" applyBorder="1" applyAlignment="1" applyProtection="1">
      <alignment horizontal="center" vertical="center" wrapText="1"/>
    </xf>
    <xf numFmtId="0" fontId="68" fillId="0" borderId="122" xfId="0" applyFont="1" applyBorder="1" applyAlignment="1" applyProtection="1">
      <alignment horizontal="center" vertical="center" wrapText="1"/>
    </xf>
    <xf numFmtId="0" fontId="68" fillId="0" borderId="197" xfId="0" applyFont="1" applyBorder="1" applyAlignment="1" applyProtection="1">
      <alignment horizontal="center" vertical="center" wrapText="1"/>
    </xf>
    <xf numFmtId="0" fontId="61" fillId="0" borderId="33" xfId="0" applyFont="1" applyBorder="1" applyAlignment="1" applyProtection="1">
      <alignment horizontal="center" vertical="center"/>
    </xf>
    <xf numFmtId="0" fontId="61" fillId="0" borderId="18" xfId="0" applyFont="1" applyBorder="1" applyAlignment="1" applyProtection="1">
      <alignment horizontal="center" vertical="center"/>
    </xf>
    <xf numFmtId="0" fontId="104" fillId="2" borderId="0" xfId="17" applyFont="1" applyFill="1" applyAlignment="1" applyProtection="1">
      <alignment horizontal="left"/>
    </xf>
    <xf numFmtId="0" fontId="104" fillId="2" borderId="116" xfId="17" applyFont="1" applyFill="1" applyBorder="1" applyAlignment="1" applyProtection="1">
      <alignment horizontal="left"/>
    </xf>
    <xf numFmtId="0" fontId="93" fillId="0" borderId="26" xfId="0" applyFont="1" applyBorder="1" applyAlignment="1" applyProtection="1">
      <alignment horizontal="center" vertical="center"/>
    </xf>
    <xf numFmtId="0" fontId="93" fillId="0" borderId="28" xfId="0" applyFont="1" applyBorder="1" applyAlignment="1" applyProtection="1">
      <alignment horizontal="center" vertical="center"/>
    </xf>
    <xf numFmtId="0" fontId="93" fillId="0" borderId="29" xfId="0" applyFont="1" applyBorder="1" applyAlignment="1" applyProtection="1">
      <alignment horizontal="center" vertical="center"/>
    </xf>
    <xf numFmtId="0" fontId="93" fillId="0" borderId="30" xfId="0" applyFont="1" applyBorder="1" applyAlignment="1" applyProtection="1">
      <alignment horizontal="center" vertical="center"/>
    </xf>
    <xf numFmtId="0" fontId="93" fillId="0" borderId="31" xfId="0" applyFont="1" applyBorder="1" applyAlignment="1" applyProtection="1">
      <alignment horizontal="center" vertical="center"/>
    </xf>
    <xf numFmtId="0" fontId="93" fillId="0" borderId="68" xfId="0" applyFont="1" applyBorder="1" applyAlignment="1" applyProtection="1">
      <alignment horizontal="center" vertical="center" wrapText="1"/>
    </xf>
    <xf numFmtId="0" fontId="93" fillId="0" borderId="127" xfId="0" applyFont="1" applyBorder="1" applyAlignment="1" applyProtection="1">
      <alignment horizontal="center" vertical="center"/>
    </xf>
    <xf numFmtId="0" fontId="93" fillId="0" borderId="59" xfId="0" applyFont="1" applyBorder="1" applyAlignment="1" applyProtection="1">
      <alignment horizontal="center" vertical="center"/>
    </xf>
    <xf numFmtId="0" fontId="93" fillId="0" borderId="115" xfId="0" applyFont="1" applyBorder="1" applyAlignment="1" applyProtection="1">
      <alignment horizontal="center" vertical="center"/>
    </xf>
    <xf numFmtId="0" fontId="93" fillId="0" borderId="57" xfId="0" applyFont="1" applyBorder="1" applyAlignment="1" applyProtection="1">
      <alignment horizontal="center" vertical="center"/>
    </xf>
    <xf numFmtId="0" fontId="61" fillId="0" borderId="119"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4" xfId="0" applyFont="1" applyBorder="1" applyAlignment="1" applyProtection="1">
      <alignment horizontal="center" vertical="center"/>
    </xf>
    <xf numFmtId="0" fontId="61" fillId="0" borderId="120" xfId="0" applyFont="1" applyBorder="1" applyAlignment="1" applyProtection="1">
      <alignment horizontal="center" vertical="center"/>
    </xf>
    <xf numFmtId="0" fontId="61" fillId="0" borderId="119" xfId="0" applyFont="1" applyBorder="1" applyAlignment="1" applyProtection="1">
      <alignment horizontal="center" vertical="center"/>
    </xf>
    <xf numFmtId="0" fontId="61" fillId="0" borderId="125" xfId="0" applyFont="1" applyBorder="1" applyAlignment="1" applyProtection="1">
      <alignment horizontal="center" vertical="center"/>
    </xf>
    <xf numFmtId="0" fontId="54" fillId="0" borderId="0" xfId="2" applyFont="1" applyAlignment="1" applyProtection="1">
      <alignment horizontal="left" vertical="top" wrapText="1"/>
    </xf>
    <xf numFmtId="0" fontId="112" fillId="0" borderId="0" xfId="0" applyFont="1" applyFill="1" applyAlignment="1" applyProtection="1">
      <alignment horizontal="left"/>
    </xf>
    <xf numFmtId="0" fontId="31" fillId="0" borderId="18" xfId="2" applyFont="1" applyFill="1" applyBorder="1" applyAlignment="1" applyProtection="1">
      <alignment horizontal="left" vertical="center"/>
    </xf>
    <xf numFmtId="0" fontId="31" fillId="3" borderId="18" xfId="2" applyFont="1" applyFill="1" applyBorder="1" applyAlignment="1" applyProtection="1">
      <alignment horizontal="center" vertical="center" wrapText="1"/>
    </xf>
    <xf numFmtId="0" fontId="31" fillId="3" borderId="18" xfId="2" applyFont="1" applyFill="1" applyBorder="1" applyAlignment="1" applyProtection="1">
      <alignment horizontal="center" vertical="center"/>
    </xf>
    <xf numFmtId="0" fontId="31" fillId="3" borderId="66" xfId="2" applyFont="1" applyFill="1" applyBorder="1" applyAlignment="1" applyProtection="1">
      <alignment horizontal="distributed" vertical="center" wrapText="1"/>
    </xf>
    <xf numFmtId="0" fontId="31" fillId="3" borderId="117" xfId="2" applyFont="1" applyFill="1" applyBorder="1" applyAlignment="1" applyProtection="1">
      <alignment horizontal="distributed" vertical="center" wrapText="1"/>
    </xf>
    <xf numFmtId="0" fontId="31" fillId="3" borderId="130" xfId="2" applyFont="1" applyFill="1" applyBorder="1" applyAlignment="1" applyProtection="1">
      <alignment horizontal="distributed" vertical="center" wrapText="1"/>
    </xf>
    <xf numFmtId="0" fontId="31" fillId="0" borderId="117"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1" fillId="0" borderId="18" xfId="2" applyFont="1" applyBorder="1" applyAlignment="1" applyProtection="1">
      <alignment horizontal="center" vertical="center"/>
    </xf>
    <xf numFmtId="0" fontId="31" fillId="3" borderId="6" xfId="2" applyFont="1" applyFill="1" applyBorder="1" applyAlignment="1" applyProtection="1">
      <alignment horizontal="distributed" vertical="center" wrapText="1"/>
    </xf>
    <xf numFmtId="0" fontId="31" fillId="3" borderId="14" xfId="2" applyFont="1" applyFill="1" applyBorder="1" applyAlignment="1" applyProtection="1">
      <alignment horizontal="distributed" vertical="center"/>
    </xf>
    <xf numFmtId="0" fontId="31" fillId="3" borderId="66" xfId="15" applyNumberFormat="1" applyFont="1" applyFill="1" applyBorder="1" applyAlignment="1" applyProtection="1">
      <alignment horizontal="left" vertical="center" shrinkToFit="1"/>
    </xf>
    <xf numFmtId="0" fontId="31" fillId="3" borderId="117" xfId="15" applyNumberFormat="1" applyFont="1" applyFill="1" applyBorder="1" applyAlignment="1" applyProtection="1">
      <alignment horizontal="left" vertical="center" shrinkToFit="1"/>
    </xf>
    <xf numFmtId="0" fontId="31" fillId="3" borderId="130" xfId="15" applyNumberFormat="1" applyFont="1" applyFill="1" applyBorder="1" applyAlignment="1" applyProtection="1">
      <alignment horizontal="left" vertical="center" shrinkToFit="1"/>
    </xf>
    <xf numFmtId="0" fontId="31" fillId="3" borderId="7" xfId="2" applyFont="1" applyFill="1" applyBorder="1" applyAlignment="1" applyProtection="1">
      <alignment horizontal="distributed" vertical="center" wrapText="1"/>
    </xf>
    <xf numFmtId="0" fontId="31" fillId="3" borderId="16" xfId="2" applyFont="1" applyFill="1" applyBorder="1" applyAlignment="1" applyProtection="1">
      <alignment horizontal="distributed" vertical="center" wrapText="1"/>
    </xf>
    <xf numFmtId="0" fontId="31" fillId="3" borderId="5" xfId="2" applyFont="1" applyFill="1" applyBorder="1" applyAlignment="1" applyProtection="1">
      <alignment horizontal="distributed" vertical="center" wrapText="1"/>
    </xf>
    <xf numFmtId="0" fontId="31" fillId="3" borderId="0" xfId="2" applyFont="1" applyFill="1" applyAlignment="1" applyProtection="1">
      <alignment horizontal="distributed" vertical="center" wrapText="1"/>
    </xf>
    <xf numFmtId="0" fontId="31" fillId="3" borderId="2" xfId="2" applyFont="1" applyFill="1" applyBorder="1" applyAlignment="1" applyProtection="1">
      <alignment horizontal="distributed" vertical="center" wrapText="1"/>
    </xf>
    <xf numFmtId="0" fontId="31" fillId="3" borderId="14" xfId="2" applyFont="1" applyFill="1" applyBorder="1" applyAlignment="1" applyProtection="1">
      <alignment horizontal="distributed" vertical="center" wrapText="1"/>
    </xf>
    <xf numFmtId="0" fontId="31" fillId="3" borderId="115" xfId="2" applyFont="1" applyFill="1" applyBorder="1" applyAlignment="1" applyProtection="1">
      <alignment horizontal="distributed" vertical="center" wrapText="1"/>
    </xf>
    <xf numFmtId="0" fontId="31" fillId="3" borderId="17" xfId="2" applyFont="1" applyFill="1" applyBorder="1" applyAlignment="1" applyProtection="1">
      <alignment horizontal="distributed" vertical="center" wrapText="1"/>
    </xf>
    <xf numFmtId="0" fontId="31" fillId="0" borderId="117" xfId="2" applyFont="1" applyFill="1" applyBorder="1" applyAlignment="1" applyProtection="1">
      <alignment horizontal="left" vertical="center" wrapText="1"/>
    </xf>
    <xf numFmtId="0" fontId="31" fillId="0" borderId="130" xfId="2" applyFont="1" applyFill="1" applyBorder="1" applyAlignment="1" applyProtection="1">
      <alignment horizontal="left" vertical="center" wrapText="1"/>
    </xf>
    <xf numFmtId="0" fontId="31" fillId="3" borderId="18" xfId="2" applyFont="1" applyFill="1" applyBorder="1" applyAlignment="1" applyProtection="1">
      <alignment horizontal="distributed" vertical="center" wrapText="1"/>
    </xf>
    <xf numFmtId="0" fontId="31" fillId="0" borderId="0" xfId="2" applyFont="1" applyAlignment="1" applyProtection="1">
      <alignment horizontal="left" vertical="center"/>
    </xf>
    <xf numFmtId="0" fontId="31" fillId="0" borderId="66" xfId="2" applyFont="1" applyFill="1" applyBorder="1" applyAlignment="1" applyProtection="1">
      <alignment horizontal="left" vertical="center" wrapText="1"/>
    </xf>
    <xf numFmtId="0" fontId="31" fillId="3" borderId="8" xfId="2" applyFont="1" applyFill="1" applyBorder="1" applyAlignment="1" applyProtection="1">
      <alignment horizontal="distributed" vertical="center" wrapText="1"/>
    </xf>
    <xf numFmtId="0" fontId="31" fillId="3" borderId="19" xfId="2" applyFont="1" applyFill="1" applyBorder="1" applyAlignment="1" applyProtection="1">
      <alignment horizontal="distributed" vertical="center" wrapText="1"/>
    </xf>
    <xf numFmtId="0" fontId="31" fillId="0" borderId="0" xfId="2" applyFont="1" applyAlignment="1" applyProtection="1">
      <alignment horizontal="distributed" vertical="center"/>
    </xf>
    <xf numFmtId="0" fontId="31" fillId="2" borderId="0" xfId="2" applyFont="1" applyFill="1" applyAlignment="1" applyProtection="1">
      <alignment horizontal="left" vertical="center" shrinkToFit="1"/>
      <protection locked="0"/>
    </xf>
    <xf numFmtId="0" fontId="31" fillId="0" borderId="66" xfId="2" applyFont="1" applyBorder="1" applyAlignment="1" applyProtection="1">
      <alignment horizontal="left" vertical="center" wrapText="1"/>
    </xf>
    <xf numFmtId="0" fontId="31" fillId="0" borderId="130" xfId="2" applyFont="1" applyBorder="1" applyAlignment="1" applyProtection="1">
      <alignment horizontal="left" vertical="center" wrapText="1"/>
    </xf>
    <xf numFmtId="0" fontId="31" fillId="2" borderId="18" xfId="2" applyFont="1" applyFill="1" applyBorder="1" applyAlignment="1" applyProtection="1">
      <alignment horizontal="center" vertical="center"/>
      <protection locked="0"/>
    </xf>
    <xf numFmtId="0" fontId="31" fillId="9" borderId="0" xfId="2" applyFont="1" applyFill="1" applyAlignment="1" applyProtection="1">
      <alignment horizontal="left" vertical="center" shrinkToFit="1"/>
      <protection locked="0"/>
    </xf>
    <xf numFmtId="0" fontId="31" fillId="9" borderId="0" xfId="2" applyFont="1" applyFill="1" applyAlignment="1" applyProtection="1">
      <alignment horizontal="left" vertical="center" wrapText="1" shrinkToFit="1"/>
      <protection locked="0"/>
    </xf>
    <xf numFmtId="0" fontId="31" fillId="9" borderId="18" xfId="2" applyFont="1" applyFill="1" applyBorder="1" applyAlignment="1" applyProtection="1">
      <alignment horizontal="left" vertical="center"/>
      <protection locked="0"/>
    </xf>
    <xf numFmtId="0" fontId="34" fillId="16" borderId="18" xfId="2" applyFont="1" applyFill="1" applyBorder="1" applyAlignment="1" applyProtection="1">
      <alignment horizontal="center" vertical="center"/>
    </xf>
    <xf numFmtId="0" fontId="31" fillId="0" borderId="0" xfId="2" applyFont="1" applyAlignment="1" applyProtection="1">
      <alignment horizontal="center" vertical="center"/>
    </xf>
    <xf numFmtId="0" fontId="37" fillId="0" borderId="0" xfId="2" applyFont="1" applyAlignment="1" applyProtection="1">
      <alignment horizontal="center" vertical="center"/>
    </xf>
    <xf numFmtId="0" fontId="31" fillId="2" borderId="0" xfId="2" applyFont="1" applyFill="1" applyAlignment="1" applyProtection="1">
      <alignment horizontal="left" vertical="center" wrapText="1" shrinkToFit="1"/>
      <protection locked="0"/>
    </xf>
    <xf numFmtId="0" fontId="31" fillId="0" borderId="117" xfId="0" applyFont="1" applyBorder="1" applyAlignment="1" applyProtection="1">
      <alignment horizontal="left" vertical="center"/>
    </xf>
    <xf numFmtId="0" fontId="31" fillId="0" borderId="130" xfId="0" applyFont="1" applyBorder="1" applyAlignment="1" applyProtection="1">
      <alignment horizontal="left" vertical="center"/>
    </xf>
    <xf numFmtId="0" fontId="31" fillId="0" borderId="117" xfId="2" applyFont="1" applyBorder="1" applyAlignment="1" applyProtection="1">
      <alignment horizontal="left" vertical="center" wrapText="1"/>
    </xf>
    <xf numFmtId="0" fontId="39" fillId="14" borderId="0" xfId="2" applyFont="1" applyFill="1" applyAlignment="1" applyProtection="1">
      <alignment horizontal="left" vertical="top" wrapText="1"/>
    </xf>
    <xf numFmtId="0" fontId="39" fillId="14" borderId="0" xfId="2" applyFont="1" applyFill="1" applyAlignment="1" applyProtection="1">
      <alignment horizontal="left" vertical="center" wrapText="1"/>
    </xf>
    <xf numFmtId="0" fontId="31" fillId="3" borderId="66" xfId="2" applyFont="1" applyFill="1" applyBorder="1" applyAlignment="1" applyProtection="1">
      <alignment horizontal="distributed" vertical="center" shrinkToFit="1"/>
    </xf>
    <xf numFmtId="0" fontId="31" fillId="3" borderId="117" xfId="2" applyFont="1" applyFill="1" applyBorder="1" applyAlignment="1" applyProtection="1">
      <alignment horizontal="distributed" vertical="center" shrinkToFit="1"/>
    </xf>
    <xf numFmtId="0" fontId="31" fillId="3" borderId="130" xfId="2" applyFont="1" applyFill="1" applyBorder="1" applyAlignment="1" applyProtection="1">
      <alignment horizontal="distributed" vertical="center" shrinkToFit="1"/>
    </xf>
    <xf numFmtId="0" fontId="31" fillId="9" borderId="6" xfId="0" applyFont="1" applyFill="1" applyBorder="1" applyAlignment="1" applyProtection="1">
      <alignment vertical="top" wrapText="1"/>
      <protection locked="0"/>
    </xf>
    <xf numFmtId="0" fontId="31" fillId="9" borderId="7" xfId="0" applyFont="1" applyFill="1" applyBorder="1" applyAlignment="1" applyProtection="1">
      <alignment vertical="top" wrapText="1"/>
      <protection locked="0"/>
    </xf>
    <xf numFmtId="0" fontId="31" fillId="9" borderId="16" xfId="0" applyFont="1" applyFill="1" applyBorder="1" applyAlignment="1" applyProtection="1">
      <alignment vertical="top" wrapText="1"/>
      <protection locked="0"/>
    </xf>
    <xf numFmtId="0" fontId="31" fillId="9" borderId="14" xfId="0" applyFont="1" applyFill="1" applyBorder="1" applyAlignment="1" applyProtection="1">
      <alignment vertical="top" wrapText="1"/>
      <protection locked="0"/>
    </xf>
    <xf numFmtId="0" fontId="31" fillId="9" borderId="115" xfId="0" applyFont="1" applyFill="1" applyBorder="1" applyAlignment="1" applyProtection="1">
      <alignment vertical="top" wrapText="1"/>
      <protection locked="0"/>
    </xf>
    <xf numFmtId="0" fontId="31" fillId="9" borderId="17" xfId="0" applyFont="1" applyFill="1" applyBorder="1" applyAlignment="1" applyProtection="1">
      <alignment vertical="top" wrapText="1"/>
      <protection locked="0"/>
    </xf>
    <xf numFmtId="0" fontId="43" fillId="14" borderId="0" xfId="2" applyFont="1" applyFill="1" applyAlignment="1" applyProtection="1">
      <alignment horizontal="left" vertical="center" wrapText="1"/>
    </xf>
    <xf numFmtId="14" fontId="36" fillId="26" borderId="0" xfId="2" applyNumberFormat="1" applyFont="1" applyFill="1" applyBorder="1" applyAlignment="1" applyProtection="1">
      <alignment horizontal="right" shrinkToFit="1"/>
    </xf>
    <xf numFmtId="0" fontId="36" fillId="26" borderId="0" xfId="2" applyFont="1" applyFill="1" applyBorder="1" applyAlignment="1" applyProtection="1">
      <alignment horizontal="right" shrinkToFit="1"/>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0" xfId="0" applyFont="1" applyBorder="1" applyAlignment="1">
      <alignment horizontal="center" vertical="center"/>
    </xf>
    <xf numFmtId="185" fontId="28" fillId="9" borderId="66" xfId="0" applyNumberFormat="1" applyFont="1" applyFill="1" applyBorder="1" applyAlignment="1" applyProtection="1">
      <alignment horizontal="center" vertical="center" shrinkToFit="1"/>
      <protection locked="0"/>
    </xf>
    <xf numFmtId="185" fontId="28" fillId="9" borderId="117" xfId="0" applyNumberFormat="1" applyFont="1" applyFill="1" applyBorder="1" applyAlignment="1" applyProtection="1">
      <alignment horizontal="center" vertical="center" shrinkToFit="1"/>
      <protection locked="0"/>
    </xf>
    <xf numFmtId="185" fontId="28" fillId="0" borderId="101" xfId="0" applyNumberFormat="1" applyFont="1" applyFill="1" applyBorder="1" applyAlignment="1">
      <alignment horizontal="center" vertical="center" shrinkToFit="1"/>
    </xf>
    <xf numFmtId="185" fontId="28" fillId="0" borderId="99" xfId="0" applyNumberFormat="1" applyFont="1" applyFill="1" applyBorder="1" applyAlignment="1">
      <alignment horizontal="center" vertical="center" shrinkToFit="1"/>
    </xf>
    <xf numFmtId="0" fontId="82" fillId="0" borderId="0" xfId="0" applyFont="1" applyFill="1" applyAlignment="1">
      <alignment horizontal="left" vertical="top" wrapText="1"/>
    </xf>
    <xf numFmtId="0" fontId="48" fillId="9" borderId="8" xfId="0" applyFont="1" applyFill="1" applyBorder="1" applyAlignment="1">
      <alignment horizontal="center" vertical="center"/>
    </xf>
    <xf numFmtId="0" fontId="48" fillId="2" borderId="6" xfId="0" applyFont="1" applyFill="1" applyBorder="1" applyAlignment="1">
      <alignment horizontal="center" vertical="center" wrapText="1" shrinkToFit="1"/>
    </xf>
    <xf numFmtId="0" fontId="48" fillId="2" borderId="7" xfId="0" applyFont="1" applyFill="1" applyBorder="1" applyAlignment="1">
      <alignment horizontal="center" vertical="center" shrinkToFit="1"/>
    </xf>
    <xf numFmtId="0" fontId="48" fillId="2" borderId="16" xfId="0" applyFont="1" applyFill="1" applyBorder="1" applyAlignment="1">
      <alignment horizontal="center" vertical="center" shrinkToFit="1"/>
    </xf>
    <xf numFmtId="0" fontId="48" fillId="8" borderId="8" xfId="0" applyFont="1" applyFill="1" applyBorder="1" applyAlignment="1">
      <alignment horizontal="center" vertical="center" shrinkToFit="1"/>
    </xf>
    <xf numFmtId="0" fontId="82" fillId="0" borderId="0" xfId="0" applyFont="1" applyFill="1" applyAlignment="1">
      <alignment horizontal="left" vertical="center" wrapText="1"/>
    </xf>
    <xf numFmtId="14" fontId="36" fillId="0" borderId="0" xfId="2" applyNumberFormat="1" applyFont="1" applyBorder="1" applyAlignment="1">
      <alignment horizontal="right" shrinkToFit="1"/>
    </xf>
    <xf numFmtId="0" fontId="36" fillId="0" borderId="0" xfId="2" applyFont="1" applyBorder="1" applyAlignment="1">
      <alignment horizontal="right" shrinkToFi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183" fontId="31" fillId="9" borderId="66" xfId="0" applyNumberFormat="1" applyFont="1" applyFill="1" applyBorder="1" applyAlignment="1" applyProtection="1">
      <alignment horizontal="center" vertical="center" shrinkToFit="1"/>
      <protection locked="0"/>
    </xf>
    <xf numFmtId="183" fontId="31" fillId="9" borderId="117" xfId="0" applyNumberFormat="1" applyFont="1" applyFill="1" applyBorder="1" applyAlignment="1" applyProtection="1">
      <alignment horizontal="center" vertical="center" shrinkToFit="1"/>
      <protection locked="0"/>
    </xf>
    <xf numFmtId="183" fontId="31" fillId="9" borderId="130" xfId="0" applyNumberFormat="1" applyFont="1" applyFill="1" applyBorder="1" applyAlignment="1" applyProtection="1">
      <alignment horizontal="center" vertical="center" shrinkToFit="1"/>
      <protection locked="0"/>
    </xf>
    <xf numFmtId="0" fontId="28" fillId="0" borderId="0" xfId="0" applyFont="1" applyAlignment="1">
      <alignment horizontal="center" vertical="center"/>
    </xf>
    <xf numFmtId="0" fontId="31" fillId="3" borderId="66" xfId="0" applyFont="1" applyFill="1" applyBorder="1" applyAlignment="1">
      <alignment horizontal="center" vertical="center"/>
    </xf>
    <xf numFmtId="0" fontId="31" fillId="3" borderId="117" xfId="0" applyFont="1" applyFill="1" applyBorder="1" applyAlignment="1">
      <alignment horizontal="center" vertical="center"/>
    </xf>
    <xf numFmtId="0" fontId="31" fillId="3" borderId="13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16" xfId="0" applyFont="1" applyFill="1" applyBorder="1" applyAlignment="1">
      <alignment horizontal="center" vertical="center"/>
    </xf>
    <xf numFmtId="0" fontId="54" fillId="0" borderId="0" xfId="0" applyFont="1" applyFill="1" applyAlignment="1">
      <alignment horizontal="left" vertical="top" wrapText="1"/>
    </xf>
    <xf numFmtId="0" fontId="126" fillId="0" borderId="0" xfId="0" applyFont="1" applyFill="1" applyAlignment="1">
      <alignment horizontal="left" vertical="top" wrapText="1"/>
    </xf>
    <xf numFmtId="181" fontId="31" fillId="0" borderId="79" xfId="0" applyNumberFormat="1" applyFont="1" applyBorder="1" applyAlignment="1">
      <alignment horizontal="right" vertical="center" shrinkToFit="1"/>
    </xf>
    <xf numFmtId="181" fontId="31" fillId="0" borderId="77" xfId="0" applyNumberFormat="1" applyFont="1" applyBorder="1" applyAlignment="1">
      <alignment horizontal="right" vertical="center" shrinkToFit="1"/>
    </xf>
    <xf numFmtId="178" fontId="31" fillId="22" borderId="79" xfId="0" applyNumberFormat="1" applyFont="1" applyFill="1" applyBorder="1" applyAlignment="1">
      <alignment horizontal="right" vertical="center" shrinkToFit="1"/>
    </xf>
    <xf numFmtId="178" fontId="31" fillId="22" borderId="77" xfId="0" applyNumberFormat="1" applyFont="1" applyFill="1" applyBorder="1" applyAlignment="1">
      <alignment horizontal="right" vertical="center" shrinkToFit="1"/>
    </xf>
    <xf numFmtId="0" fontId="31" fillId="14" borderId="0" xfId="0" applyFont="1" applyFill="1" applyAlignment="1">
      <alignment horizontal="left" vertical="center" wrapText="1"/>
    </xf>
    <xf numFmtId="0" fontId="31" fillId="9" borderId="66" xfId="0" applyFont="1" applyFill="1" applyBorder="1" applyAlignment="1" applyProtection="1">
      <alignment horizontal="center" vertical="center" shrinkToFit="1"/>
      <protection locked="0"/>
    </xf>
    <xf numFmtId="0" fontId="31" fillId="9" borderId="117" xfId="0" applyFont="1" applyFill="1" applyBorder="1" applyAlignment="1" applyProtection="1">
      <alignment horizontal="center" vertical="center" shrinkToFit="1"/>
      <protection locked="0"/>
    </xf>
    <xf numFmtId="0" fontId="31" fillId="9" borderId="130" xfId="0" applyFont="1" applyFill="1" applyBorder="1" applyAlignment="1" applyProtection="1">
      <alignment horizontal="center" vertical="center" shrinkToFit="1"/>
      <protection locked="0"/>
    </xf>
    <xf numFmtId="0" fontId="129" fillId="0" borderId="0" xfId="0" applyFont="1" applyFill="1" applyAlignment="1">
      <alignment horizontal="left" vertical="top" wrapText="1"/>
    </xf>
    <xf numFmtId="0" fontId="129" fillId="0" borderId="0" xfId="0" applyFont="1" applyAlignment="1">
      <alignment horizontal="left" vertical="top" wrapText="1"/>
    </xf>
    <xf numFmtId="0" fontId="129" fillId="0" borderId="0" xfId="0" applyFont="1" applyAlignment="1">
      <alignment vertical="top"/>
    </xf>
    <xf numFmtId="0" fontId="31" fillId="3" borderId="18" xfId="0" applyFont="1" applyFill="1" applyBorder="1" applyAlignment="1">
      <alignment horizontal="distributed" vertical="center" wrapText="1"/>
    </xf>
    <xf numFmtId="0" fontId="31" fillId="3" borderId="6" xfId="0" applyFont="1" applyFill="1" applyBorder="1" applyAlignment="1">
      <alignment horizontal="distributed" vertical="center" wrapText="1"/>
    </xf>
    <xf numFmtId="0" fontId="31" fillId="3" borderId="7" xfId="0" applyFont="1" applyFill="1" applyBorder="1" applyAlignment="1">
      <alignment horizontal="distributed" vertical="center" wrapText="1"/>
    </xf>
    <xf numFmtId="0" fontId="31" fillId="3" borderId="16" xfId="0" applyFont="1" applyFill="1" applyBorder="1" applyAlignment="1">
      <alignment horizontal="distributed" vertical="center" wrapText="1"/>
    </xf>
    <xf numFmtId="183" fontId="31" fillId="9" borderId="14" xfId="0" applyNumberFormat="1" applyFont="1" applyFill="1" applyBorder="1" applyAlignment="1" applyProtection="1">
      <alignment horizontal="center" vertical="center" shrinkToFit="1"/>
      <protection locked="0"/>
    </xf>
    <xf numFmtId="183" fontId="31" fillId="9" borderId="115" xfId="0" applyNumberFormat="1" applyFont="1" applyFill="1" applyBorder="1" applyAlignment="1" applyProtection="1">
      <alignment horizontal="center" vertical="center" shrinkToFit="1"/>
      <protection locked="0"/>
    </xf>
    <xf numFmtId="183" fontId="31" fillId="9" borderId="17" xfId="0" applyNumberFormat="1" applyFont="1" applyFill="1" applyBorder="1" applyAlignment="1" applyProtection="1">
      <alignment horizontal="center" vertical="center" shrinkToFit="1"/>
      <protection locked="0"/>
    </xf>
    <xf numFmtId="0" fontId="31" fillId="3" borderId="18"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1" fillId="3" borderId="130"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15" xfId="0" applyFont="1" applyFill="1" applyBorder="1" applyAlignment="1">
      <alignment horizontal="center" vertical="center" wrapText="1"/>
    </xf>
    <xf numFmtId="0" fontId="31" fillId="9" borderId="6" xfId="0" applyFont="1" applyFill="1" applyBorder="1" applyAlignment="1" applyProtection="1">
      <alignment horizontal="center" vertical="center" shrinkToFit="1"/>
      <protection locked="0"/>
    </xf>
    <xf numFmtId="0" fontId="31" fillId="9" borderId="7" xfId="0" applyFont="1" applyFill="1" applyBorder="1" applyAlignment="1" applyProtection="1">
      <alignment horizontal="center" vertical="center" shrinkToFit="1"/>
      <protection locked="0"/>
    </xf>
    <xf numFmtId="0" fontId="31" fillId="9" borderId="106" xfId="0" applyFont="1" applyFill="1" applyBorder="1" applyAlignment="1" applyProtection="1">
      <alignment horizontal="center" vertical="center" shrinkToFit="1"/>
      <protection locked="0"/>
    </xf>
    <xf numFmtId="0" fontId="31" fillId="9" borderId="108" xfId="0" applyFont="1" applyFill="1" applyBorder="1" applyAlignment="1" applyProtection="1">
      <alignment horizontal="center" vertical="center" shrinkToFit="1"/>
      <protection locked="0"/>
    </xf>
    <xf numFmtId="0" fontId="31" fillId="9" borderId="109" xfId="0" applyFont="1" applyFill="1" applyBorder="1" applyAlignment="1" applyProtection="1">
      <alignment horizontal="center" vertical="center" shrinkToFit="1"/>
      <protection locked="0"/>
    </xf>
    <xf numFmtId="0" fontId="31" fillId="9" borderId="110" xfId="0" applyFont="1" applyFill="1" applyBorder="1" applyAlignment="1" applyProtection="1">
      <alignment horizontal="center" vertical="center" shrinkToFit="1"/>
      <protection locked="0"/>
    </xf>
    <xf numFmtId="0" fontId="31" fillId="9" borderId="16" xfId="0" applyFont="1" applyFill="1" applyBorder="1" applyAlignment="1" applyProtection="1">
      <alignment horizontal="center" vertical="center" shrinkToFit="1"/>
      <protection locked="0"/>
    </xf>
    <xf numFmtId="0" fontId="31" fillId="9" borderId="111" xfId="0" applyFont="1" applyFill="1" applyBorder="1" applyAlignment="1" applyProtection="1">
      <alignment horizontal="center" vertical="center" shrinkToFit="1"/>
      <protection locked="0"/>
    </xf>
    <xf numFmtId="0" fontId="31" fillId="9" borderId="112" xfId="0" applyFont="1" applyFill="1" applyBorder="1" applyAlignment="1" applyProtection="1">
      <alignment horizontal="center" vertical="center" shrinkToFit="1"/>
      <protection locked="0"/>
    </xf>
    <xf numFmtId="0" fontId="31" fillId="9" borderId="113" xfId="0" applyFont="1" applyFill="1" applyBorder="1" applyAlignment="1" applyProtection="1">
      <alignment horizontal="center" vertical="center" shrinkToFit="1"/>
      <protection locked="0"/>
    </xf>
    <xf numFmtId="183" fontId="31" fillId="9" borderId="101" xfId="0" applyNumberFormat="1" applyFont="1" applyFill="1" applyBorder="1" applyAlignment="1" applyProtection="1">
      <alignment horizontal="center" vertical="center" shrinkToFit="1"/>
      <protection locked="0"/>
    </xf>
    <xf numFmtId="183" fontId="31" fillId="9" borderId="99" xfId="0" applyNumberFormat="1" applyFont="1" applyFill="1" applyBorder="1" applyAlignment="1" applyProtection="1">
      <alignment horizontal="center" vertical="center" shrinkToFit="1"/>
      <protection locked="0"/>
    </xf>
    <xf numFmtId="183" fontId="31" fillId="9" borderId="102" xfId="0" applyNumberFormat="1" applyFont="1" applyFill="1" applyBorder="1" applyAlignment="1" applyProtection="1">
      <alignment horizontal="center" vertical="center" shrinkToFit="1"/>
      <protection locked="0"/>
    </xf>
    <xf numFmtId="0" fontId="31" fillId="3" borderId="5" xfId="0" applyFont="1" applyFill="1" applyBorder="1" applyAlignment="1">
      <alignment horizontal="center" vertical="center"/>
    </xf>
    <xf numFmtId="0" fontId="31" fillId="3" borderId="0" xfId="0" applyFont="1" applyFill="1" applyAlignment="1">
      <alignment horizontal="center" vertical="center"/>
    </xf>
    <xf numFmtId="0" fontId="31" fillId="3" borderId="2" xfId="0" applyFont="1" applyFill="1" applyBorder="1" applyAlignment="1">
      <alignment horizontal="center" vertical="center"/>
    </xf>
    <xf numFmtId="183" fontId="31" fillId="22" borderId="66" xfId="0" applyNumberFormat="1" applyFont="1" applyFill="1" applyBorder="1" applyAlignment="1">
      <alignment horizontal="center" vertical="center" shrinkToFit="1"/>
    </xf>
    <xf numFmtId="183" fontId="31" fillId="22" borderId="117" xfId="0" applyNumberFormat="1" applyFont="1" applyFill="1" applyBorder="1" applyAlignment="1">
      <alignment horizontal="center" vertical="center" shrinkToFit="1"/>
    </xf>
    <xf numFmtId="183" fontId="31" fillId="22" borderId="130" xfId="0" applyNumberFormat="1" applyFont="1" applyFill="1" applyBorder="1" applyAlignment="1">
      <alignment horizontal="center" vertical="center" shrinkToFit="1"/>
    </xf>
    <xf numFmtId="183" fontId="31" fillId="22" borderId="18" xfId="0" applyNumberFormat="1" applyFont="1" applyFill="1" applyBorder="1" applyAlignment="1">
      <alignment horizontal="center" vertical="center" shrinkToFit="1"/>
    </xf>
    <xf numFmtId="183" fontId="31" fillId="9" borderId="18" xfId="0" applyNumberFormat="1" applyFont="1" applyFill="1" applyBorder="1" applyAlignment="1" applyProtection="1">
      <alignment horizontal="center" vertical="center" shrinkToFit="1"/>
      <protection locked="0"/>
    </xf>
    <xf numFmtId="183" fontId="31" fillId="9" borderId="105" xfId="0" applyNumberFormat="1" applyFont="1" applyFill="1" applyBorder="1" applyAlignment="1" applyProtection="1">
      <alignment horizontal="center" vertical="center" shrinkToFit="1"/>
      <protection locked="0"/>
    </xf>
    <xf numFmtId="0" fontId="31" fillId="9" borderId="104" xfId="0" applyFont="1" applyFill="1" applyBorder="1" applyAlignment="1" applyProtection="1">
      <alignment horizontal="center" vertical="center" shrinkToFit="1"/>
      <protection locked="0"/>
    </xf>
    <xf numFmtId="0" fontId="31" fillId="22" borderId="6" xfId="0" applyFont="1" applyFill="1" applyBorder="1" applyAlignment="1">
      <alignment horizontal="center" vertical="center"/>
    </xf>
    <xf numFmtId="0" fontId="31" fillId="22" borderId="7" xfId="0" applyFont="1" applyFill="1" applyBorder="1" applyAlignment="1">
      <alignment horizontal="center" vertical="center"/>
    </xf>
    <xf numFmtId="0" fontId="31" fillId="22" borderId="16" xfId="0" applyFont="1" applyFill="1" applyBorder="1" applyAlignment="1">
      <alignment horizontal="center" vertical="center"/>
    </xf>
    <xf numFmtId="183" fontId="31" fillId="9" borderId="104" xfId="0" applyNumberFormat="1" applyFont="1" applyFill="1" applyBorder="1" applyAlignment="1" applyProtection="1">
      <alignment horizontal="center" vertical="center" shrinkToFit="1"/>
      <protection locked="0"/>
    </xf>
    <xf numFmtId="0" fontId="31" fillId="3" borderId="66" xfId="0" applyFont="1" applyFill="1" applyBorder="1" applyAlignment="1">
      <alignment horizontal="distributed" vertical="top" wrapText="1"/>
    </xf>
    <xf numFmtId="0" fontId="31" fillId="3" borderId="117" xfId="0" applyFont="1" applyFill="1" applyBorder="1" applyAlignment="1">
      <alignment horizontal="distributed" vertical="top" wrapText="1"/>
    </xf>
    <xf numFmtId="0" fontId="31" fillId="3" borderId="130" xfId="0" applyFont="1" applyFill="1" applyBorder="1" applyAlignment="1">
      <alignment horizontal="distributed" vertical="top" wrapText="1"/>
    </xf>
    <xf numFmtId="0" fontId="31" fillId="22" borderId="5" xfId="0" applyFont="1" applyFill="1" applyBorder="1" applyAlignment="1">
      <alignment horizontal="center" vertical="center"/>
    </xf>
    <xf numFmtId="0" fontId="31" fillId="22" borderId="0" xfId="0" applyFont="1" applyFill="1" applyAlignment="1">
      <alignment horizontal="center" vertical="center"/>
    </xf>
    <xf numFmtId="0" fontId="31" fillId="22" borderId="2" xfId="0" applyFont="1" applyFill="1" applyBorder="1" applyAlignment="1">
      <alignment horizontal="center" vertical="center"/>
    </xf>
    <xf numFmtId="0" fontId="31" fillId="22" borderId="66" xfId="0" applyFont="1" applyFill="1" applyBorder="1" applyAlignment="1">
      <alignment horizontal="center" vertical="center"/>
    </xf>
    <xf numFmtId="0" fontId="31" fillId="22" borderId="117" xfId="0" applyFont="1" applyFill="1" applyBorder="1" applyAlignment="1">
      <alignment horizontal="center" vertical="center"/>
    </xf>
    <xf numFmtId="0" fontId="31" fillId="22" borderId="130" xfId="0" applyFont="1" applyFill="1" applyBorder="1" applyAlignment="1">
      <alignment horizontal="center" vertical="center"/>
    </xf>
    <xf numFmtId="0" fontId="31" fillId="9" borderId="66" xfId="0" applyFont="1" applyFill="1" applyBorder="1" applyAlignment="1" applyProtection="1">
      <alignment horizontal="right" vertical="center" shrinkToFit="1"/>
      <protection locked="0"/>
    </xf>
    <xf numFmtId="0" fontId="31" fillId="9" borderId="117" xfId="0" applyFont="1" applyFill="1" applyBorder="1" applyAlignment="1" applyProtection="1">
      <alignment horizontal="right" vertical="center" shrinkToFit="1"/>
      <protection locked="0"/>
    </xf>
    <xf numFmtId="0" fontId="31" fillId="9" borderId="98" xfId="0" applyFont="1" applyFill="1" applyBorder="1" applyAlignment="1" applyProtection="1">
      <alignment horizontal="right" vertical="center" shrinkToFit="1"/>
      <protection locked="0"/>
    </xf>
    <xf numFmtId="0" fontId="31" fillId="9" borderId="99" xfId="0" applyFont="1" applyFill="1" applyBorder="1" applyAlignment="1" applyProtection="1">
      <alignment horizontal="right" vertical="center" shrinkToFit="1"/>
      <protection locked="0"/>
    </xf>
    <xf numFmtId="0" fontId="31" fillId="9" borderId="101" xfId="0" applyFont="1" applyFill="1" applyBorder="1" applyAlignment="1" applyProtection="1">
      <alignment horizontal="right" vertical="center" shrinkToFit="1"/>
      <protection locked="0"/>
    </xf>
    <xf numFmtId="183" fontId="31" fillId="9" borderId="93" xfId="0" applyNumberFormat="1" applyFont="1" applyFill="1" applyBorder="1" applyAlignment="1" applyProtection="1">
      <alignment horizontal="center" vertical="center" shrinkToFit="1"/>
      <protection locked="0"/>
    </xf>
    <xf numFmtId="183" fontId="31" fillId="9" borderId="94" xfId="0" applyNumberFormat="1" applyFont="1" applyFill="1" applyBorder="1" applyAlignment="1" applyProtection="1">
      <alignment horizontal="center" vertical="center" shrinkToFit="1"/>
      <protection locked="0"/>
    </xf>
    <xf numFmtId="183" fontId="31" fillId="9" borderId="95" xfId="0" applyNumberFormat="1" applyFont="1" applyFill="1" applyBorder="1" applyAlignment="1" applyProtection="1">
      <alignment horizontal="center" vertical="center" shrinkToFit="1"/>
      <protection locked="0"/>
    </xf>
    <xf numFmtId="183" fontId="31" fillId="9" borderId="96" xfId="0" applyNumberFormat="1" applyFont="1" applyFill="1" applyBorder="1" applyAlignment="1" applyProtection="1">
      <alignment horizontal="center" vertical="center" shrinkToFit="1"/>
      <protection locked="0"/>
    </xf>
    <xf numFmtId="183" fontId="31" fillId="9" borderId="97" xfId="0" applyNumberFormat="1" applyFont="1" applyFill="1" applyBorder="1" applyAlignment="1" applyProtection="1">
      <alignment horizontal="center" vertical="center" shrinkToFit="1"/>
      <protection locked="0"/>
    </xf>
    <xf numFmtId="183" fontId="31" fillId="9" borderId="86" xfId="0" applyNumberFormat="1" applyFont="1" applyFill="1" applyBorder="1" applyAlignment="1" applyProtection="1">
      <alignment horizontal="center" vertical="center" shrinkToFit="1"/>
      <protection locked="0"/>
    </xf>
    <xf numFmtId="183" fontId="31" fillId="9" borderId="87" xfId="0" applyNumberFormat="1" applyFont="1" applyFill="1" applyBorder="1" applyAlignment="1" applyProtection="1">
      <alignment horizontal="center" vertical="center" shrinkToFit="1"/>
      <protection locked="0"/>
    </xf>
    <xf numFmtId="183" fontId="31" fillId="9" borderId="88" xfId="0" applyNumberFormat="1" applyFont="1" applyFill="1" applyBorder="1" applyAlignment="1" applyProtection="1">
      <alignment horizontal="center" vertical="center" shrinkToFit="1"/>
      <protection locked="0"/>
    </xf>
    <xf numFmtId="183" fontId="31" fillId="9" borderId="89" xfId="0" applyNumberFormat="1" applyFont="1" applyFill="1" applyBorder="1" applyAlignment="1" applyProtection="1">
      <alignment horizontal="center" vertical="center" shrinkToFit="1"/>
      <protection locked="0"/>
    </xf>
    <xf numFmtId="183" fontId="31" fillId="9" borderId="90" xfId="0" applyNumberFormat="1" applyFont="1" applyFill="1" applyBorder="1" applyAlignment="1" applyProtection="1">
      <alignment horizontal="center" vertical="center" shrinkToFit="1"/>
      <protection locked="0"/>
    </xf>
    <xf numFmtId="183" fontId="31" fillId="9" borderId="103" xfId="0" applyNumberFormat="1" applyFont="1" applyFill="1" applyBorder="1" applyAlignment="1" applyProtection="1">
      <alignment horizontal="center" vertical="center" shrinkToFit="1"/>
      <protection locked="0"/>
    </xf>
    <xf numFmtId="0" fontId="31" fillId="3" borderId="66" xfId="0" applyFont="1" applyFill="1" applyBorder="1" applyAlignment="1">
      <alignment horizontal="distributed" vertical="center" wrapText="1"/>
    </xf>
    <xf numFmtId="0" fontId="31" fillId="3" borderId="117" xfId="0" applyFont="1" applyFill="1" applyBorder="1" applyAlignment="1">
      <alignment horizontal="distributed" vertical="center" wrapText="1"/>
    </xf>
    <xf numFmtId="0" fontId="31" fillId="3" borderId="130" xfId="0" applyFont="1" applyFill="1" applyBorder="1" applyAlignment="1">
      <alignment horizontal="distributed" vertical="center" wrapText="1"/>
    </xf>
    <xf numFmtId="0" fontId="31" fillId="3" borderId="66" xfId="0" applyFont="1" applyFill="1" applyBorder="1" applyAlignment="1">
      <alignment horizontal="left" vertical="center" wrapText="1" shrinkToFit="1"/>
    </xf>
    <xf numFmtId="0" fontId="31" fillId="3" borderId="117" xfId="0" applyFont="1" applyFill="1" applyBorder="1" applyAlignment="1">
      <alignment horizontal="left" vertical="center" wrapText="1" shrinkToFit="1"/>
    </xf>
    <xf numFmtId="0" fontId="31" fillId="3" borderId="130" xfId="0" applyFont="1" applyFill="1" applyBorder="1" applyAlignment="1">
      <alignment horizontal="left" vertical="center" wrapText="1" shrinkToFit="1"/>
    </xf>
    <xf numFmtId="181" fontId="31" fillId="0" borderId="66" xfId="0" applyNumberFormat="1" applyFont="1" applyBorder="1" applyAlignment="1">
      <alignment horizontal="right" vertical="center" shrinkToFit="1"/>
    </xf>
    <xf numFmtId="181" fontId="31" fillId="0" borderId="117" xfId="0" applyNumberFormat="1" applyFont="1" applyBorder="1" applyAlignment="1">
      <alignment horizontal="right" vertical="center" shrinkToFit="1"/>
    </xf>
    <xf numFmtId="181" fontId="31" fillId="9" borderId="66" xfId="0" applyNumberFormat="1" applyFont="1" applyFill="1" applyBorder="1" applyAlignment="1" applyProtection="1">
      <alignment horizontal="right" vertical="center" shrinkToFit="1"/>
      <protection locked="0"/>
    </xf>
    <xf numFmtId="181" fontId="31" fillId="9" borderId="117" xfId="0" applyNumberFormat="1" applyFont="1" applyFill="1" applyBorder="1" applyAlignment="1" applyProtection="1">
      <alignment horizontal="right" vertical="center" shrinkToFit="1"/>
      <protection locked="0"/>
    </xf>
    <xf numFmtId="181" fontId="31" fillId="0" borderId="86" xfId="0" applyNumberFormat="1" applyFont="1" applyBorder="1" applyAlignment="1">
      <alignment horizontal="right" vertical="center" shrinkToFit="1"/>
    </xf>
    <xf numFmtId="181" fontId="31" fillId="0" borderId="87" xfId="0" applyNumberFormat="1" applyFont="1" applyBorder="1" applyAlignment="1">
      <alignment horizontal="right" vertical="center" shrinkToFit="1"/>
    </xf>
    <xf numFmtId="181" fontId="31" fillId="0" borderId="89" xfId="0" applyNumberFormat="1" applyFont="1" applyBorder="1" applyAlignment="1">
      <alignment horizontal="right" vertical="center" shrinkToFit="1"/>
    </xf>
    <xf numFmtId="0" fontId="31" fillId="3" borderId="36" xfId="0" applyFont="1" applyFill="1" applyBorder="1" applyAlignment="1">
      <alignment horizontal="left" vertical="center" wrapText="1" shrinkToFit="1"/>
    </xf>
    <xf numFmtId="0" fontId="31" fillId="3" borderId="37" xfId="0" applyFont="1" applyFill="1" applyBorder="1" applyAlignment="1">
      <alignment horizontal="left" vertical="center" wrapText="1" shrinkToFit="1"/>
    </xf>
    <xf numFmtId="0" fontId="31" fillId="3" borderId="38" xfId="0" applyFont="1" applyFill="1" applyBorder="1" applyAlignment="1">
      <alignment horizontal="left" vertical="center" wrapText="1" shrinkToFit="1"/>
    </xf>
    <xf numFmtId="181" fontId="31" fillId="0" borderId="36" xfId="0" applyNumberFormat="1" applyFont="1" applyBorder="1" applyAlignment="1">
      <alignment horizontal="right" vertical="center" shrinkToFit="1"/>
    </xf>
    <xf numFmtId="181" fontId="31" fillId="0" borderId="37" xfId="0" applyNumberFormat="1" applyFont="1" applyBorder="1" applyAlignment="1">
      <alignment horizontal="right" vertical="center" shrinkToFit="1"/>
    </xf>
    <xf numFmtId="181" fontId="31" fillId="0" borderId="39" xfId="0" applyNumberFormat="1" applyFont="1" applyBorder="1" applyAlignment="1">
      <alignment horizontal="right" vertical="center" shrinkToFit="1"/>
    </xf>
    <xf numFmtId="181" fontId="31" fillId="0" borderId="40" xfId="0" applyNumberFormat="1" applyFont="1" applyBorder="1" applyAlignment="1">
      <alignment horizontal="right" vertical="center" shrinkToFit="1"/>
    </xf>
    <xf numFmtId="181" fontId="31" fillId="0" borderId="66" xfId="6" applyNumberFormat="1" applyFont="1" applyFill="1" applyBorder="1" applyAlignment="1">
      <alignment horizontal="right" vertical="center" shrinkToFit="1"/>
    </xf>
    <xf numFmtId="181" fontId="31" fillId="0" borderId="117" xfId="6" applyNumberFormat="1" applyFont="1" applyFill="1" applyBorder="1" applyAlignment="1">
      <alignment horizontal="right" vertical="center" shrinkToFit="1"/>
    </xf>
    <xf numFmtId="181" fontId="31" fillId="0" borderId="86" xfId="6" applyNumberFormat="1" applyFont="1" applyFill="1" applyBorder="1" applyAlignment="1">
      <alignment horizontal="right" vertical="center" shrinkToFit="1"/>
    </xf>
    <xf numFmtId="181" fontId="31" fillId="0" borderId="87" xfId="6" applyNumberFormat="1" applyFont="1" applyFill="1" applyBorder="1" applyAlignment="1">
      <alignment horizontal="right" vertical="center" shrinkToFit="1"/>
    </xf>
    <xf numFmtId="181" fontId="31" fillId="0" borderId="89" xfId="6" applyNumberFormat="1" applyFont="1" applyFill="1" applyBorder="1" applyAlignment="1">
      <alignment horizontal="right" vertical="center" shrinkToFit="1"/>
    </xf>
    <xf numFmtId="0" fontId="31" fillId="3" borderId="6" xfId="0" applyFont="1" applyFill="1" applyBorder="1" applyAlignment="1">
      <alignment horizontal="left" vertical="center" wrapText="1" shrinkToFit="1"/>
    </xf>
    <xf numFmtId="0" fontId="31" fillId="3" borderId="7" xfId="0" applyFont="1" applyFill="1" applyBorder="1" applyAlignment="1">
      <alignment horizontal="left" vertical="center" wrapText="1" shrinkToFit="1"/>
    </xf>
    <xf numFmtId="0" fontId="31" fillId="3" borderId="16" xfId="0" applyFont="1" applyFill="1" applyBorder="1" applyAlignment="1">
      <alignment horizontal="left" vertical="center" wrapText="1" shrinkToFit="1"/>
    </xf>
    <xf numFmtId="181" fontId="31" fillId="0" borderId="6" xfId="0" applyNumberFormat="1" applyFont="1" applyBorder="1" applyAlignment="1">
      <alignment horizontal="right" vertical="center" shrinkToFit="1"/>
    </xf>
    <xf numFmtId="181" fontId="31" fillId="0" borderId="7" xfId="0" applyNumberFormat="1" applyFont="1" applyBorder="1" applyAlignment="1">
      <alignment horizontal="right" vertical="center" shrinkToFit="1"/>
    </xf>
    <xf numFmtId="181" fontId="31" fillId="9" borderId="6" xfId="0" applyNumberFormat="1" applyFont="1" applyFill="1" applyBorder="1" applyAlignment="1" applyProtection="1">
      <alignment horizontal="right" vertical="center" shrinkToFit="1"/>
      <protection locked="0"/>
    </xf>
    <xf numFmtId="181" fontId="31" fillId="9" borderId="7" xfId="0" applyNumberFormat="1" applyFont="1" applyFill="1" applyBorder="1" applyAlignment="1" applyProtection="1">
      <alignment horizontal="right" vertical="center" shrinkToFit="1"/>
      <protection locked="0"/>
    </xf>
    <xf numFmtId="181" fontId="31" fillId="0" borderId="18" xfId="0" applyNumberFormat="1" applyFont="1" applyBorder="1" applyAlignment="1">
      <alignment horizontal="right" vertical="center" shrinkToFit="1"/>
    </xf>
    <xf numFmtId="181" fontId="31" fillId="9" borderId="18" xfId="0" applyNumberFormat="1" applyFont="1" applyFill="1" applyBorder="1" applyAlignment="1" applyProtection="1">
      <alignment horizontal="right" vertical="center" shrinkToFit="1"/>
      <protection locked="0"/>
    </xf>
    <xf numFmtId="181" fontId="31" fillId="0" borderId="91" xfId="0" applyNumberFormat="1" applyFont="1" applyBorder="1" applyAlignment="1">
      <alignment horizontal="right" vertical="center" shrinkToFit="1"/>
    </xf>
    <xf numFmtId="181" fontId="31" fillId="0" borderId="92" xfId="0" applyNumberFormat="1" applyFont="1" applyBorder="1" applyAlignment="1">
      <alignment horizontal="right" vertical="center" shrinkToFit="1"/>
    </xf>
    <xf numFmtId="0" fontId="28" fillId="22" borderId="0" xfId="0" applyFont="1" applyFill="1" applyAlignment="1">
      <alignment horizontal="center" vertical="center"/>
    </xf>
    <xf numFmtId="178" fontId="31" fillId="0" borderId="14" xfId="0" applyNumberFormat="1" applyFont="1" applyBorder="1" applyAlignment="1">
      <alignment horizontal="center" vertical="center" shrinkToFit="1"/>
    </xf>
    <xf numFmtId="178" fontId="31" fillId="0" borderId="115" xfId="0" applyNumberFormat="1" applyFont="1" applyBorder="1" applyAlignment="1">
      <alignment horizontal="center" vertical="center" shrinkToFit="1"/>
    </xf>
    <xf numFmtId="178" fontId="31" fillId="0" borderId="17" xfId="0" applyNumberFormat="1" applyFont="1" applyBorder="1" applyAlignment="1">
      <alignment horizontal="center" vertical="center" shrinkToFit="1"/>
    </xf>
    <xf numFmtId="185" fontId="31" fillId="0" borderId="86" xfId="0" applyNumberFormat="1" applyFont="1" applyBorder="1" applyAlignment="1">
      <alignment horizontal="center" vertical="center" shrinkToFit="1"/>
    </xf>
    <xf numFmtId="185" fontId="31" fillId="0" borderId="87" xfId="0" applyNumberFormat="1" applyFont="1" applyBorder="1" applyAlignment="1">
      <alignment horizontal="center" vertical="center" shrinkToFit="1"/>
    </xf>
    <xf numFmtId="185" fontId="31" fillId="0" borderId="89" xfId="0" applyNumberFormat="1" applyFont="1" applyBorder="1" applyAlignment="1">
      <alignment horizontal="center" vertical="center" shrinkToFit="1"/>
    </xf>
    <xf numFmtId="0" fontId="31" fillId="3" borderId="14" xfId="0" applyFont="1" applyFill="1" applyBorder="1" applyAlignment="1">
      <alignment horizontal="distributed" vertical="center" wrapText="1"/>
    </xf>
    <xf numFmtId="0" fontId="31" fillId="3" borderId="115" xfId="0" applyFont="1" applyFill="1" applyBorder="1" applyAlignment="1">
      <alignment horizontal="distributed" vertical="center" wrapText="1"/>
    </xf>
    <xf numFmtId="0" fontId="31" fillId="3" borderId="17" xfId="0" applyFont="1" applyFill="1" applyBorder="1" applyAlignment="1">
      <alignment horizontal="distributed" vertical="center" wrapTex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15" xfId="0" applyFont="1" applyBorder="1" applyAlignment="1">
      <alignment horizontal="center" vertical="center" shrinkToFit="1"/>
    </xf>
    <xf numFmtId="0" fontId="31" fillId="0" borderId="17" xfId="0" applyFont="1" applyBorder="1" applyAlignment="1">
      <alignment horizontal="center" vertical="center" shrinkToFit="1"/>
    </xf>
    <xf numFmtId="0" fontId="31" fillId="22" borderId="66" xfId="0" applyFont="1" applyFill="1" applyBorder="1" applyAlignment="1">
      <alignment horizontal="center" vertical="center" shrinkToFit="1"/>
    </xf>
    <xf numFmtId="0" fontId="31" fillId="22" borderId="117" xfId="0" applyFont="1" applyFill="1" applyBorder="1" applyAlignment="1">
      <alignment horizontal="center" vertical="center" shrinkToFit="1"/>
    </xf>
    <xf numFmtId="0" fontId="31" fillId="22" borderId="130" xfId="0" applyFont="1" applyFill="1" applyBorder="1" applyAlignment="1">
      <alignment horizontal="center" vertical="center" shrinkToFit="1"/>
    </xf>
    <xf numFmtId="0" fontId="31" fillId="22" borderId="6" xfId="0" applyFont="1" applyFill="1" applyBorder="1" applyAlignment="1">
      <alignment horizontal="distributed" vertical="center" wrapText="1"/>
    </xf>
    <xf numFmtId="0" fontId="31" fillId="22" borderId="7" xfId="0" applyFont="1" applyFill="1" applyBorder="1" applyAlignment="1">
      <alignment horizontal="distributed" vertical="center" wrapText="1"/>
    </xf>
    <xf numFmtId="0" fontId="31" fillId="22" borderId="16" xfId="0" applyFont="1" applyFill="1" applyBorder="1" applyAlignment="1">
      <alignment horizontal="distributed" vertical="center" wrapText="1"/>
    </xf>
    <xf numFmtId="0" fontId="31" fillId="22" borderId="14" xfId="0" applyFont="1" applyFill="1" applyBorder="1" applyAlignment="1">
      <alignment horizontal="distributed" vertical="center" wrapText="1"/>
    </xf>
    <xf numFmtId="0" fontId="31" fillId="22" borderId="115" xfId="0" applyFont="1" applyFill="1" applyBorder="1" applyAlignment="1">
      <alignment horizontal="distributed" vertical="center" wrapText="1"/>
    </xf>
    <xf numFmtId="0" fontId="31" fillId="22" borderId="17" xfId="0" applyFont="1" applyFill="1" applyBorder="1" applyAlignment="1">
      <alignment horizontal="distributed" vertical="center" wrapText="1"/>
    </xf>
    <xf numFmtId="185" fontId="31" fillId="22" borderId="48" xfId="0" applyNumberFormat="1" applyFont="1" applyFill="1" applyBorder="1" applyAlignment="1">
      <alignment horizontal="right" vertical="center" shrinkToFit="1"/>
    </xf>
    <xf numFmtId="185" fontId="31" fillId="22" borderId="3" xfId="0" applyNumberFormat="1" applyFont="1" applyFill="1" applyBorder="1" applyAlignment="1">
      <alignment horizontal="right" vertical="center" shrinkToFit="1"/>
    </xf>
    <xf numFmtId="185" fontId="31" fillId="22" borderId="244" xfId="0" applyNumberFormat="1" applyFont="1" applyFill="1" applyBorder="1" applyAlignment="1">
      <alignment horizontal="right" vertical="center" shrinkToFit="1"/>
    </xf>
    <xf numFmtId="185" fontId="31" fillId="22" borderId="79" xfId="0" applyNumberFormat="1" applyFont="1" applyFill="1" applyBorder="1" applyAlignment="1">
      <alignment horizontal="right" vertical="center" shrinkToFit="1"/>
    </xf>
    <xf numFmtId="185" fontId="31" fillId="22" borderId="77" xfId="0" applyNumberFormat="1" applyFont="1" applyFill="1" applyBorder="1" applyAlignment="1">
      <alignment horizontal="right" vertical="center" shrinkToFit="1"/>
    </xf>
    <xf numFmtId="185" fontId="31" fillId="22" borderId="81" xfId="0" applyNumberFormat="1" applyFont="1" applyFill="1" applyBorder="1" applyAlignment="1">
      <alignment horizontal="right" vertical="center" shrinkToFit="1"/>
    </xf>
    <xf numFmtId="185" fontId="31" fillId="22" borderId="82" xfId="0" applyNumberFormat="1" applyFont="1" applyFill="1" applyBorder="1" applyAlignment="1">
      <alignment horizontal="right" vertical="center" shrinkToFit="1"/>
    </xf>
    <xf numFmtId="185" fontId="31" fillId="22" borderId="84" xfId="0" applyNumberFormat="1" applyFont="1" applyFill="1" applyBorder="1" applyAlignment="1">
      <alignment horizontal="right" vertical="center" shrinkToFit="1"/>
    </xf>
    <xf numFmtId="0" fontId="31" fillId="3" borderId="8" xfId="0" applyFont="1" applyFill="1" applyBorder="1" applyAlignment="1">
      <alignment horizontal="distributed" vertical="center"/>
    </xf>
    <xf numFmtId="0" fontId="31" fillId="3" borderId="18" xfId="0" applyFont="1" applyFill="1" applyBorder="1" applyAlignment="1">
      <alignment horizontal="distributed" vertical="center"/>
    </xf>
    <xf numFmtId="0" fontId="31" fillId="0" borderId="66" xfId="0" applyFont="1" applyBorder="1" applyAlignment="1">
      <alignment horizontal="center" vertical="center"/>
    </xf>
    <xf numFmtId="0" fontId="31" fillId="0" borderId="117" xfId="0" applyFont="1" applyBorder="1" applyAlignment="1">
      <alignment horizontal="center" vertical="center"/>
    </xf>
    <xf numFmtId="0" fontId="31" fillId="0" borderId="130" xfId="0" applyFont="1" applyBorder="1" applyAlignment="1">
      <alignment horizontal="center" vertical="center"/>
    </xf>
    <xf numFmtId="185" fontId="28" fillId="0" borderId="23" xfId="0" applyNumberFormat="1" applyFont="1" applyBorder="1" applyAlignment="1">
      <alignment horizontal="right" vertical="center" shrinkToFit="1"/>
    </xf>
    <xf numFmtId="185" fontId="28" fillId="0" borderId="10" xfId="0" applyNumberFormat="1" applyFont="1" applyBorder="1" applyAlignment="1">
      <alignment horizontal="right" vertical="center" shrinkToFit="1"/>
    </xf>
    <xf numFmtId="185" fontId="28" fillId="0" borderId="72" xfId="0" applyNumberFormat="1" applyFont="1" applyBorder="1" applyAlignment="1">
      <alignment horizontal="right" vertical="center" shrinkToFit="1"/>
    </xf>
    <xf numFmtId="185" fontId="28" fillId="0" borderId="73" xfId="0" applyNumberFormat="1" applyFont="1" applyBorder="1" applyAlignment="1">
      <alignment horizontal="right" vertical="center" shrinkToFit="1"/>
    </xf>
    <xf numFmtId="185" fontId="28" fillId="0" borderId="75" xfId="0" applyNumberFormat="1" applyFont="1" applyBorder="1" applyAlignment="1">
      <alignment horizontal="right" vertical="center" shrinkToFit="1"/>
    </xf>
    <xf numFmtId="185" fontId="28" fillId="0" borderId="79" xfId="0" applyNumberFormat="1" applyFont="1" applyBorder="1" applyAlignment="1">
      <alignment horizontal="right" vertical="center" shrinkToFit="1"/>
    </xf>
    <xf numFmtId="185" fontId="28" fillId="0" borderId="77" xfId="0" applyNumberFormat="1" applyFont="1" applyBorder="1" applyAlignment="1">
      <alignment horizontal="right" vertical="center" shrinkToFit="1"/>
    </xf>
    <xf numFmtId="185" fontId="28" fillId="0" borderId="81" xfId="0" applyNumberFormat="1" applyFont="1" applyBorder="1" applyAlignment="1">
      <alignment horizontal="right" vertical="center" shrinkToFit="1"/>
    </xf>
    <xf numFmtId="185" fontId="28" fillId="0" borderId="82" xfId="0" applyNumberFormat="1" applyFont="1" applyBorder="1" applyAlignment="1">
      <alignment horizontal="right" vertical="center" shrinkToFit="1"/>
    </xf>
    <xf numFmtId="185" fontId="28" fillId="0" borderId="84" xfId="0" applyNumberFormat="1" applyFont="1" applyBorder="1" applyAlignment="1">
      <alignment horizontal="right" vertical="center" shrinkToFit="1"/>
    </xf>
    <xf numFmtId="185" fontId="28" fillId="0" borderId="48" xfId="0" applyNumberFormat="1" applyFont="1" applyBorder="1" applyAlignment="1">
      <alignment horizontal="right" vertical="center" shrinkToFit="1"/>
    </xf>
    <xf numFmtId="185" fontId="28" fillId="0" borderId="3" xfId="0" applyNumberFormat="1" applyFont="1" applyBorder="1" applyAlignment="1">
      <alignment horizontal="right" vertical="center" shrinkToFit="1"/>
    </xf>
    <xf numFmtId="185" fontId="28" fillId="0" borderId="69" xfId="0" applyNumberFormat="1" applyFont="1" applyBorder="1" applyAlignment="1">
      <alignment horizontal="right" vertical="center" shrinkToFit="1"/>
    </xf>
    <xf numFmtId="185" fontId="28" fillId="0" borderId="70" xfId="0" applyNumberFormat="1" applyFont="1" applyBorder="1" applyAlignment="1">
      <alignment horizontal="right" vertical="center" shrinkToFit="1"/>
    </xf>
    <xf numFmtId="181" fontId="31" fillId="0" borderId="48" xfId="0" applyNumberFormat="1" applyFont="1" applyBorder="1" applyAlignment="1">
      <alignment horizontal="right" vertical="center" shrinkToFit="1"/>
    </xf>
    <xf numFmtId="181" fontId="31" fillId="0" borderId="3" xfId="0" applyNumberFormat="1" applyFont="1" applyBorder="1" applyAlignment="1">
      <alignment horizontal="right" vertical="center" shrinkToFit="1"/>
    </xf>
    <xf numFmtId="0" fontId="31" fillId="9" borderId="72" xfId="0" applyNumberFormat="1" applyFont="1" applyFill="1" applyBorder="1" applyAlignment="1" applyProtection="1">
      <alignment horizontal="right" vertical="center" shrinkToFit="1"/>
      <protection locked="0"/>
    </xf>
    <xf numFmtId="0" fontId="31" fillId="9" borderId="73" xfId="0" applyNumberFormat="1" applyFont="1" applyFill="1" applyBorder="1" applyAlignment="1" applyProtection="1">
      <alignment horizontal="right" vertical="center" shrinkToFit="1"/>
      <protection locked="0"/>
    </xf>
    <xf numFmtId="0" fontId="31" fillId="9" borderId="81" xfId="0" applyNumberFormat="1" applyFont="1" applyFill="1" applyBorder="1" applyAlignment="1" applyProtection="1">
      <alignment horizontal="right" vertical="center" shrinkToFit="1"/>
      <protection locked="0"/>
    </xf>
    <xf numFmtId="0" fontId="31" fillId="9" borderId="82" xfId="0" applyNumberFormat="1" applyFont="1" applyFill="1" applyBorder="1" applyAlignment="1" applyProtection="1">
      <alignment horizontal="right" vertical="center" shrinkToFit="1"/>
      <protection locked="0"/>
    </xf>
    <xf numFmtId="0" fontId="31" fillId="22" borderId="8" xfId="0" applyFont="1" applyFill="1" applyBorder="1" applyAlignment="1">
      <alignment horizontal="distributed" vertical="center"/>
    </xf>
    <xf numFmtId="178" fontId="31" fillId="22" borderId="48" xfId="0" applyNumberFormat="1" applyFont="1" applyFill="1" applyBorder="1" applyAlignment="1">
      <alignment horizontal="right" vertical="center" shrinkToFit="1"/>
    </xf>
    <xf numFmtId="178" fontId="31" fillId="22" borderId="3" xfId="0" applyNumberFormat="1" applyFont="1" applyFill="1" applyBorder="1" applyAlignment="1">
      <alignment horizontal="right" vertical="center" shrinkToFit="1"/>
    </xf>
    <xf numFmtId="0" fontId="31" fillId="22" borderId="115" xfId="0" applyFont="1" applyFill="1" applyBorder="1" applyAlignment="1">
      <alignment horizontal="left" vertical="center"/>
    </xf>
    <xf numFmtId="0" fontId="31" fillId="22" borderId="17" xfId="0" applyFont="1" applyFill="1" applyBorder="1" applyAlignment="1">
      <alignment horizontal="left" vertical="center"/>
    </xf>
    <xf numFmtId="0" fontId="31" fillId="3" borderId="6" xfId="0" applyFont="1" applyFill="1" applyBorder="1" applyAlignment="1">
      <alignment horizontal="distributed" vertical="center"/>
    </xf>
    <xf numFmtId="0" fontId="31" fillId="3" borderId="7" xfId="0" applyFont="1" applyFill="1" applyBorder="1" applyAlignment="1">
      <alignment horizontal="distributed" vertical="center"/>
    </xf>
    <xf numFmtId="0" fontId="31" fillId="3" borderId="16" xfId="0" applyFont="1" applyFill="1" applyBorder="1" applyAlignment="1">
      <alignment horizontal="distributed" vertical="center"/>
    </xf>
    <xf numFmtId="181" fontId="31" fillId="2" borderId="48" xfId="0" applyNumberFormat="1" applyFont="1" applyFill="1" applyBorder="1" applyAlignment="1" applyProtection="1">
      <alignment horizontal="right" vertical="center" shrinkToFit="1"/>
      <protection locked="0"/>
    </xf>
    <xf numFmtId="181" fontId="31" fillId="2" borderId="3" xfId="0" applyNumberFormat="1" applyFont="1" applyFill="1" applyBorder="1" applyAlignment="1" applyProtection="1">
      <alignment horizontal="right" vertical="center" shrinkToFit="1"/>
      <protection locked="0"/>
    </xf>
    <xf numFmtId="0" fontId="31" fillId="0" borderId="115" xfId="0" applyFont="1" applyFill="1" applyBorder="1" applyAlignment="1">
      <alignment horizontal="left" vertical="center"/>
    </xf>
    <xf numFmtId="0" fontId="31" fillId="0" borderId="17" xfId="0" applyFont="1" applyFill="1" applyBorder="1" applyAlignment="1">
      <alignment horizontal="left" vertical="center"/>
    </xf>
    <xf numFmtId="181" fontId="31" fillId="2" borderId="79" xfId="0" applyNumberFormat="1" applyFont="1" applyFill="1" applyBorder="1" applyAlignment="1" applyProtection="1">
      <alignment horizontal="right" vertical="center" shrinkToFit="1"/>
      <protection locked="0"/>
    </xf>
    <xf numFmtId="181" fontId="31" fillId="2" borderId="77" xfId="0" applyNumberFormat="1" applyFont="1" applyFill="1" applyBorder="1" applyAlignment="1" applyProtection="1">
      <alignment horizontal="right" vertical="center" shrinkToFit="1"/>
      <protection locked="0"/>
    </xf>
    <xf numFmtId="0" fontId="31" fillId="3" borderId="5" xfId="0" applyFont="1" applyFill="1" applyBorder="1" applyAlignment="1">
      <alignment horizontal="distributed" vertical="center"/>
    </xf>
    <xf numFmtId="0" fontId="31" fillId="3" borderId="0" xfId="0" applyFont="1" applyFill="1" applyAlignment="1">
      <alignment horizontal="distributed" vertical="center"/>
    </xf>
    <xf numFmtId="0" fontId="31" fillId="3" borderId="2" xfId="0" applyFont="1" applyFill="1" applyBorder="1" applyAlignment="1">
      <alignment horizontal="distributed" vertical="center"/>
    </xf>
    <xf numFmtId="0" fontId="31" fillId="22" borderId="18" xfId="0" applyFont="1" applyFill="1" applyBorder="1" applyAlignment="1">
      <alignment horizontal="left" vertical="center" shrinkToFit="1"/>
    </xf>
    <xf numFmtId="0" fontId="35" fillId="23" borderId="8" xfId="0" applyFont="1" applyFill="1" applyBorder="1" applyAlignment="1">
      <alignment horizontal="center" vertical="center" shrinkToFit="1"/>
    </xf>
    <xf numFmtId="0" fontId="31" fillId="0" borderId="0" xfId="0" applyFont="1" applyAlignment="1">
      <alignment horizontal="center" vertical="center"/>
    </xf>
    <xf numFmtId="0" fontId="31" fillId="0" borderId="115" xfId="0" applyFont="1" applyBorder="1" applyAlignment="1">
      <alignment horizontal="left" vertical="center"/>
    </xf>
    <xf numFmtId="0" fontId="31" fillId="0" borderId="17" xfId="0" applyFont="1" applyBorder="1" applyAlignment="1">
      <alignment horizontal="left" vertical="center"/>
    </xf>
    <xf numFmtId="0" fontId="31" fillId="3" borderId="18" xfId="0" applyFont="1" applyFill="1" applyBorder="1" applyAlignment="1">
      <alignment horizontal="center" vertical="center"/>
    </xf>
    <xf numFmtId="185" fontId="31" fillId="0" borderId="23" xfId="0" applyNumberFormat="1" applyFont="1" applyBorder="1" applyAlignment="1">
      <alignment horizontal="right" vertical="center" shrinkToFit="1"/>
    </xf>
    <xf numFmtId="185" fontId="31" fillId="0" borderId="10" xfId="0" applyNumberFormat="1" applyFont="1" applyBorder="1" applyAlignment="1">
      <alignment horizontal="right" vertical="center" shrinkToFit="1"/>
    </xf>
    <xf numFmtId="185" fontId="31" fillId="0" borderId="79" xfId="0" applyNumberFormat="1" applyFont="1" applyBorder="1" applyAlignment="1">
      <alignment horizontal="right" vertical="center" shrinkToFit="1"/>
    </xf>
    <xf numFmtId="185" fontId="31" fillId="0" borderId="77" xfId="0" applyNumberFormat="1" applyFont="1" applyBorder="1" applyAlignment="1">
      <alignment horizontal="right" vertical="center" shrinkToFit="1"/>
    </xf>
    <xf numFmtId="0" fontId="31" fillId="22" borderId="18" xfId="0" applyFont="1" applyFill="1" applyBorder="1" applyAlignment="1">
      <alignment horizontal="center" vertical="center"/>
    </xf>
    <xf numFmtId="0" fontId="31" fillId="0" borderId="18" xfId="0" applyFont="1" applyFill="1" applyBorder="1" applyAlignment="1">
      <alignment horizontal="distributed" vertical="center"/>
    </xf>
    <xf numFmtId="0" fontId="31" fillId="9" borderId="18" xfId="0" applyFont="1" applyFill="1" applyBorder="1" applyAlignment="1" applyProtection="1">
      <alignment horizontal="distributed" vertical="center"/>
      <protection locked="0"/>
    </xf>
    <xf numFmtId="0" fontId="40" fillId="0" borderId="117" xfId="0" applyFont="1" applyFill="1" applyBorder="1" applyAlignment="1">
      <alignment horizontal="left" vertical="center" wrapText="1" shrinkToFit="1"/>
    </xf>
    <xf numFmtId="0" fontId="40" fillId="0" borderId="130" xfId="0" applyFont="1" applyFill="1" applyBorder="1" applyAlignment="1">
      <alignment horizontal="left" vertical="center" wrapText="1" shrinkToFit="1"/>
    </xf>
    <xf numFmtId="0" fontId="35" fillId="23" borderId="6" xfId="0" applyFont="1" applyFill="1" applyBorder="1" applyAlignment="1">
      <alignment horizontal="center" vertical="center" shrinkToFit="1"/>
    </xf>
    <xf numFmtId="0" fontId="35" fillId="23" borderId="7" xfId="0" applyFont="1" applyFill="1" applyBorder="1" applyAlignment="1">
      <alignment horizontal="center" vertical="center" shrinkToFit="1"/>
    </xf>
    <xf numFmtId="0" fontId="35" fillId="23" borderId="16" xfId="0" applyFont="1" applyFill="1" applyBorder="1" applyAlignment="1">
      <alignment horizontal="center" vertical="center" shrinkToFit="1"/>
    </xf>
    <xf numFmtId="0" fontId="35" fillId="23" borderId="5" xfId="0" applyFont="1" applyFill="1" applyBorder="1" applyAlignment="1">
      <alignment horizontal="center" vertical="center" shrinkToFit="1"/>
    </xf>
    <xf numFmtId="0" fontId="35" fillId="23" borderId="0" xfId="0" applyFont="1" applyFill="1" applyAlignment="1">
      <alignment horizontal="center" vertical="center" shrinkToFit="1"/>
    </xf>
    <xf numFmtId="0" fontId="35" fillId="23" borderId="2" xfId="0" applyFont="1" applyFill="1" applyBorder="1" applyAlignment="1">
      <alignment horizontal="center" vertical="center" shrinkToFit="1"/>
    </xf>
    <xf numFmtId="0" fontId="35" fillId="23" borderId="14" xfId="0" applyFont="1" applyFill="1" applyBorder="1" applyAlignment="1">
      <alignment horizontal="center" vertical="center" shrinkToFit="1"/>
    </xf>
    <xf numFmtId="0" fontId="35" fillId="23" borderId="115" xfId="0" applyFont="1" applyFill="1" applyBorder="1" applyAlignment="1">
      <alignment horizontal="center" vertical="center" shrinkToFit="1"/>
    </xf>
    <xf numFmtId="0" fontId="35" fillId="23" borderId="17" xfId="0" applyFont="1" applyFill="1" applyBorder="1" applyAlignment="1">
      <alignment horizontal="center" vertical="center" shrinkToFit="1"/>
    </xf>
    <xf numFmtId="0" fontId="35" fillId="23" borderId="13" xfId="0" applyFont="1" applyFill="1" applyBorder="1" applyAlignment="1">
      <alignment horizontal="center" vertical="center" shrinkToFit="1"/>
    </xf>
    <xf numFmtId="0" fontId="35" fillId="23" borderId="19" xfId="0" applyFont="1" applyFill="1" applyBorder="1" applyAlignment="1">
      <alignment horizontal="center" vertical="center" shrinkToFit="1"/>
    </xf>
    <xf numFmtId="0" fontId="31" fillId="0" borderId="66" xfId="0" applyFont="1" applyFill="1" applyBorder="1" applyAlignment="1">
      <alignment horizontal="center" vertical="center" shrinkToFit="1"/>
    </xf>
    <xf numFmtId="0" fontId="31" fillId="0" borderId="117" xfId="0" applyFont="1" applyFill="1" applyBorder="1" applyAlignment="1">
      <alignment horizontal="center" vertical="center" shrinkToFit="1"/>
    </xf>
    <xf numFmtId="0" fontId="31" fillId="0" borderId="130" xfId="0" applyFont="1" applyFill="1" applyBorder="1" applyAlignment="1">
      <alignment horizontal="center" vertical="center" shrinkToFit="1"/>
    </xf>
    <xf numFmtId="0" fontId="40" fillId="9" borderId="117" xfId="0" applyFont="1" applyFill="1" applyBorder="1" applyAlignment="1" applyProtection="1">
      <alignment horizontal="left" vertical="center" wrapText="1" shrinkToFit="1"/>
      <protection locked="0"/>
    </xf>
    <xf numFmtId="0" fontId="40" fillId="9" borderId="130" xfId="0" applyFont="1" applyFill="1" applyBorder="1" applyAlignment="1" applyProtection="1">
      <alignment horizontal="left" vertical="center" wrapText="1" shrinkToFit="1"/>
      <protection locked="0"/>
    </xf>
    <xf numFmtId="185" fontId="31" fillId="0" borderId="69" xfId="0" applyNumberFormat="1" applyFont="1" applyBorder="1" applyAlignment="1">
      <alignment horizontal="right" vertical="center" shrinkToFit="1"/>
    </xf>
    <xf numFmtId="185" fontId="31" fillId="0" borderId="70" xfId="0" applyNumberFormat="1" applyFont="1" applyBorder="1" applyAlignment="1">
      <alignment horizontal="right" vertical="center" shrinkToFit="1"/>
    </xf>
    <xf numFmtId="185" fontId="31" fillId="0" borderId="48" xfId="0" applyNumberFormat="1" applyFont="1" applyBorder="1" applyAlignment="1">
      <alignment horizontal="right" vertical="center" shrinkToFit="1"/>
    </xf>
    <xf numFmtId="185" fontId="31" fillId="0" borderId="3" xfId="0" applyNumberFormat="1" applyFont="1" applyBorder="1" applyAlignment="1">
      <alignment horizontal="right" vertical="center" shrinkToFit="1"/>
    </xf>
    <xf numFmtId="185" fontId="31" fillId="0" borderId="81" xfId="0" applyNumberFormat="1" applyFont="1" applyBorder="1" applyAlignment="1">
      <alignment horizontal="right" vertical="center" shrinkToFit="1"/>
    </xf>
    <xf numFmtId="185" fontId="31" fillId="0" borderId="82" xfId="0" applyNumberFormat="1" applyFont="1" applyBorder="1" applyAlignment="1">
      <alignment horizontal="right" vertical="center" shrinkToFit="1"/>
    </xf>
    <xf numFmtId="185" fontId="31" fillId="0" borderId="84" xfId="0" applyNumberFormat="1" applyFont="1" applyBorder="1" applyAlignment="1">
      <alignment horizontal="right" vertical="center" shrinkToFit="1"/>
    </xf>
    <xf numFmtId="185" fontId="31" fillId="0" borderId="72" xfId="0" applyNumberFormat="1" applyFont="1" applyBorder="1" applyAlignment="1">
      <alignment horizontal="right" vertical="center" shrinkToFit="1"/>
    </xf>
    <xf numFmtId="185" fontId="31" fillId="0" borderId="73" xfId="0" applyNumberFormat="1" applyFont="1" applyBorder="1" applyAlignment="1">
      <alignment horizontal="right" vertical="center" shrinkToFit="1"/>
    </xf>
    <xf numFmtId="185" fontId="31" fillId="0" borderId="75" xfId="0" applyNumberFormat="1" applyFont="1" applyBorder="1" applyAlignment="1">
      <alignment horizontal="right" vertical="center" shrinkToFit="1"/>
    </xf>
    <xf numFmtId="178" fontId="31" fillId="22" borderId="14" xfId="0" applyNumberFormat="1" applyFont="1" applyFill="1" applyBorder="1" applyAlignment="1">
      <alignment horizontal="right" vertical="center" shrinkToFit="1"/>
    </xf>
    <xf numFmtId="178" fontId="31" fillId="22" borderId="115" xfId="0" applyNumberFormat="1" applyFont="1" applyFill="1" applyBorder="1" applyAlignment="1">
      <alignment horizontal="right" vertical="center" shrinkToFit="1"/>
    </xf>
    <xf numFmtId="0" fontId="31" fillId="14" borderId="0" xfId="0" applyFont="1" applyFill="1" applyAlignment="1">
      <alignment horizontal="left" vertical="top" wrapText="1"/>
    </xf>
    <xf numFmtId="0" fontId="31" fillId="9" borderId="96" xfId="0" applyFont="1" applyFill="1" applyBorder="1" applyAlignment="1" applyProtection="1">
      <alignment horizontal="center" vertical="center" shrinkToFit="1"/>
      <protection locked="0"/>
    </xf>
    <xf numFmtId="0" fontId="31" fillId="9" borderId="94" xfId="0" applyFont="1" applyFill="1" applyBorder="1" applyAlignment="1" applyProtection="1">
      <alignment horizontal="center" vertical="center" shrinkToFit="1"/>
      <protection locked="0"/>
    </xf>
    <xf numFmtId="0" fontId="31" fillId="9" borderId="97" xfId="0" applyFont="1" applyFill="1" applyBorder="1" applyAlignment="1" applyProtection="1">
      <alignment horizontal="center" vertical="center" shrinkToFit="1"/>
      <protection locked="0"/>
    </xf>
    <xf numFmtId="0" fontId="31" fillId="9" borderId="95" xfId="0" applyFont="1" applyFill="1" applyBorder="1" applyAlignment="1" applyProtection="1">
      <alignment horizontal="center" vertical="center" shrinkToFit="1"/>
      <protection locked="0"/>
    </xf>
    <xf numFmtId="0" fontId="48" fillId="22" borderId="115" xfId="0" applyFont="1" applyFill="1" applyBorder="1" applyAlignment="1">
      <alignment horizontal="right" vertical="center"/>
    </xf>
    <xf numFmtId="0" fontId="48" fillId="22" borderId="115" xfId="0" applyFont="1" applyFill="1" applyBorder="1" applyAlignment="1">
      <alignment horizontal="center" vertical="center"/>
    </xf>
    <xf numFmtId="0" fontId="48" fillId="22" borderId="115" xfId="0" applyFont="1" applyFill="1" applyBorder="1" applyAlignment="1">
      <alignment horizontal="center" vertical="center" shrinkToFit="1"/>
    </xf>
    <xf numFmtId="185" fontId="31" fillId="0" borderId="66" xfId="0" applyNumberFormat="1" applyFont="1" applyBorder="1" applyAlignment="1">
      <alignment horizontal="center" vertical="center" shrinkToFit="1"/>
    </xf>
    <xf numFmtId="185" fontId="31" fillId="0" borderId="117" xfId="0" applyNumberFormat="1" applyFont="1" applyBorder="1" applyAlignment="1">
      <alignment horizontal="center" vertical="center" shrinkToFit="1"/>
    </xf>
    <xf numFmtId="0" fontId="31" fillId="22" borderId="18" xfId="0" applyFont="1" applyFill="1" applyBorder="1" applyAlignment="1">
      <alignment horizontal="distributed" vertical="center" wrapText="1"/>
    </xf>
    <xf numFmtId="183" fontId="39" fillId="22" borderId="66" xfId="0" applyNumberFormat="1" applyFont="1" applyFill="1" applyBorder="1" applyAlignment="1">
      <alignment horizontal="center" vertical="center" shrinkToFit="1"/>
    </xf>
    <xf numFmtId="183" fontId="39" fillId="22" borderId="117" xfId="0" applyNumberFormat="1" applyFont="1" applyFill="1" applyBorder="1" applyAlignment="1">
      <alignment horizontal="center" vertical="center" shrinkToFit="1"/>
    </xf>
    <xf numFmtId="183" fontId="39" fillId="22" borderId="130" xfId="0" applyNumberFormat="1" applyFont="1" applyFill="1" applyBorder="1" applyAlignment="1">
      <alignment horizontal="center" vertical="center" shrinkToFit="1"/>
    </xf>
    <xf numFmtId="0" fontId="31" fillId="9" borderId="6" xfId="0" applyFont="1" applyFill="1" applyBorder="1" applyAlignment="1" applyProtection="1">
      <alignment horizontal="center" vertical="center" wrapText="1"/>
      <protection locked="0"/>
    </xf>
    <xf numFmtId="0" fontId="31" fillId="9" borderId="7" xfId="0" applyFont="1" applyFill="1" applyBorder="1" applyAlignment="1" applyProtection="1">
      <alignment horizontal="center" vertical="center" wrapText="1"/>
      <protection locked="0"/>
    </xf>
    <xf numFmtId="0" fontId="31" fillId="9" borderId="16" xfId="0" applyFont="1" applyFill="1" applyBorder="1" applyAlignment="1" applyProtection="1">
      <alignment horizontal="center" vertical="center" wrapText="1"/>
      <protection locked="0"/>
    </xf>
    <xf numFmtId="0" fontId="31" fillId="9" borderId="14" xfId="0" applyFont="1" applyFill="1" applyBorder="1" applyAlignment="1" applyProtection="1">
      <alignment horizontal="center" vertical="center" wrapText="1"/>
      <protection locked="0"/>
    </xf>
    <xf numFmtId="0" fontId="31" fillId="9" borderId="115" xfId="0" applyFont="1" applyFill="1" applyBorder="1" applyAlignment="1" applyProtection="1">
      <alignment horizontal="center" vertical="center" wrapText="1"/>
      <protection locked="0"/>
    </xf>
    <xf numFmtId="0" fontId="31" fillId="9" borderId="17" xfId="0" applyFont="1" applyFill="1" applyBorder="1" applyAlignment="1" applyProtection="1">
      <alignment horizontal="center" vertical="center" wrapText="1"/>
      <protection locked="0"/>
    </xf>
    <xf numFmtId="183" fontId="31" fillId="9" borderId="6" xfId="0" applyNumberFormat="1" applyFont="1" applyFill="1" applyBorder="1" applyAlignment="1" applyProtection="1">
      <alignment horizontal="center" vertical="center" shrinkToFit="1"/>
      <protection locked="0"/>
    </xf>
    <xf numFmtId="183" fontId="31" fillId="9" borderId="7" xfId="0" applyNumberFormat="1" applyFont="1" applyFill="1" applyBorder="1" applyAlignment="1" applyProtection="1">
      <alignment horizontal="center" vertical="center" shrinkToFit="1"/>
      <protection locked="0"/>
    </xf>
    <xf numFmtId="183" fontId="31" fillId="9" borderId="106" xfId="0" applyNumberFormat="1" applyFont="1" applyFill="1" applyBorder="1" applyAlignment="1" applyProtection="1">
      <alignment horizontal="center" vertical="center" shrinkToFit="1"/>
      <protection locked="0"/>
    </xf>
    <xf numFmtId="183" fontId="31" fillId="9" borderId="107" xfId="0" applyNumberFormat="1" applyFont="1" applyFill="1" applyBorder="1" applyAlignment="1" applyProtection="1">
      <alignment horizontal="center" vertical="center" shrinkToFit="1"/>
      <protection locked="0"/>
    </xf>
    <xf numFmtId="183" fontId="31" fillId="9" borderId="98" xfId="0" applyNumberFormat="1" applyFont="1" applyFill="1" applyBorder="1" applyAlignment="1" applyProtection="1">
      <alignment horizontal="center" vertical="center" shrinkToFit="1"/>
      <protection locked="0"/>
    </xf>
    <xf numFmtId="183" fontId="31" fillId="9" borderId="100" xfId="0" applyNumberFormat="1" applyFont="1" applyFill="1" applyBorder="1" applyAlignment="1" applyProtection="1">
      <alignment horizontal="center" vertical="center" shrinkToFit="1"/>
      <protection locked="0"/>
    </xf>
    <xf numFmtId="183" fontId="39" fillId="22" borderId="66" xfId="0" applyNumberFormat="1" applyFont="1" applyFill="1" applyBorder="1" applyAlignment="1">
      <alignment horizontal="left" vertical="center" wrapText="1" shrinkToFit="1"/>
    </xf>
    <xf numFmtId="183" fontId="39" fillId="22" borderId="117" xfId="0" applyNumberFormat="1" applyFont="1" applyFill="1" applyBorder="1" applyAlignment="1">
      <alignment horizontal="left" vertical="center" wrapText="1" shrinkToFit="1"/>
    </xf>
    <xf numFmtId="183" fontId="39" fillId="22" borderId="130" xfId="0" applyNumberFormat="1" applyFont="1" applyFill="1" applyBorder="1" applyAlignment="1">
      <alignment horizontal="left" vertical="center" wrapText="1" shrinkToFit="1"/>
    </xf>
    <xf numFmtId="0" fontId="39" fillId="3" borderId="18" xfId="0" applyFont="1" applyFill="1" applyBorder="1" applyAlignment="1">
      <alignment horizontal="center" vertical="center" wrapText="1"/>
    </xf>
    <xf numFmtId="0" fontId="39" fillId="9" borderId="6" xfId="0" applyFont="1" applyFill="1" applyBorder="1" applyAlignment="1" applyProtection="1">
      <alignment horizontal="left" vertical="top" wrapText="1" shrinkToFit="1"/>
      <protection locked="0"/>
    </xf>
    <xf numFmtId="0" fontId="39" fillId="9" borderId="7" xfId="0" applyFont="1" applyFill="1" applyBorder="1" applyAlignment="1" applyProtection="1">
      <alignment horizontal="left" vertical="top" wrapText="1" shrinkToFit="1"/>
      <protection locked="0"/>
    </xf>
    <xf numFmtId="0" fontId="39" fillId="9" borderId="16" xfId="0" applyFont="1" applyFill="1" applyBorder="1" applyAlignment="1" applyProtection="1">
      <alignment horizontal="left" vertical="top" wrapText="1" shrinkToFit="1"/>
      <protection locked="0"/>
    </xf>
    <xf numFmtId="0" fontId="39" fillId="9" borderId="14" xfId="0" applyFont="1" applyFill="1" applyBorder="1" applyAlignment="1" applyProtection="1">
      <alignment horizontal="left" vertical="top" wrapText="1" shrinkToFit="1"/>
      <protection locked="0"/>
    </xf>
    <xf numFmtId="0" fontId="39" fillId="9" borderId="115" xfId="0" applyFont="1" applyFill="1" applyBorder="1" applyAlignment="1" applyProtection="1">
      <alignment horizontal="left" vertical="top" wrapText="1" shrinkToFit="1"/>
      <protection locked="0"/>
    </xf>
    <xf numFmtId="0" fontId="39" fillId="9" borderId="17" xfId="0" applyFont="1" applyFill="1" applyBorder="1" applyAlignment="1" applyProtection="1">
      <alignment horizontal="left" vertical="top" wrapText="1" shrinkToFit="1"/>
      <protection locked="0"/>
    </xf>
    <xf numFmtId="0" fontId="80" fillId="27" borderId="18" xfId="2" applyFont="1" applyFill="1" applyBorder="1" applyAlignment="1">
      <alignment horizontal="center" vertical="center" wrapText="1"/>
    </xf>
    <xf numFmtId="0" fontId="82" fillId="3" borderId="18" xfId="2" applyFont="1" applyFill="1" applyBorder="1" applyAlignment="1">
      <alignment horizontal="center" vertical="center" wrapText="1"/>
    </xf>
    <xf numFmtId="0" fontId="82" fillId="3" borderId="18" xfId="2" applyFont="1" applyFill="1" applyBorder="1" applyAlignment="1">
      <alignment horizontal="center" vertical="center"/>
    </xf>
    <xf numFmtId="0" fontId="80" fillId="0" borderId="18" xfId="2" applyFont="1" applyBorder="1" applyAlignment="1">
      <alignment horizontal="left" vertical="center" wrapText="1"/>
    </xf>
    <xf numFmtId="0" fontId="80" fillId="4" borderId="18" xfId="2" applyFont="1" applyFill="1" applyBorder="1" applyAlignment="1">
      <alignment horizontal="left" vertical="center" wrapText="1"/>
    </xf>
    <xf numFmtId="0" fontId="78" fillId="22" borderId="18" xfId="2" applyFont="1" applyFill="1" applyBorder="1" applyAlignment="1">
      <alignment horizontal="center" vertical="center"/>
    </xf>
    <xf numFmtId="0" fontId="78" fillId="0" borderId="18" xfId="2" applyFont="1" applyBorder="1" applyAlignment="1">
      <alignment horizontal="center" vertical="center"/>
    </xf>
    <xf numFmtId="0" fontId="78" fillId="0" borderId="18" xfId="2" applyFont="1" applyBorder="1" applyAlignment="1">
      <alignment horizontal="right" vertical="center"/>
    </xf>
    <xf numFmtId="0" fontId="79" fillId="0" borderId="18" xfId="2" applyFont="1" applyBorder="1" applyAlignment="1">
      <alignment horizontal="center" vertical="center"/>
    </xf>
    <xf numFmtId="9" fontId="78" fillId="0" borderId="18" xfId="10" applyFont="1" applyFill="1" applyBorder="1" applyAlignment="1">
      <alignment horizontal="right" vertical="center"/>
    </xf>
    <xf numFmtId="0" fontId="78" fillId="0" borderId="18" xfId="3" applyNumberFormat="1" applyFont="1" applyFill="1" applyBorder="1" applyAlignment="1">
      <alignment horizontal="center" vertical="center"/>
    </xf>
    <xf numFmtId="0" fontId="78" fillId="22" borderId="18" xfId="3" applyNumberFormat="1" applyFont="1" applyFill="1" applyBorder="1" applyAlignment="1">
      <alignment horizontal="center" vertical="center"/>
    </xf>
    <xf numFmtId="0" fontId="78" fillId="0" borderId="18" xfId="10" applyNumberFormat="1" applyFont="1" applyFill="1" applyBorder="1" applyAlignment="1">
      <alignment horizontal="right" vertical="center"/>
    </xf>
    <xf numFmtId="180" fontId="78" fillId="0" borderId="18" xfId="10" applyNumberFormat="1" applyFont="1" applyFill="1" applyBorder="1" applyAlignment="1">
      <alignment horizontal="right" vertical="center"/>
    </xf>
    <xf numFmtId="0" fontId="78" fillId="6" borderId="241" xfId="2" applyFont="1" applyFill="1" applyBorder="1" applyAlignment="1">
      <alignment horizontal="center" vertical="center"/>
    </xf>
    <xf numFmtId="0" fontId="83" fillId="0" borderId="18" xfId="2" applyFont="1" applyBorder="1" applyAlignment="1">
      <alignment horizontal="center" vertical="center" shrinkToFit="1"/>
    </xf>
    <xf numFmtId="180" fontId="78" fillId="22" borderId="18" xfId="10" applyNumberFormat="1" applyFont="1" applyFill="1" applyBorder="1" applyAlignment="1">
      <alignment horizontal="right" vertical="center"/>
    </xf>
    <xf numFmtId="0" fontId="79" fillId="22" borderId="18" xfId="2" applyFont="1" applyFill="1" applyBorder="1" applyAlignment="1">
      <alignment horizontal="center" vertical="center"/>
    </xf>
    <xf numFmtId="0" fontId="78" fillId="0" borderId="18" xfId="2" applyFont="1" applyBorder="1" applyAlignment="1">
      <alignment horizontal="center" vertical="center" shrinkToFit="1"/>
    </xf>
    <xf numFmtId="0" fontId="80" fillId="22" borderId="18" xfId="2" applyFont="1" applyFill="1" applyBorder="1" applyAlignment="1">
      <alignment horizontal="left" vertical="center" wrapText="1"/>
    </xf>
    <xf numFmtId="0" fontId="78" fillId="3" borderId="18" xfId="2" applyFont="1" applyFill="1" applyBorder="1" applyAlignment="1">
      <alignment horizontal="center" vertical="center"/>
    </xf>
    <xf numFmtId="0" fontId="78" fillId="0" borderId="18" xfId="2" applyFont="1" applyBorder="1" applyAlignment="1">
      <alignment horizontal="center" vertical="center" wrapText="1"/>
    </xf>
    <xf numFmtId="0" fontId="78" fillId="3" borderId="18" xfId="2" applyFont="1" applyFill="1" applyBorder="1" applyAlignment="1">
      <alignment horizontal="center" vertical="center" wrapText="1"/>
    </xf>
    <xf numFmtId="0" fontId="78" fillId="22" borderId="18" xfId="2" applyFont="1" applyFill="1" applyBorder="1" applyAlignment="1">
      <alignment horizontal="center" vertical="center" shrinkToFit="1"/>
    </xf>
    <xf numFmtId="0" fontId="78" fillId="0" borderId="18" xfId="2" applyFont="1" applyBorder="1" applyAlignment="1">
      <alignment horizontal="right" vertical="center" shrinkToFit="1"/>
    </xf>
    <xf numFmtId="9" fontId="78" fillId="0" borderId="18" xfId="10" applyFont="1" applyFill="1" applyBorder="1" applyAlignment="1">
      <alignment horizontal="right" vertical="center" shrinkToFit="1"/>
    </xf>
    <xf numFmtId="0" fontId="79" fillId="27" borderId="18" xfId="2" applyFont="1" applyFill="1" applyBorder="1" applyAlignment="1">
      <alignment horizontal="center" vertical="center"/>
    </xf>
    <xf numFmtId="180" fontId="78" fillId="0" borderId="18" xfId="10" applyNumberFormat="1" applyFont="1" applyFill="1" applyBorder="1" applyAlignment="1">
      <alignment horizontal="right" vertical="center" shrinkToFit="1"/>
    </xf>
    <xf numFmtId="9" fontId="78" fillId="22" borderId="18" xfId="10" applyFont="1" applyFill="1" applyBorder="1" applyAlignment="1">
      <alignment horizontal="right" vertical="center" shrinkToFit="1"/>
    </xf>
    <xf numFmtId="10" fontId="78" fillId="0" borderId="18" xfId="10" applyNumberFormat="1" applyFont="1" applyFill="1" applyBorder="1" applyAlignment="1">
      <alignment horizontal="right" vertical="center" shrinkToFit="1"/>
    </xf>
    <xf numFmtId="0" fontId="80" fillId="0" borderId="18" xfId="2" applyFont="1" applyBorder="1" applyAlignment="1">
      <alignment vertical="center" wrapText="1"/>
    </xf>
    <xf numFmtId="0" fontId="52" fillId="0" borderId="0" xfId="18" applyFont="1" applyAlignment="1" applyProtection="1">
      <alignment vertical="top"/>
    </xf>
    <xf numFmtId="0" fontId="61" fillId="0" borderId="0" xfId="18" applyFont="1" applyProtection="1">
      <alignment vertical="center"/>
    </xf>
    <xf numFmtId="0" fontId="62" fillId="0" borderId="0" xfId="18" applyFont="1" applyAlignment="1" applyProtection="1">
      <alignment vertical="top"/>
    </xf>
    <xf numFmtId="0" fontId="63" fillId="0" borderId="0" xfId="18" applyFont="1" applyAlignment="1" applyProtection="1">
      <alignment vertical="top"/>
    </xf>
    <xf numFmtId="0" fontId="64" fillId="0" borderId="0" xfId="18" applyFont="1" applyAlignment="1" applyProtection="1">
      <alignment horizontal="left" vertical="center"/>
    </xf>
    <xf numFmtId="0" fontId="64" fillId="0" borderId="0" xfId="18" applyFont="1" applyAlignment="1" applyProtection="1">
      <alignment horizontal="center" vertical="center"/>
    </xf>
    <xf numFmtId="0" fontId="65" fillId="0" borderId="0" xfId="17" applyFont="1" applyAlignment="1" applyProtection="1">
      <alignment vertical="center"/>
    </xf>
    <xf numFmtId="0" fontId="64" fillId="0" borderId="0" xfId="18" applyFont="1" applyProtection="1">
      <alignment vertical="center"/>
    </xf>
    <xf numFmtId="0" fontId="85" fillId="22" borderId="117" xfId="18" applyFont="1" applyFill="1" applyBorder="1" applyAlignment="1" applyProtection="1">
      <alignment vertical="top"/>
    </xf>
    <xf numFmtId="0" fontId="61" fillId="22" borderId="0" xfId="18" applyFont="1" applyFill="1" applyProtection="1">
      <alignment vertical="center"/>
    </xf>
    <xf numFmtId="0" fontId="61" fillId="0" borderId="0" xfId="18" applyFont="1" applyAlignment="1" applyProtection="1">
      <alignment vertical="center" shrinkToFit="1"/>
    </xf>
    <xf numFmtId="0" fontId="64" fillId="0" borderId="0" xfId="18" applyFont="1" applyAlignment="1" applyProtection="1">
      <alignment horizontal="right" vertical="center"/>
    </xf>
    <xf numFmtId="0" fontId="64" fillId="0" borderId="0" xfId="18" applyFont="1" applyAlignment="1" applyProtection="1">
      <alignment horizontal="left" vertical="center"/>
    </xf>
    <xf numFmtId="0" fontId="64" fillId="3" borderId="0" xfId="18" applyFont="1" applyFill="1" applyAlignment="1" applyProtection="1">
      <alignment horizontal="left" vertical="center"/>
    </xf>
    <xf numFmtId="0" fontId="64" fillId="3" borderId="6" xfId="18" applyFont="1" applyFill="1" applyBorder="1" applyAlignment="1" applyProtection="1">
      <alignment horizontal="center" vertical="top"/>
    </xf>
    <xf numFmtId="0" fontId="64" fillId="3" borderId="7" xfId="18" applyFont="1" applyFill="1" applyBorder="1" applyAlignment="1" applyProtection="1">
      <alignment horizontal="center" vertical="top"/>
    </xf>
    <xf numFmtId="0" fontId="64" fillId="3" borderId="16" xfId="18" applyFont="1" applyFill="1" applyBorder="1" applyAlignment="1" applyProtection="1">
      <alignment horizontal="center" vertical="top"/>
    </xf>
    <xf numFmtId="0" fontId="64" fillId="3" borderId="6" xfId="18" applyFont="1" applyFill="1" applyBorder="1" applyAlignment="1" applyProtection="1">
      <alignment horizontal="center" vertical="top" wrapText="1"/>
    </xf>
    <xf numFmtId="0" fontId="69" fillId="22" borderId="117" xfId="18" applyFont="1" applyFill="1" applyBorder="1" applyAlignment="1" applyProtection="1">
      <alignment vertical="top"/>
    </xf>
    <xf numFmtId="0" fontId="69" fillId="22" borderId="130" xfId="18" applyFont="1" applyFill="1" applyBorder="1" applyAlignment="1" applyProtection="1">
      <alignment vertical="top"/>
    </xf>
    <xf numFmtId="0" fontId="69" fillId="22" borderId="117" xfId="18" applyFont="1" applyFill="1" applyBorder="1" applyAlignment="1" applyProtection="1">
      <alignment vertical="top" wrapText="1"/>
    </xf>
    <xf numFmtId="0" fontId="70" fillId="22" borderId="117" xfId="18" applyFont="1" applyFill="1" applyBorder="1" applyAlignment="1" applyProtection="1">
      <alignment vertical="top"/>
    </xf>
    <xf numFmtId="0" fontId="70" fillId="22" borderId="130" xfId="18" applyFont="1" applyFill="1" applyBorder="1" applyAlignment="1" applyProtection="1">
      <alignment vertical="top"/>
    </xf>
    <xf numFmtId="0" fontId="61" fillId="3" borderId="5" xfId="18" applyFont="1" applyFill="1" applyBorder="1" applyAlignment="1" applyProtection="1">
      <alignment horizontal="center" vertical="center"/>
    </xf>
    <xf numFmtId="0" fontId="64" fillId="3" borderId="0" xfId="18" applyFont="1" applyFill="1" applyAlignment="1" applyProtection="1">
      <alignment horizontal="left" vertical="center" wrapText="1"/>
    </xf>
    <xf numFmtId="0" fontId="61" fillId="3" borderId="0" xfId="18" applyFont="1" applyFill="1" applyAlignment="1" applyProtection="1">
      <alignment horizontal="center" vertical="center"/>
    </xf>
    <xf numFmtId="56" fontId="64" fillId="3" borderId="2" xfId="18" applyNumberFormat="1" applyFont="1" applyFill="1" applyBorder="1" applyAlignment="1" applyProtection="1">
      <alignment horizontal="center" vertical="center" wrapText="1"/>
    </xf>
    <xf numFmtId="0" fontId="64" fillId="3" borderId="5" xfId="18" applyFont="1" applyFill="1" applyBorder="1" applyProtection="1">
      <alignment vertical="center"/>
    </xf>
    <xf numFmtId="0" fontId="64" fillId="3" borderId="0" xfId="18" applyFont="1" applyFill="1" applyProtection="1">
      <alignment vertical="center"/>
    </xf>
    <xf numFmtId="0" fontId="64" fillId="3" borderId="2" xfId="18" applyFont="1" applyFill="1" applyBorder="1" applyProtection="1">
      <alignment vertical="center"/>
    </xf>
    <xf numFmtId="0" fontId="64" fillId="3" borderId="5" xfId="18" applyFont="1" applyFill="1" applyBorder="1" applyAlignment="1" applyProtection="1">
      <alignment horizontal="center" vertical="center"/>
    </xf>
    <xf numFmtId="0" fontId="64" fillId="3" borderId="0" xfId="18" applyFont="1" applyFill="1" applyAlignment="1" applyProtection="1">
      <alignment horizontal="center" vertical="center"/>
    </xf>
    <xf numFmtId="0" fontId="64" fillId="3" borderId="2" xfId="18" applyFont="1" applyFill="1" applyBorder="1" applyAlignment="1" applyProtection="1">
      <alignment horizontal="center" vertical="center"/>
    </xf>
    <xf numFmtId="0" fontId="64" fillId="22" borderId="5" xfId="18" applyFont="1" applyFill="1" applyBorder="1" applyAlignment="1" applyProtection="1">
      <alignment horizontal="center" vertical="center"/>
    </xf>
    <xf numFmtId="0" fontId="64" fillId="22" borderId="0" xfId="18" applyFont="1" applyFill="1" applyAlignment="1" applyProtection="1">
      <alignment horizontal="center" vertical="center"/>
    </xf>
    <xf numFmtId="0" fontId="64" fillId="22" borderId="2" xfId="18" applyFont="1" applyFill="1" applyBorder="1" applyAlignment="1" applyProtection="1">
      <alignment horizontal="center" vertical="center"/>
    </xf>
    <xf numFmtId="0" fontId="64" fillId="22" borderId="19" xfId="18" applyFont="1" applyFill="1" applyBorder="1" applyAlignment="1" applyProtection="1">
      <alignment horizontal="center" vertical="top"/>
    </xf>
    <xf numFmtId="186" fontId="64" fillId="0" borderId="0" xfId="18" applyNumberFormat="1" applyFont="1" applyAlignment="1" applyProtection="1">
      <alignment horizontal="left" vertical="center"/>
    </xf>
    <xf numFmtId="186" fontId="64" fillId="3" borderId="0" xfId="18" applyNumberFormat="1" applyFont="1" applyFill="1" applyAlignment="1" applyProtection="1">
      <alignment horizontal="left" vertical="center"/>
    </xf>
    <xf numFmtId="0" fontId="61" fillId="3" borderId="14" xfId="18" applyFont="1" applyFill="1" applyBorder="1" applyAlignment="1" applyProtection="1">
      <alignment horizontal="center" vertical="center"/>
    </xf>
    <xf numFmtId="0" fontId="61" fillId="3" borderId="115" xfId="18" applyFont="1" applyFill="1" applyBorder="1" applyAlignment="1" applyProtection="1">
      <alignment horizontal="center" vertical="center"/>
    </xf>
    <xf numFmtId="0" fontId="61" fillId="3" borderId="17" xfId="18" applyFont="1" applyFill="1" applyBorder="1" applyAlignment="1" applyProtection="1">
      <alignment horizontal="center" vertical="center"/>
    </xf>
    <xf numFmtId="0" fontId="64" fillId="22" borderId="14" xfId="18" applyFont="1" applyFill="1" applyBorder="1" applyAlignment="1" applyProtection="1">
      <alignment horizontal="center" vertical="center"/>
    </xf>
    <xf numFmtId="0" fontId="64" fillId="22" borderId="115" xfId="18" applyFont="1" applyFill="1" applyBorder="1" applyAlignment="1" applyProtection="1">
      <alignment horizontal="center" vertical="center"/>
    </xf>
    <xf numFmtId="0" fontId="64" fillId="22" borderId="17" xfId="18" applyFont="1" applyFill="1" applyBorder="1" applyAlignment="1" applyProtection="1">
      <alignment horizontal="center" vertical="center"/>
    </xf>
    <xf numFmtId="0" fontId="61" fillId="22" borderId="66" xfId="18" applyFont="1" applyFill="1" applyBorder="1" applyAlignment="1" applyProtection="1">
      <alignment horizontal="center" vertical="center"/>
    </xf>
    <xf numFmtId="0" fontId="64" fillId="22" borderId="66" xfId="18" applyFont="1" applyFill="1" applyBorder="1" applyAlignment="1" applyProtection="1">
      <alignment vertical="center" shrinkToFit="1"/>
    </xf>
    <xf numFmtId="0" fontId="64" fillId="22" borderId="117" xfId="18" applyFont="1" applyFill="1" applyBorder="1" applyAlignment="1" applyProtection="1">
      <alignment vertical="center" shrinkToFit="1"/>
    </xf>
    <xf numFmtId="0" fontId="64" fillId="22" borderId="130" xfId="18" applyFont="1" applyFill="1" applyBorder="1" applyAlignment="1" applyProtection="1">
      <alignment vertical="center" shrinkToFit="1"/>
    </xf>
    <xf numFmtId="0" fontId="64" fillId="3" borderId="8" xfId="18" applyFont="1" applyFill="1" applyBorder="1" applyAlignment="1" applyProtection="1">
      <alignment horizontal="center" vertical="top"/>
    </xf>
    <xf numFmtId="186" fontId="64" fillId="3" borderId="8" xfId="18" applyNumberFormat="1" applyFont="1" applyFill="1" applyBorder="1" applyAlignment="1" applyProtection="1">
      <alignment horizontal="center" vertical="top" shrinkToFit="1"/>
    </xf>
    <xf numFmtId="186" fontId="64" fillId="22" borderId="8" xfId="18" applyNumberFormat="1" applyFont="1" applyFill="1" applyBorder="1" applyAlignment="1" applyProtection="1">
      <alignment horizontal="center" vertical="top" shrinkToFit="1"/>
    </xf>
    <xf numFmtId="0" fontId="61" fillId="0" borderId="0" xfId="18" applyFont="1" applyAlignment="1" applyProtection="1">
      <alignment vertical="center" wrapText="1"/>
    </xf>
    <xf numFmtId="0" fontId="69" fillId="16" borderId="66" xfId="18" applyFont="1" applyFill="1" applyBorder="1" applyProtection="1">
      <alignment vertical="center"/>
    </xf>
    <xf numFmtId="0" fontId="55" fillId="16" borderId="0" xfId="18" applyFont="1" applyFill="1" applyAlignment="1" applyProtection="1">
      <alignment vertical="top"/>
    </xf>
    <xf numFmtId="0" fontId="70" fillId="16" borderId="0" xfId="18" applyFont="1" applyFill="1" applyProtection="1">
      <alignment vertical="center"/>
    </xf>
    <xf numFmtId="0" fontId="70" fillId="22" borderId="0" xfId="18" applyFont="1" applyFill="1" applyProtection="1">
      <alignment vertical="center"/>
    </xf>
    <xf numFmtId="0" fontId="70" fillId="0" borderId="0" xfId="18" applyFont="1" applyProtection="1">
      <alignment vertical="center"/>
    </xf>
    <xf numFmtId="187" fontId="69" fillId="16" borderId="66" xfId="18" applyNumberFormat="1" applyFont="1" applyFill="1" applyBorder="1" applyProtection="1">
      <alignment vertical="center"/>
    </xf>
    <xf numFmtId="0" fontId="69" fillId="16" borderId="0" xfId="18" applyFont="1" applyFill="1" applyAlignment="1" applyProtection="1">
      <alignment vertical="top"/>
    </xf>
    <xf numFmtId="0" fontId="135" fillId="0" borderId="0" xfId="16" applyFont="1" applyAlignment="1" applyProtection="1">
      <alignment vertical="center" shrinkToFit="1"/>
    </xf>
    <xf numFmtId="0" fontId="64" fillId="0" borderId="8" xfId="18" applyFont="1" applyBorder="1" applyAlignment="1" applyProtection="1">
      <alignment horizontal="center" vertical="top" wrapText="1"/>
    </xf>
    <xf numFmtId="0" fontId="64" fillId="0" borderId="18" xfId="18" applyFont="1" applyBorder="1" applyAlignment="1" applyProtection="1">
      <alignment horizontal="left" vertical="top" wrapText="1"/>
    </xf>
    <xf numFmtId="0" fontId="61" fillId="0" borderId="117" xfId="18" applyFont="1" applyBorder="1" applyProtection="1">
      <alignment vertical="center"/>
    </xf>
    <xf numFmtId="0" fontId="61" fillId="0" borderId="130" xfId="18" applyFont="1" applyBorder="1" applyAlignment="1" applyProtection="1">
      <alignment horizontal="center" vertical="center"/>
    </xf>
    <xf numFmtId="188" fontId="61" fillId="0" borderId="18" xfId="18" applyNumberFormat="1" applyFont="1" applyBorder="1" applyAlignment="1" applyProtection="1">
      <alignment vertical="center" shrinkToFit="1"/>
    </xf>
    <xf numFmtId="178" fontId="61" fillId="0" borderId="18" xfId="18" applyNumberFormat="1" applyFont="1" applyBorder="1" applyProtection="1">
      <alignment vertical="center"/>
    </xf>
    <xf numFmtId="178" fontId="61" fillId="0" borderId="18" xfId="18" applyNumberFormat="1" applyFont="1" applyBorder="1" applyAlignment="1" applyProtection="1">
      <alignment vertical="center" shrinkToFit="1"/>
    </xf>
    <xf numFmtId="178" fontId="61" fillId="22" borderId="18" xfId="18" applyNumberFormat="1" applyFont="1" applyFill="1" applyBorder="1" applyAlignment="1" applyProtection="1">
      <alignment vertical="center" shrinkToFit="1"/>
    </xf>
    <xf numFmtId="0" fontId="64" fillId="0" borderId="13" xfId="18" applyFont="1" applyBorder="1" applyAlignment="1" applyProtection="1">
      <alignment horizontal="center" vertical="top" wrapText="1"/>
    </xf>
    <xf numFmtId="0" fontId="64" fillId="0" borderId="18" xfId="18" applyFont="1" applyBorder="1" applyAlignment="1" applyProtection="1">
      <alignment horizontal="center" vertical="top" wrapText="1"/>
    </xf>
    <xf numFmtId="0" fontId="67" fillId="0" borderId="117" xfId="18" applyFont="1" applyBorder="1" applyProtection="1">
      <alignment vertical="center"/>
    </xf>
    <xf numFmtId="188" fontId="61" fillId="0" borderId="141" xfId="18" applyNumberFormat="1" applyFont="1" applyBorder="1" applyAlignment="1" applyProtection="1">
      <alignment vertical="center" shrinkToFit="1"/>
    </xf>
    <xf numFmtId="0" fontId="61" fillId="0" borderId="66" xfId="18" applyFont="1" applyBorder="1" applyAlignment="1" applyProtection="1">
      <alignment horizontal="left" vertical="center" shrinkToFit="1"/>
    </xf>
    <xf numFmtId="0" fontId="56" fillId="0" borderId="117" xfId="18" applyFont="1" applyBorder="1" applyProtection="1">
      <alignment vertical="center"/>
    </xf>
    <xf numFmtId="0" fontId="61" fillId="0" borderId="130" xfId="18" applyFont="1" applyBorder="1" applyAlignment="1" applyProtection="1">
      <alignment vertical="center" shrinkToFit="1"/>
    </xf>
    <xf numFmtId="0" fontId="61" fillId="0" borderId="117" xfId="18" applyFont="1" applyBorder="1" applyAlignment="1" applyProtection="1">
      <alignment vertical="center" wrapText="1"/>
    </xf>
    <xf numFmtId="0" fontId="61" fillId="0" borderId="0" xfId="18" applyFont="1" applyAlignment="1" applyProtection="1">
      <alignment horizontal="right" vertical="center"/>
    </xf>
    <xf numFmtId="0" fontId="61" fillId="0" borderId="117" xfId="18" applyFont="1" applyBorder="1" applyAlignment="1" applyProtection="1">
      <alignment horizontal="center" vertical="center"/>
    </xf>
    <xf numFmtId="0" fontId="61" fillId="0" borderId="66" xfId="18" applyFont="1" applyBorder="1" applyProtection="1">
      <alignment vertical="center"/>
    </xf>
    <xf numFmtId="0" fontId="61" fillId="24" borderId="66" xfId="18" applyFont="1" applyFill="1" applyBorder="1" applyAlignment="1" applyProtection="1">
      <alignment horizontal="left" vertical="center"/>
    </xf>
    <xf numFmtId="0" fontId="61" fillId="24" borderId="117" xfId="18" applyFont="1" applyFill="1" applyBorder="1" applyProtection="1">
      <alignment vertical="center"/>
    </xf>
    <xf numFmtId="178" fontId="61" fillId="24" borderId="241" xfId="18" applyNumberFormat="1" applyFont="1" applyFill="1" applyBorder="1" applyAlignment="1" applyProtection="1">
      <alignment horizontal="right" vertical="center" shrinkToFit="1"/>
    </xf>
    <xf numFmtId="178" fontId="61" fillId="22" borderId="241" xfId="18" applyNumberFormat="1" applyFont="1" applyFill="1" applyBorder="1" applyAlignment="1" applyProtection="1">
      <alignment horizontal="right" vertical="center" shrinkToFit="1"/>
    </xf>
    <xf numFmtId="0" fontId="61" fillId="0" borderId="66" xfId="18" applyFont="1" applyBorder="1" applyAlignment="1" applyProtection="1">
      <alignment vertical="top"/>
    </xf>
    <xf numFmtId="0" fontId="64" fillId="0" borderId="6" xfId="18" applyFont="1" applyBorder="1" applyAlignment="1" applyProtection="1">
      <alignment vertical="top"/>
    </xf>
    <xf numFmtId="0" fontId="61" fillId="0" borderId="117" xfId="18" applyFont="1" applyBorder="1" applyAlignment="1" applyProtection="1">
      <alignment vertical="top" wrapText="1"/>
    </xf>
    <xf numFmtId="0" fontId="61" fillId="0" borderId="66" xfId="18" applyFont="1" applyBorder="1" applyAlignment="1" applyProtection="1">
      <alignment horizontal="left" vertical="top"/>
    </xf>
    <xf numFmtId="0" fontId="64" fillId="24" borderId="18" xfId="18" applyFont="1" applyFill="1" applyBorder="1" applyAlignment="1" applyProtection="1">
      <alignment horizontal="left" vertical="top" wrapText="1"/>
    </xf>
    <xf numFmtId="0" fontId="61" fillId="24" borderId="66" xfId="18" applyFont="1" applyFill="1" applyBorder="1" applyAlignment="1" applyProtection="1">
      <alignment vertical="top"/>
    </xf>
    <xf numFmtId="0" fontId="61" fillId="0" borderId="130" xfId="18" applyFont="1" applyBorder="1" applyProtection="1">
      <alignment vertical="center"/>
    </xf>
    <xf numFmtId="0" fontId="64" fillId="15" borderId="18" xfId="18" applyFont="1" applyFill="1" applyBorder="1" applyAlignment="1" applyProtection="1">
      <alignment horizontal="left" vertical="top" wrapText="1"/>
    </xf>
    <xf numFmtId="0" fontId="61" fillId="24" borderId="66" xfId="18" applyFont="1" applyFill="1" applyBorder="1" applyAlignment="1" applyProtection="1">
      <alignment horizontal="left" vertical="top" wrapText="1"/>
    </xf>
    <xf numFmtId="0" fontId="61" fillId="24" borderId="6" xfId="18" applyFont="1" applyFill="1" applyBorder="1" applyAlignment="1" applyProtection="1">
      <alignment vertical="top" wrapText="1" shrinkToFit="1"/>
    </xf>
    <xf numFmtId="0" fontId="61" fillId="0" borderId="16" xfId="18" applyFont="1" applyBorder="1" applyProtection="1">
      <alignment vertical="center"/>
    </xf>
    <xf numFmtId="0" fontId="61" fillId="15" borderId="66" xfId="18" applyFont="1" applyFill="1" applyBorder="1" applyAlignment="1" applyProtection="1">
      <alignment horizontal="left" vertical="top" wrapText="1"/>
    </xf>
    <xf numFmtId="0" fontId="61" fillId="24" borderId="14" xfId="18" applyFont="1" applyFill="1" applyBorder="1" applyAlignment="1" applyProtection="1">
      <alignment vertical="top" wrapText="1" shrinkToFit="1"/>
    </xf>
    <xf numFmtId="0" fontId="61" fillId="0" borderId="17" xfId="18" applyFont="1" applyBorder="1" applyProtection="1">
      <alignment vertical="center"/>
    </xf>
    <xf numFmtId="0" fontId="61" fillId="0" borderId="130" xfId="18" applyFont="1" applyBorder="1" applyAlignment="1" applyProtection="1">
      <alignment horizontal="center" vertical="center" shrinkToFit="1"/>
    </xf>
    <xf numFmtId="0" fontId="64" fillId="0" borderId="6" xfId="0" applyFont="1" applyBorder="1" applyAlignment="1" applyProtection="1">
      <alignment vertical="top"/>
    </xf>
    <xf numFmtId="0" fontId="61" fillId="0" borderId="66" xfId="0" applyFont="1" applyBorder="1" applyAlignment="1" applyProtection="1">
      <alignment vertical="top"/>
    </xf>
    <xf numFmtId="0" fontId="64" fillId="0" borderId="117" xfId="0" applyFont="1" applyBorder="1" applyAlignment="1" applyProtection="1">
      <alignment vertical="top" wrapText="1"/>
    </xf>
    <xf numFmtId="0" fontId="61" fillId="0" borderId="117" xfId="0" applyFont="1" applyBorder="1" applyAlignment="1" applyProtection="1">
      <alignment horizontal="center" vertical="center"/>
    </xf>
    <xf numFmtId="178" fontId="61" fillId="0" borderId="18" xfId="18" applyNumberFormat="1" applyFont="1" applyBorder="1" applyAlignment="1" applyProtection="1">
      <alignment horizontal="right" vertical="center" shrinkToFit="1"/>
    </xf>
    <xf numFmtId="178" fontId="61" fillId="22" borderId="18" xfId="18" applyNumberFormat="1" applyFont="1" applyFill="1" applyBorder="1" applyAlignment="1" applyProtection="1">
      <alignment horizontal="right" vertical="center" shrinkToFit="1"/>
    </xf>
    <xf numFmtId="0" fontId="64" fillId="0" borderId="14" xfId="0" applyFont="1" applyBorder="1" applyAlignment="1" applyProtection="1">
      <alignment vertical="top"/>
    </xf>
    <xf numFmtId="0" fontId="61" fillId="0" borderId="115" xfId="0" applyFont="1" applyBorder="1" applyAlignment="1" applyProtection="1">
      <alignment horizontal="center" vertical="center"/>
    </xf>
    <xf numFmtId="0" fontId="64" fillId="0" borderId="117" xfId="0" applyFont="1" applyBorder="1" applyAlignment="1" applyProtection="1">
      <alignment horizontal="left" vertical="center"/>
    </xf>
    <xf numFmtId="0" fontId="64" fillId="0" borderId="17" xfId="0" applyFont="1" applyBorder="1" applyAlignment="1" applyProtection="1">
      <alignment vertical="top" wrapText="1"/>
    </xf>
    <xf numFmtId="0" fontId="64" fillId="0" borderId="66" xfId="0" applyFont="1" applyBorder="1" applyAlignment="1" applyProtection="1">
      <alignment vertical="top"/>
    </xf>
    <xf numFmtId="0" fontId="61" fillId="0" borderId="117" xfId="0" applyFont="1" applyBorder="1" applyAlignment="1" applyProtection="1">
      <alignment vertical="top"/>
    </xf>
    <xf numFmtId="0" fontId="61" fillId="0" borderId="117" xfId="0" applyFont="1" applyBorder="1" applyAlignment="1" applyProtection="1">
      <alignment horizontal="left" vertical="center"/>
    </xf>
    <xf numFmtId="0" fontId="64" fillId="0" borderId="6" xfId="18" applyFont="1" applyBorder="1" applyAlignment="1" applyProtection="1">
      <alignment horizontal="center" vertical="center" wrapText="1"/>
    </xf>
    <xf numFmtId="0" fontId="56" fillId="0" borderId="8" xfId="0" applyFont="1" applyBorder="1" applyAlignment="1" applyProtection="1">
      <alignment horizontal="center" vertical="top" wrapText="1"/>
    </xf>
    <xf numFmtId="0" fontId="56" fillId="0" borderId="66" xfId="0" applyFont="1" applyBorder="1" applyAlignment="1" applyProtection="1">
      <alignment vertical="top"/>
    </xf>
    <xf numFmtId="0" fontId="56" fillId="0" borderId="117" xfId="0" applyFont="1" applyBorder="1" applyAlignment="1" applyProtection="1">
      <alignment vertical="top"/>
    </xf>
    <xf numFmtId="0" fontId="56" fillId="0" borderId="117" xfId="18" applyFont="1" applyBorder="1" applyAlignment="1" applyProtection="1">
      <alignment horizontal="center" vertical="center"/>
    </xf>
    <xf numFmtId="178" fontId="56" fillId="24" borderId="241" xfId="18" applyNumberFormat="1" applyFont="1" applyFill="1" applyBorder="1" applyAlignment="1" applyProtection="1">
      <alignment horizontal="right" vertical="center" shrinkToFit="1"/>
    </xf>
    <xf numFmtId="178" fontId="56" fillId="0" borderId="18" xfId="18" applyNumberFormat="1" applyFont="1" applyBorder="1" applyProtection="1">
      <alignment vertical="center"/>
    </xf>
    <xf numFmtId="178" fontId="56" fillId="0" borderId="18" xfId="18" applyNumberFormat="1" applyFont="1" applyBorder="1" applyAlignment="1" applyProtection="1">
      <alignment horizontal="right" vertical="center" shrinkToFit="1"/>
    </xf>
    <xf numFmtId="0" fontId="64" fillId="0" borderId="5" xfId="18" applyFont="1" applyBorder="1" applyAlignment="1" applyProtection="1">
      <alignment horizontal="center" vertical="center" wrapText="1"/>
    </xf>
    <xf numFmtId="0" fontId="56" fillId="0" borderId="13" xfId="0" applyFont="1" applyBorder="1" applyAlignment="1" applyProtection="1">
      <alignment horizontal="center" vertical="top" wrapText="1"/>
    </xf>
    <xf numFmtId="0" fontId="56" fillId="0" borderId="8" xfId="0" applyFont="1" applyBorder="1" applyAlignment="1" applyProtection="1">
      <alignment horizontal="left" vertical="top"/>
    </xf>
    <xf numFmtId="0" fontId="56" fillId="0" borderId="6" xfId="0" applyFont="1" applyBorder="1" applyAlignment="1" applyProtection="1">
      <alignment horizontal="left" vertical="center"/>
    </xf>
    <xf numFmtId="0" fontId="56" fillId="0" borderId="7" xfId="18" applyFont="1" applyBorder="1" applyAlignment="1" applyProtection="1">
      <alignment horizontal="center" vertical="center"/>
    </xf>
    <xf numFmtId="0" fontId="56" fillId="0" borderId="13" xfId="0" applyFont="1" applyBorder="1" applyAlignment="1" applyProtection="1">
      <alignment horizontal="left" vertical="top"/>
    </xf>
    <xf numFmtId="0" fontId="56" fillId="0" borderId="14" xfId="0" applyFont="1" applyBorder="1" applyAlignment="1" applyProtection="1">
      <alignment horizontal="left" vertical="center"/>
    </xf>
    <xf numFmtId="0" fontId="56" fillId="0" borderId="115" xfId="18" applyFont="1" applyBorder="1" applyAlignment="1" applyProtection="1">
      <alignment horizontal="center" vertical="center"/>
    </xf>
    <xf numFmtId="0" fontId="61" fillId="0" borderId="6" xfId="0" applyFont="1" applyBorder="1" applyAlignment="1" applyProtection="1">
      <alignment horizontal="left" vertical="center"/>
    </xf>
    <xf numFmtId="0" fontId="61" fillId="0" borderId="7" xfId="18" applyFont="1" applyBorder="1" applyAlignment="1" applyProtection="1">
      <alignment horizontal="center" vertical="center"/>
    </xf>
    <xf numFmtId="0" fontId="61" fillId="0" borderId="14" xfId="0" applyFont="1" applyBorder="1" applyAlignment="1" applyProtection="1">
      <alignment horizontal="left" vertical="center"/>
    </xf>
    <xf numFmtId="0" fontId="61" fillId="0" borderId="115" xfId="18" applyFont="1" applyBorder="1" applyAlignment="1" applyProtection="1">
      <alignment horizontal="center" vertical="center"/>
    </xf>
    <xf numFmtId="0" fontId="56" fillId="0" borderId="19" xfId="0" applyFont="1" applyBorder="1" applyAlignment="1" applyProtection="1">
      <alignment horizontal="left" vertical="top"/>
    </xf>
    <xf numFmtId="0" fontId="61" fillId="0" borderId="66" xfId="0" applyFont="1" applyBorder="1" applyAlignment="1" applyProtection="1">
      <alignment horizontal="left" vertical="center"/>
    </xf>
    <xf numFmtId="0" fontId="56" fillId="0" borderId="8" xfId="0" applyFont="1" applyBorder="1" applyAlignment="1" applyProtection="1">
      <alignment horizontal="left" vertical="top" wrapText="1"/>
    </xf>
    <xf numFmtId="0" fontId="56" fillId="0" borderId="6" xfId="0" applyFont="1" applyBorder="1" applyAlignment="1" applyProtection="1">
      <alignment vertical="top"/>
    </xf>
    <xf numFmtId="0" fontId="56" fillId="0" borderId="13" xfId="0" applyFont="1" applyBorder="1" applyAlignment="1" applyProtection="1">
      <alignment horizontal="left" vertical="top" wrapText="1"/>
    </xf>
    <xf numFmtId="0" fontId="56" fillId="0" borderId="14" xfId="0" applyFont="1" applyBorder="1" applyAlignment="1" applyProtection="1">
      <alignment vertical="top"/>
    </xf>
    <xf numFmtId="0" fontId="56" fillId="0" borderId="6" xfId="0" applyFont="1" applyBorder="1" applyAlignment="1" applyProtection="1">
      <alignment vertical="top" wrapText="1"/>
    </xf>
    <xf numFmtId="0" fontId="56" fillId="0" borderId="19" xfId="0" applyFont="1" applyBorder="1" applyAlignment="1" applyProtection="1">
      <alignment horizontal="left" vertical="top" wrapText="1"/>
    </xf>
    <xf numFmtId="0" fontId="56" fillId="0" borderId="14" xfId="0" applyFont="1" applyBorder="1" applyAlignment="1" applyProtection="1">
      <alignment vertical="top" wrapText="1"/>
    </xf>
    <xf numFmtId="0" fontId="56" fillId="0" borderId="19" xfId="0" applyFont="1" applyBorder="1" applyAlignment="1" applyProtection="1">
      <alignment horizontal="center" vertical="top" wrapText="1"/>
    </xf>
    <xf numFmtId="0" fontId="56" fillId="0" borderId="18" xfId="0" applyFont="1" applyBorder="1" applyAlignment="1" applyProtection="1">
      <alignment vertical="top" wrapText="1"/>
    </xf>
    <xf numFmtId="0" fontId="56" fillId="0" borderId="66" xfId="0" applyFont="1" applyBorder="1" applyAlignment="1" applyProtection="1">
      <alignment vertical="top" wrapText="1"/>
    </xf>
    <xf numFmtId="0" fontId="56" fillId="0" borderId="66" xfId="0" applyFont="1" applyBorder="1" applyAlignment="1" applyProtection="1">
      <alignment horizontal="left" vertical="top"/>
    </xf>
    <xf numFmtId="0" fontId="56" fillId="0" borderId="117" xfId="0" applyFont="1" applyBorder="1" applyAlignment="1" applyProtection="1">
      <alignment horizontal="left" vertical="top" wrapText="1"/>
    </xf>
    <xf numFmtId="178" fontId="61" fillId="0" borderId="66" xfId="18" applyNumberFormat="1" applyFont="1" applyBorder="1" applyAlignment="1" applyProtection="1">
      <alignment horizontal="center" vertical="center" shrinkToFit="1"/>
    </xf>
    <xf numFmtId="178" fontId="61" fillId="0" borderId="117" xfId="18" applyNumberFormat="1" applyFont="1" applyBorder="1" applyAlignment="1" applyProtection="1">
      <alignment horizontal="center" vertical="center" shrinkToFit="1"/>
    </xf>
    <xf numFmtId="178" fontId="61" fillId="0" borderId="130" xfId="18" applyNumberFormat="1" applyFont="1" applyBorder="1" applyAlignment="1" applyProtection="1">
      <alignment horizontal="center" vertical="center" shrinkToFit="1"/>
    </xf>
    <xf numFmtId="0" fontId="56" fillId="0" borderId="6" xfId="0" applyFont="1" applyBorder="1" applyAlignment="1" applyProtection="1">
      <alignment horizontal="center" vertical="top" wrapText="1"/>
    </xf>
    <xf numFmtId="0" fontId="61" fillId="0" borderId="18" xfId="18" applyFont="1" applyBorder="1" applyAlignment="1" applyProtection="1">
      <alignment horizontal="right" vertical="center" shrinkToFit="1"/>
    </xf>
    <xf numFmtId="0" fontId="56" fillId="0" borderId="5" xfId="0" applyFont="1" applyBorder="1" applyAlignment="1" applyProtection="1">
      <alignment horizontal="center" vertical="top" wrapText="1"/>
    </xf>
    <xf numFmtId="178" fontId="61" fillId="0" borderId="18" xfId="18" applyNumberFormat="1" applyFont="1" applyFill="1" applyBorder="1" applyAlignment="1" applyProtection="1">
      <alignment vertical="center" shrinkToFit="1"/>
    </xf>
    <xf numFmtId="178" fontId="61" fillId="0" borderId="241" xfId="18" applyNumberFormat="1" applyFont="1" applyBorder="1" applyAlignment="1" applyProtection="1">
      <alignment horizontal="right" vertical="center" shrinkToFit="1"/>
    </xf>
    <xf numFmtId="0" fontId="61" fillId="0" borderId="16" xfId="0" applyFont="1" applyBorder="1" applyAlignment="1" applyProtection="1">
      <alignment horizontal="left" vertical="center"/>
    </xf>
    <xf numFmtId="0" fontId="56" fillId="0" borderId="14" xfId="0" applyFont="1" applyBorder="1" applyAlignment="1" applyProtection="1">
      <alignment horizontal="center" vertical="top" wrapText="1"/>
    </xf>
    <xf numFmtId="0" fontId="61" fillId="0" borderId="17" xfId="0" applyFont="1" applyBorder="1" applyAlignment="1" applyProtection="1">
      <alignment horizontal="left" vertical="center"/>
    </xf>
    <xf numFmtId="0" fontId="61" fillId="0" borderId="115" xfId="0" applyFont="1" applyBorder="1" applyAlignment="1" applyProtection="1">
      <alignment horizontal="left" vertical="center"/>
    </xf>
    <xf numFmtId="0" fontId="64" fillId="0" borderId="14" xfId="18" applyFont="1" applyBorder="1" applyAlignment="1" applyProtection="1">
      <alignment horizontal="center" vertical="center" wrapText="1"/>
    </xf>
    <xf numFmtId="0" fontId="56" fillId="0" borderId="14" xfId="0" applyFont="1" applyBorder="1" applyAlignment="1" applyProtection="1">
      <alignment horizontal="left" vertical="top"/>
    </xf>
    <xf numFmtId="0" fontId="64" fillId="0" borderId="117" xfId="0" applyFont="1" applyBorder="1" applyAlignment="1" applyProtection="1">
      <alignment vertical="top"/>
    </xf>
    <xf numFmtId="0" fontId="61" fillId="0" borderId="117" xfId="0" applyFont="1" applyBorder="1" applyAlignment="1" applyProtection="1">
      <alignment horizontal="right" vertical="center"/>
    </xf>
    <xf numFmtId="178" fontId="61" fillId="22" borderId="18" xfId="18" applyNumberFormat="1" applyFont="1" applyFill="1" applyBorder="1" applyProtection="1">
      <alignment vertical="center"/>
    </xf>
    <xf numFmtId="0" fontId="70" fillId="16" borderId="0" xfId="18" applyFont="1" applyFill="1" applyAlignment="1" applyProtection="1">
      <alignment vertical="center" shrinkToFit="1"/>
    </xf>
    <xf numFmtId="0" fontId="70" fillId="22" borderId="0" xfId="18" applyFont="1" applyFill="1" applyAlignment="1" applyProtection="1">
      <alignment vertical="center" shrinkToFit="1"/>
    </xf>
    <xf numFmtId="0" fontId="64" fillId="24" borderId="8" xfId="18" applyFont="1" applyFill="1" applyBorder="1" applyAlignment="1" applyProtection="1">
      <alignment horizontal="center" vertical="top" wrapText="1"/>
    </xf>
    <xf numFmtId="0" fontId="61" fillId="24" borderId="130" xfId="18" applyFont="1" applyFill="1" applyBorder="1" applyAlignment="1" applyProtection="1">
      <alignment horizontal="center" vertical="center"/>
    </xf>
    <xf numFmtId="0" fontId="61" fillId="24" borderId="18" xfId="0" applyFont="1" applyFill="1" applyBorder="1" applyAlignment="1" applyProtection="1">
      <alignment horizontal="center" vertical="center"/>
    </xf>
    <xf numFmtId="178" fontId="61" fillId="24" borderId="18" xfId="18" applyNumberFormat="1" applyFont="1" applyFill="1" applyBorder="1" applyAlignment="1" applyProtection="1">
      <alignment vertical="center" shrinkToFit="1"/>
    </xf>
    <xf numFmtId="0" fontId="64" fillId="15" borderId="13" xfId="18" applyFont="1" applyFill="1" applyBorder="1" applyAlignment="1" applyProtection="1">
      <alignment horizontal="center" vertical="top" wrapText="1"/>
    </xf>
    <xf numFmtId="0" fontId="64" fillId="15" borderId="18" xfId="18" applyFont="1" applyFill="1" applyBorder="1" applyAlignment="1" applyProtection="1">
      <alignment horizontal="center" vertical="top" wrapText="1"/>
    </xf>
    <xf numFmtId="0" fontId="61" fillId="24" borderId="0" xfId="18" applyFont="1" applyFill="1" applyAlignment="1" applyProtection="1">
      <alignment vertical="center" wrapText="1"/>
    </xf>
    <xf numFmtId="0" fontId="67" fillId="24" borderId="117" xfId="18" applyFont="1" applyFill="1" applyBorder="1" applyProtection="1">
      <alignment vertical="center"/>
    </xf>
    <xf numFmtId="0" fontId="61" fillId="24" borderId="66" xfId="18" applyFont="1" applyFill="1" applyBorder="1" applyAlignment="1" applyProtection="1">
      <alignment horizontal="left" vertical="center" shrinkToFit="1"/>
    </xf>
    <xf numFmtId="0" fontId="56" fillId="24" borderId="117" xfId="18" applyFont="1" applyFill="1" applyBorder="1" applyProtection="1">
      <alignment vertical="center"/>
    </xf>
    <xf numFmtId="0" fontId="61" fillId="24" borderId="130" xfId="18" applyFont="1" applyFill="1" applyBorder="1" applyAlignment="1" applyProtection="1">
      <alignment vertical="center" shrinkToFit="1"/>
    </xf>
    <xf numFmtId="0" fontId="61" fillId="24" borderId="117" xfId="18" applyFont="1" applyFill="1" applyBorder="1" applyAlignment="1" applyProtection="1">
      <alignment vertical="center" wrapText="1"/>
    </xf>
    <xf numFmtId="188" fontId="61" fillId="0" borderId="141" xfId="18" applyNumberFormat="1" applyFont="1" applyFill="1" applyBorder="1" applyAlignment="1" applyProtection="1">
      <alignment vertical="center" shrinkToFit="1"/>
    </xf>
    <xf numFmtId="188" fontId="61" fillId="0" borderId="18" xfId="18" applyNumberFormat="1" applyFont="1" applyFill="1" applyBorder="1" applyAlignment="1" applyProtection="1">
      <alignment vertical="center" shrinkToFit="1"/>
    </xf>
    <xf numFmtId="0" fontId="61" fillId="24" borderId="66" xfId="0" applyFont="1" applyFill="1" applyBorder="1" applyAlignment="1" applyProtection="1">
      <alignment vertical="top"/>
    </xf>
    <xf numFmtId="0" fontId="64" fillId="24" borderId="117" xfId="0" applyFont="1" applyFill="1" applyBorder="1" applyAlignment="1" applyProtection="1">
      <alignment vertical="top" wrapText="1"/>
    </xf>
    <xf numFmtId="0" fontId="64" fillId="0" borderId="8" xfId="18" applyFont="1" applyBorder="1" applyAlignment="1" applyProtection="1">
      <alignment horizontal="center" vertical="center" wrapText="1"/>
    </xf>
    <xf numFmtId="0" fontId="64" fillId="0" borderId="13" xfId="18" applyFont="1" applyBorder="1" applyAlignment="1" applyProtection="1">
      <alignment horizontal="center" vertical="center" wrapText="1"/>
    </xf>
    <xf numFmtId="0" fontId="61" fillId="0" borderId="17" xfId="18" applyFont="1" applyBorder="1" applyAlignment="1" applyProtection="1">
      <alignment horizontal="center" vertical="center"/>
    </xf>
    <xf numFmtId="0" fontId="64" fillId="0" borderId="19" xfId="18" applyFont="1" applyBorder="1" applyAlignment="1" applyProtection="1">
      <alignment horizontal="center" vertical="center" wrapText="1"/>
    </xf>
    <xf numFmtId="0" fontId="61" fillId="0" borderId="8" xfId="0" applyFont="1" applyBorder="1" applyAlignment="1" applyProtection="1">
      <alignment horizontal="left" vertical="top"/>
    </xf>
    <xf numFmtId="0" fontId="61" fillId="0" borderId="13" xfId="0" applyFont="1" applyBorder="1" applyAlignment="1" applyProtection="1">
      <alignment horizontal="left" vertical="top"/>
    </xf>
    <xf numFmtId="0" fontId="61" fillId="0" borderId="19" xfId="0" applyFont="1" applyBorder="1" applyAlignment="1" applyProtection="1">
      <alignment horizontal="left" vertical="top"/>
    </xf>
    <xf numFmtId="189" fontId="61" fillId="0" borderId="18" xfId="18" applyNumberFormat="1" applyFont="1" applyBorder="1" applyAlignment="1" applyProtection="1">
      <alignment horizontal="right" vertical="center" shrinkToFit="1"/>
    </xf>
    <xf numFmtId="188" fontId="61" fillId="8" borderId="241" xfId="18" applyNumberFormat="1" applyFont="1" applyFill="1" applyBorder="1" applyAlignment="1" applyProtection="1">
      <alignment vertical="center" shrinkToFit="1"/>
    </xf>
    <xf numFmtId="0" fontId="61" fillId="0" borderId="66" xfId="18" applyFont="1" applyBorder="1" applyAlignment="1" applyProtection="1">
      <alignment horizontal="left" vertical="center"/>
    </xf>
    <xf numFmtId="178" fontId="61" fillId="24" borderId="20" xfId="0" applyNumberFormat="1" applyFont="1" applyFill="1" applyBorder="1" applyAlignment="1" applyProtection="1">
      <alignment horizontal="right" vertical="center" shrinkToFit="1"/>
    </xf>
    <xf numFmtId="178" fontId="61" fillId="22" borderId="20" xfId="0" applyNumberFormat="1" applyFont="1" applyFill="1" applyBorder="1" applyAlignment="1" applyProtection="1">
      <alignment horizontal="right" vertical="center" shrinkToFit="1"/>
    </xf>
    <xf numFmtId="178" fontId="61" fillId="8" borderId="241" xfId="0" applyNumberFormat="1" applyFont="1" applyFill="1" applyBorder="1" applyAlignment="1" applyProtection="1">
      <alignment horizontal="right" vertical="center" shrinkToFit="1"/>
    </xf>
    <xf numFmtId="178" fontId="61" fillId="8" borderId="20" xfId="0" applyNumberFormat="1" applyFont="1" applyFill="1" applyBorder="1" applyAlignment="1" applyProtection="1">
      <alignment horizontal="right" vertical="center" shrinkToFit="1"/>
    </xf>
    <xf numFmtId="178" fontId="61" fillId="22" borderId="241" xfId="0" applyNumberFormat="1" applyFont="1" applyFill="1" applyBorder="1" applyAlignment="1" applyProtection="1">
      <alignment horizontal="right" vertical="center" shrinkToFit="1"/>
    </xf>
    <xf numFmtId="0" fontId="61" fillId="0" borderId="66" xfId="18" applyFont="1" applyBorder="1" applyAlignment="1" applyProtection="1">
      <alignment horizontal="left" vertical="top" wrapText="1"/>
    </xf>
    <xf numFmtId="0" fontId="61" fillId="0" borderId="6" xfId="18" applyFont="1" applyBorder="1" applyAlignment="1" applyProtection="1">
      <alignment vertical="top" wrapText="1" shrinkToFit="1"/>
    </xf>
    <xf numFmtId="0" fontId="61" fillId="0" borderId="14" xfId="18" applyFont="1" applyBorder="1" applyAlignment="1" applyProtection="1">
      <alignment vertical="top" wrapText="1" shrinkToFit="1"/>
    </xf>
    <xf numFmtId="0" fontId="64" fillId="0" borderId="66" xfId="18" applyFont="1" applyBorder="1" applyAlignment="1" applyProtection="1">
      <alignment vertical="top"/>
    </xf>
    <xf numFmtId="0" fontId="64" fillId="0" borderId="117" xfId="18" applyFont="1" applyBorder="1" applyAlignment="1" applyProtection="1">
      <alignment vertical="top"/>
    </xf>
    <xf numFmtId="0" fontId="64" fillId="0" borderId="6" xfId="18" applyFont="1" applyBorder="1" applyAlignment="1" applyProtection="1">
      <alignment horizontal="center" vertical="top"/>
    </xf>
    <xf numFmtId="0" fontId="64" fillId="0" borderId="16" xfId="18" applyFont="1" applyBorder="1" applyAlignment="1" applyProtection="1">
      <alignment horizontal="center" vertical="top"/>
    </xf>
    <xf numFmtId="0" fontId="64" fillId="0" borderId="5" xfId="18" applyFont="1" applyBorder="1" applyAlignment="1" applyProtection="1">
      <alignment horizontal="center" vertical="top"/>
    </xf>
    <xf numFmtId="0" fontId="64" fillId="0" borderId="2" xfId="18" applyFont="1" applyBorder="1" applyAlignment="1" applyProtection="1">
      <alignment horizontal="center" vertical="top"/>
    </xf>
    <xf numFmtId="0" fontId="64" fillId="0" borderId="14" xfId="18" applyFont="1" applyBorder="1" applyAlignment="1" applyProtection="1">
      <alignment horizontal="center" vertical="top"/>
    </xf>
    <xf numFmtId="0" fontId="64" fillId="0" borderId="17" xfId="18" applyFont="1" applyBorder="1" applyAlignment="1" applyProtection="1">
      <alignment horizontal="center" vertical="top"/>
    </xf>
    <xf numFmtId="0" fontId="65" fillId="0" borderId="0" xfId="17" applyFont="1" applyAlignment="1" applyProtection="1">
      <alignment horizontal="left" vertical="center"/>
    </xf>
    <xf numFmtId="0" fontId="64" fillId="22" borderId="66" xfId="18" applyFont="1" applyFill="1" applyBorder="1" applyAlignment="1" applyProtection="1">
      <alignment horizontal="right" vertical="top"/>
    </xf>
    <xf numFmtId="0" fontId="64" fillId="22" borderId="117" xfId="18" applyFont="1" applyFill="1" applyBorder="1" applyAlignment="1" applyProtection="1">
      <alignment horizontal="right" vertical="top"/>
    </xf>
    <xf numFmtId="0" fontId="64" fillId="22" borderId="130" xfId="18" applyFont="1" applyFill="1" applyBorder="1" applyAlignment="1" applyProtection="1">
      <alignment horizontal="left" vertical="top"/>
    </xf>
    <xf numFmtId="0" fontId="61" fillId="3" borderId="5" xfId="18" applyFont="1" applyFill="1" applyBorder="1" applyAlignment="1" applyProtection="1">
      <alignment horizontal="center" vertical="center"/>
    </xf>
    <xf numFmtId="0" fontId="61" fillId="3" borderId="0" xfId="18" applyFont="1" applyFill="1" applyAlignment="1" applyProtection="1">
      <alignment horizontal="center" vertical="center"/>
    </xf>
    <xf numFmtId="0" fontId="61" fillId="3" borderId="2" xfId="18" applyFont="1" applyFill="1" applyBorder="1" applyAlignment="1" applyProtection="1">
      <alignment horizontal="center" vertical="center"/>
    </xf>
    <xf numFmtId="186" fontId="64" fillId="0" borderId="0" xfId="18" applyNumberFormat="1" applyFont="1" applyAlignment="1" applyProtection="1">
      <alignment horizontal="left" vertical="center"/>
    </xf>
    <xf numFmtId="0" fontId="61" fillId="3" borderId="14" xfId="18" applyFont="1" applyFill="1" applyBorder="1" applyAlignment="1" applyProtection="1">
      <alignment horizontal="center" vertical="center"/>
    </xf>
    <xf numFmtId="0" fontId="61" fillId="3" borderId="115" xfId="18" applyFont="1" applyFill="1" applyBorder="1" applyAlignment="1" applyProtection="1">
      <alignment horizontal="center" vertical="center"/>
    </xf>
    <xf numFmtId="0" fontId="61" fillId="3" borderId="17" xfId="18" applyFont="1" applyFill="1" applyBorder="1" applyAlignment="1" applyProtection="1">
      <alignment horizontal="center" vertical="center"/>
    </xf>
    <xf numFmtId="0" fontId="61" fillId="22" borderId="6" xfId="18" applyFont="1" applyFill="1" applyBorder="1" applyAlignment="1" applyProtection="1">
      <alignment horizontal="center" vertical="center"/>
    </xf>
    <xf numFmtId="0" fontId="64" fillId="22" borderId="6" xfId="18" applyFont="1" applyFill="1" applyBorder="1" applyAlignment="1" applyProtection="1">
      <alignment vertical="center" shrinkToFit="1"/>
    </xf>
    <xf numFmtId="0" fontId="64" fillId="22" borderId="7" xfId="18" applyFont="1" applyFill="1" applyBorder="1" applyAlignment="1" applyProtection="1">
      <alignment vertical="center" shrinkToFit="1"/>
    </xf>
    <xf numFmtId="0" fontId="64" fillId="22" borderId="16" xfId="18" applyFont="1" applyFill="1" applyBorder="1" applyAlignment="1" applyProtection="1">
      <alignment vertical="center" shrinkToFit="1"/>
    </xf>
    <xf numFmtId="186" fontId="61" fillId="0" borderId="0" xfId="18" applyNumberFormat="1" applyFont="1" applyProtection="1">
      <alignment vertical="center"/>
    </xf>
    <xf numFmtId="0" fontId="56" fillId="16" borderId="0" xfId="18" applyFont="1" applyFill="1" applyProtection="1">
      <alignment vertical="center"/>
    </xf>
    <xf numFmtId="0" fontId="69" fillId="16" borderId="66" xfId="18" applyFont="1" applyFill="1" applyBorder="1" applyAlignment="1" applyProtection="1">
      <alignment horizontal="left" vertical="center"/>
    </xf>
    <xf numFmtId="0" fontId="61" fillId="0" borderId="18" xfId="18" applyFont="1" applyBorder="1" applyAlignment="1" applyProtection="1">
      <alignment horizontal="center" vertical="center"/>
    </xf>
    <xf numFmtId="0" fontId="56" fillId="0" borderId="18" xfId="18" applyFont="1" applyBorder="1" applyAlignment="1" applyProtection="1">
      <alignment vertical="center" shrinkToFit="1"/>
    </xf>
    <xf numFmtId="1" fontId="56" fillId="0" borderId="18" xfId="18" applyNumberFormat="1" applyFont="1" applyBorder="1" applyProtection="1">
      <alignment vertical="center"/>
    </xf>
    <xf numFmtId="1" fontId="56" fillId="0" borderId="18" xfId="18" applyNumberFormat="1" applyFont="1" applyBorder="1" applyAlignment="1" applyProtection="1">
      <alignment vertical="center" shrinkToFit="1"/>
    </xf>
    <xf numFmtId="1" fontId="61" fillId="22" borderId="18" xfId="18" applyNumberFormat="1" applyFont="1" applyFill="1" applyBorder="1" applyAlignment="1" applyProtection="1">
      <alignment vertical="center" shrinkToFit="1"/>
    </xf>
    <xf numFmtId="0" fontId="56" fillId="0" borderId="241" xfId="18" applyFont="1" applyBorder="1" applyAlignment="1" applyProtection="1">
      <alignment vertical="center" shrinkToFit="1"/>
    </xf>
    <xf numFmtId="0" fontId="64" fillId="0" borderId="8" xfId="18" applyFont="1" applyBorder="1" applyAlignment="1" applyProtection="1">
      <alignment horizontal="left" vertical="top" wrapText="1"/>
    </xf>
    <xf numFmtId="0" fontId="61" fillId="0" borderId="7" xfId="18" applyFont="1" applyBorder="1" applyProtection="1">
      <alignment vertical="center"/>
    </xf>
    <xf numFmtId="0" fontId="61" fillId="0" borderId="6" xfId="18" applyFont="1" applyBorder="1" applyAlignment="1" applyProtection="1">
      <alignment horizontal="left" vertical="center" shrinkToFit="1"/>
    </xf>
    <xf numFmtId="0" fontId="61" fillId="0" borderId="16" xfId="18" applyFont="1" applyBorder="1" applyAlignment="1" applyProtection="1">
      <alignment vertical="center" shrinkToFit="1"/>
    </xf>
    <xf numFmtId="0" fontId="61" fillId="0" borderId="8" xfId="18" applyFont="1" applyBorder="1" applyAlignment="1" applyProtection="1">
      <alignment horizontal="center" vertical="center"/>
    </xf>
    <xf numFmtId="0" fontId="56" fillId="0" borderId="8" xfId="18" applyFont="1" applyBorder="1" applyAlignment="1" applyProtection="1">
      <alignment vertical="center" shrinkToFit="1"/>
    </xf>
    <xf numFmtId="1" fontId="56" fillId="0" borderId="8" xfId="18" applyNumberFormat="1" applyFont="1" applyBorder="1" applyProtection="1">
      <alignment vertical="center"/>
    </xf>
    <xf numFmtId="1" fontId="56" fillId="0" borderId="8" xfId="18" applyNumberFormat="1" applyFont="1" applyBorder="1" applyAlignment="1" applyProtection="1">
      <alignment vertical="center" shrinkToFit="1"/>
    </xf>
    <xf numFmtId="1" fontId="61" fillId="22" borderId="8" xfId="18" applyNumberFormat="1" applyFont="1" applyFill="1" applyBorder="1" applyAlignment="1" applyProtection="1">
      <alignment vertical="center" shrinkToFit="1"/>
    </xf>
    <xf numFmtId="0" fontId="64" fillId="0" borderId="136" xfId="18" applyFont="1" applyBorder="1" applyAlignment="1" applyProtection="1">
      <alignment horizontal="center" vertical="top" wrapText="1"/>
    </xf>
    <xf numFmtId="0" fontId="64" fillId="0" borderId="124" xfId="18" applyFont="1" applyBorder="1" applyAlignment="1" applyProtection="1">
      <alignment horizontal="left" vertical="top" wrapText="1"/>
    </xf>
    <xf numFmtId="0" fontId="61" fillId="0" borderId="30" xfId="18" applyFont="1" applyBorder="1" applyProtection="1">
      <alignment vertical="center"/>
    </xf>
    <xf numFmtId="0" fontId="67" fillId="0" borderId="30" xfId="18" applyFont="1" applyBorder="1" applyProtection="1">
      <alignment vertical="center"/>
    </xf>
    <xf numFmtId="0" fontId="61" fillId="0" borderId="30" xfId="18" applyFont="1" applyBorder="1" applyAlignment="1" applyProtection="1">
      <alignment horizontal="center" vertical="center"/>
    </xf>
    <xf numFmtId="0" fontId="61" fillId="0" borderId="124" xfId="18" applyFont="1" applyBorder="1" applyAlignment="1" applyProtection="1">
      <alignment horizontal="center" vertical="center"/>
    </xf>
    <xf numFmtId="0" fontId="56" fillId="0" borderId="124" xfId="18" applyFont="1" applyBorder="1" applyAlignment="1" applyProtection="1">
      <alignment vertical="center" shrinkToFit="1"/>
    </xf>
    <xf numFmtId="1" fontId="56" fillId="0" borderId="124" xfId="18" applyNumberFormat="1" applyFont="1" applyBorder="1" applyProtection="1">
      <alignment vertical="center"/>
    </xf>
    <xf numFmtId="1" fontId="56" fillId="0" borderId="124" xfId="18" applyNumberFormat="1" applyFont="1" applyBorder="1" applyAlignment="1" applyProtection="1">
      <alignment vertical="center" shrinkToFit="1"/>
    </xf>
    <xf numFmtId="1" fontId="61" fillId="22" borderId="124" xfId="18" applyNumberFormat="1" applyFont="1" applyFill="1" applyBorder="1" applyAlignment="1" applyProtection="1">
      <alignment vertical="center" shrinkToFit="1"/>
    </xf>
    <xf numFmtId="1" fontId="61" fillId="22" borderId="125" xfId="18" applyNumberFormat="1" applyFont="1" applyFill="1" applyBorder="1" applyAlignment="1" applyProtection="1">
      <alignment vertical="center" shrinkToFit="1"/>
    </xf>
    <xf numFmtId="0" fontId="64" fillId="0" borderId="135" xfId="18" applyFont="1" applyBorder="1" applyAlignment="1" applyProtection="1">
      <alignment horizontal="center" vertical="top" wrapText="1"/>
    </xf>
    <xf numFmtId="1" fontId="61" fillId="22" borderId="129" xfId="18" applyNumberFormat="1" applyFont="1" applyFill="1" applyBorder="1" applyAlignment="1" applyProtection="1">
      <alignment vertical="center" shrinkToFit="1"/>
    </xf>
    <xf numFmtId="0" fontId="64" fillId="0" borderId="146" xfId="18" applyFont="1" applyBorder="1" applyAlignment="1" applyProtection="1">
      <alignment horizontal="center" vertical="top" wrapText="1"/>
    </xf>
    <xf numFmtId="0" fontId="64" fillId="0" borderId="35" xfId="18" applyFont="1" applyBorder="1" applyAlignment="1" applyProtection="1">
      <alignment horizontal="left" vertical="top" wrapText="1"/>
    </xf>
    <xf numFmtId="0" fontId="61" fillId="0" borderId="133" xfId="18" applyFont="1" applyBorder="1" applyAlignment="1" applyProtection="1">
      <alignment vertical="top"/>
    </xf>
    <xf numFmtId="0" fontId="61" fillId="0" borderId="133" xfId="18" applyFont="1" applyBorder="1" applyAlignment="1" applyProtection="1">
      <alignment horizontal="left" vertical="center" shrinkToFit="1"/>
    </xf>
    <xf numFmtId="0" fontId="61" fillId="0" borderId="127" xfId="18" applyFont="1" applyBorder="1" applyAlignment="1" applyProtection="1">
      <alignment vertical="center" shrinkToFit="1"/>
    </xf>
    <xf numFmtId="0" fontId="61" fillId="0" borderId="35" xfId="18" applyFont="1" applyBorder="1" applyAlignment="1" applyProtection="1">
      <alignment horizontal="center" vertical="center"/>
    </xf>
    <xf numFmtId="0" fontId="56" fillId="0" borderId="35" xfId="18" applyFont="1" applyBorder="1" applyAlignment="1" applyProtection="1">
      <alignment vertical="center" shrinkToFit="1"/>
    </xf>
    <xf numFmtId="1" fontId="56" fillId="0" borderId="35" xfId="18" applyNumberFormat="1" applyFont="1" applyBorder="1" applyProtection="1">
      <alignment vertical="center"/>
    </xf>
    <xf numFmtId="1" fontId="56" fillId="0" borderId="35" xfId="18" applyNumberFormat="1" applyFont="1" applyBorder="1" applyAlignment="1" applyProtection="1">
      <alignment vertical="center" shrinkToFit="1"/>
    </xf>
    <xf numFmtId="1" fontId="61" fillId="22" borderId="35" xfId="18" applyNumberFormat="1" applyFont="1" applyFill="1" applyBorder="1" applyAlignment="1" applyProtection="1">
      <alignment vertical="center" shrinkToFit="1"/>
    </xf>
    <xf numFmtId="1" fontId="61" fillId="22" borderId="128" xfId="18" applyNumberFormat="1" applyFont="1" applyFill="1" applyBorder="1" applyAlignment="1" applyProtection="1">
      <alignment vertical="center" shrinkToFit="1"/>
    </xf>
    <xf numFmtId="0" fontId="64" fillId="0" borderId="5" xfId="18" applyFont="1" applyBorder="1" applyAlignment="1" applyProtection="1">
      <alignment vertical="top"/>
    </xf>
    <xf numFmtId="0" fontId="61" fillId="0" borderId="115" xfId="18" applyFont="1" applyBorder="1" applyAlignment="1" applyProtection="1">
      <alignment vertical="top" wrapText="1"/>
    </xf>
    <xf numFmtId="0" fontId="67" fillId="0" borderId="115" xfId="18" applyFont="1" applyBorder="1" applyProtection="1">
      <alignment vertical="center"/>
    </xf>
    <xf numFmtId="0" fontId="61" fillId="0" borderId="19" xfId="18" applyFont="1" applyBorder="1" applyAlignment="1" applyProtection="1">
      <alignment horizontal="center" vertical="center"/>
    </xf>
    <xf numFmtId="0" fontId="56" fillId="0" borderId="19" xfId="18" applyFont="1" applyBorder="1" applyAlignment="1" applyProtection="1">
      <alignment vertical="center" shrinkToFit="1"/>
    </xf>
    <xf numFmtId="1" fontId="56" fillId="0" borderId="19" xfId="18" applyNumberFormat="1" applyFont="1" applyBorder="1" applyProtection="1">
      <alignment vertical="center"/>
    </xf>
    <xf numFmtId="1" fontId="56" fillId="0" borderId="19" xfId="18" applyNumberFormat="1" applyFont="1" applyBorder="1" applyAlignment="1" applyProtection="1">
      <alignment vertical="center" shrinkToFit="1"/>
    </xf>
    <xf numFmtId="1" fontId="61" fillId="22" borderId="19" xfId="18" applyNumberFormat="1" applyFont="1" applyFill="1" applyBorder="1" applyAlignment="1" applyProtection="1">
      <alignment vertical="center" shrinkToFit="1"/>
    </xf>
    <xf numFmtId="0" fontId="61" fillId="0" borderId="6" xfId="18" applyFont="1" applyBorder="1" applyAlignment="1" applyProtection="1">
      <alignment vertical="top"/>
    </xf>
    <xf numFmtId="0" fontId="61" fillId="0" borderId="14" xfId="18" applyFont="1" applyBorder="1" applyAlignment="1" applyProtection="1">
      <alignment vertical="top"/>
    </xf>
    <xf numFmtId="0" fontId="61" fillId="0" borderId="6" xfId="18" applyFont="1" applyBorder="1" applyAlignment="1" applyProtection="1">
      <alignment horizontal="left" vertical="top"/>
    </xf>
    <xf numFmtId="0" fontId="61" fillId="0" borderId="6" xfId="18" applyFont="1" applyBorder="1" applyProtection="1">
      <alignment vertical="center"/>
    </xf>
    <xf numFmtId="0" fontId="64" fillId="0" borderId="19" xfId="18" applyFont="1" applyBorder="1" applyAlignment="1" applyProtection="1">
      <alignment horizontal="left" vertical="top" wrapText="1"/>
    </xf>
    <xf numFmtId="0" fontId="61" fillId="0" borderId="14" xfId="18" applyFont="1" applyBorder="1" applyAlignment="1" applyProtection="1">
      <alignment horizontal="left" vertical="top"/>
    </xf>
    <xf numFmtId="0" fontId="61" fillId="0" borderId="17" xfId="18" applyFont="1" applyBorder="1" applyAlignment="1" applyProtection="1">
      <alignment vertical="center" shrinkToFit="1"/>
    </xf>
    <xf numFmtId="0" fontId="56" fillId="0" borderId="141" xfId="18" applyFont="1" applyBorder="1" applyAlignment="1" applyProtection="1">
      <alignment vertical="center" shrinkToFit="1"/>
    </xf>
    <xf numFmtId="0" fontId="56" fillId="24" borderId="241" xfId="18" applyFont="1" applyFill="1" applyBorder="1" applyAlignment="1" applyProtection="1">
      <alignment horizontal="right" vertical="center" shrinkToFit="1"/>
    </xf>
    <xf numFmtId="1" fontId="56" fillId="0" borderId="18" xfId="18" applyNumberFormat="1" applyFont="1" applyBorder="1" applyAlignment="1" applyProtection="1">
      <alignment horizontal="right" vertical="center" shrinkToFit="1"/>
    </xf>
    <xf numFmtId="1" fontId="125" fillId="22" borderId="18" xfId="18" applyNumberFormat="1" applyFont="1" applyFill="1" applyBorder="1" applyAlignment="1" applyProtection="1">
      <alignment horizontal="right" vertical="center" shrinkToFit="1"/>
    </xf>
    <xf numFmtId="1" fontId="61" fillId="0" borderId="18" xfId="18" applyNumberFormat="1" applyFont="1" applyBorder="1" applyAlignment="1" applyProtection="1">
      <alignment horizontal="right" vertical="center" shrinkToFit="1"/>
    </xf>
    <xf numFmtId="1" fontId="61" fillId="22" borderId="18" xfId="18" applyNumberFormat="1" applyFont="1" applyFill="1" applyBorder="1" applyAlignment="1" applyProtection="1">
      <alignment horizontal="right" vertical="center" shrinkToFit="1"/>
    </xf>
    <xf numFmtId="0" fontId="64" fillId="0" borderId="66" xfId="18" applyFont="1" applyBorder="1" applyAlignment="1" applyProtection="1">
      <alignment horizontal="left" vertical="center"/>
    </xf>
    <xf numFmtId="0" fontId="61" fillId="0" borderId="117" xfId="18" applyFont="1" applyBorder="1" applyAlignment="1" applyProtection="1">
      <alignment vertical="top"/>
    </xf>
    <xf numFmtId="1" fontId="125" fillId="22" borderId="18" xfId="18" applyNumberFormat="1" applyFont="1" applyFill="1" applyBorder="1" applyAlignment="1" applyProtection="1">
      <alignment vertical="center" shrinkToFit="1"/>
    </xf>
    <xf numFmtId="1" fontId="61" fillId="22" borderId="18" xfId="18" applyNumberFormat="1" applyFont="1" applyFill="1" applyBorder="1" applyProtection="1">
      <alignment vertical="center"/>
    </xf>
    <xf numFmtId="0" fontId="64" fillId="0" borderId="18" xfId="0" applyFont="1" applyBorder="1" applyAlignment="1" applyProtection="1">
      <alignment horizontal="left" vertical="top" wrapText="1"/>
    </xf>
    <xf numFmtId="0" fontId="61" fillId="0" borderId="7" xfId="0" applyFont="1" applyBorder="1" applyAlignment="1" applyProtection="1">
      <alignment vertical="center"/>
    </xf>
    <xf numFmtId="0" fontId="61" fillId="0" borderId="7" xfId="0" applyFont="1" applyBorder="1" applyAlignment="1" applyProtection="1">
      <alignment vertical="top"/>
    </xf>
    <xf numFmtId="0" fontId="61" fillId="0" borderId="130" xfId="0" applyFont="1" applyBorder="1" applyAlignment="1" applyProtection="1">
      <alignment horizontal="center" vertical="center"/>
    </xf>
    <xf numFmtId="0" fontId="61" fillId="0" borderId="2" xfId="0" applyFont="1" applyBorder="1" applyAlignment="1" applyProtection="1">
      <alignment vertical="center"/>
    </xf>
    <xf numFmtId="0" fontId="61" fillId="0" borderId="6" xfId="0" applyFont="1" applyBorder="1" applyAlignment="1" applyProtection="1">
      <alignment vertical="center"/>
    </xf>
    <xf numFmtId="0" fontId="64" fillId="0" borderId="18" xfId="0" applyFont="1" applyBorder="1" applyAlignment="1" applyProtection="1">
      <alignment horizontal="center" vertical="center"/>
    </xf>
    <xf numFmtId="0" fontId="56" fillId="0" borderId="18" xfId="18" applyFont="1" applyFill="1" applyBorder="1" applyAlignment="1" applyProtection="1">
      <alignment horizontal="right" vertical="center" shrinkToFit="1"/>
    </xf>
    <xf numFmtId="0" fontId="61" fillId="22" borderId="18" xfId="18" applyFont="1" applyFill="1" applyBorder="1" applyAlignment="1" applyProtection="1">
      <alignment horizontal="right" vertical="center" shrinkToFit="1"/>
    </xf>
    <xf numFmtId="0" fontId="61" fillId="0" borderId="17" xfId="0" applyFont="1" applyBorder="1" applyAlignment="1" applyProtection="1">
      <alignment vertical="center"/>
    </xf>
    <xf numFmtId="0" fontId="61" fillId="0" borderId="66" xfId="0" applyFont="1" applyBorder="1" applyAlignment="1" applyProtection="1">
      <alignment vertical="center"/>
    </xf>
    <xf numFmtId="0" fontId="56" fillId="0" borderId="18" xfId="18" applyFont="1" applyBorder="1" applyAlignment="1" applyProtection="1">
      <alignment horizontal="right" vertical="center" shrinkToFit="1"/>
    </xf>
    <xf numFmtId="0" fontId="61" fillId="0" borderId="117" xfId="0" applyFont="1" applyBorder="1" applyAlignment="1" applyProtection="1">
      <alignment vertical="center"/>
    </xf>
    <xf numFmtId="0" fontId="61" fillId="22" borderId="18" xfId="18" applyFont="1" applyFill="1" applyBorder="1" applyAlignment="1" applyProtection="1">
      <alignment vertical="center" shrinkToFit="1"/>
    </xf>
    <xf numFmtId="0" fontId="56" fillId="0" borderId="18" xfId="18" applyFont="1" applyBorder="1" applyProtection="1">
      <alignment vertical="center"/>
    </xf>
    <xf numFmtId="0" fontId="61" fillId="0" borderId="0" xfId="0" applyFont="1" applyAlignment="1" applyProtection="1">
      <alignment vertical="top"/>
    </xf>
    <xf numFmtId="0" fontId="61" fillId="0" borderId="0" xfId="0" applyFont="1" applyAlignment="1" applyProtection="1">
      <alignment vertical="center"/>
    </xf>
    <xf numFmtId="0" fontId="61" fillId="0" borderId="0" xfId="0" applyFont="1" applyAlignment="1" applyProtection="1">
      <alignment horizontal="center" vertical="center"/>
    </xf>
    <xf numFmtId="0" fontId="61" fillId="0" borderId="242" xfId="0" applyFont="1" applyBorder="1" applyAlignment="1" applyProtection="1">
      <alignment vertical="center"/>
    </xf>
    <xf numFmtId="0" fontId="64" fillId="0" borderId="117" xfId="0" applyFont="1" applyBorder="1" applyAlignment="1" applyProtection="1">
      <alignment vertical="center"/>
    </xf>
    <xf numFmtId="0" fontId="61" fillId="0" borderId="241" xfId="0" applyFont="1" applyBorder="1" applyAlignment="1" applyProtection="1">
      <alignment vertical="center"/>
    </xf>
    <xf numFmtId="0" fontId="61" fillId="22" borderId="18" xfId="18" applyFont="1" applyFill="1" applyBorder="1" applyProtection="1">
      <alignment vertical="center"/>
    </xf>
    <xf numFmtId="0" fontId="61" fillId="22" borderId="241" xfId="18" applyFont="1" applyFill="1" applyBorder="1" applyAlignment="1" applyProtection="1">
      <alignment horizontal="right" vertical="center" shrinkToFit="1"/>
    </xf>
    <xf numFmtId="0" fontId="64" fillId="0" borderId="6" xfId="0" applyFont="1" applyBorder="1" applyAlignment="1" applyProtection="1">
      <alignment horizontal="left" vertical="top" wrapText="1"/>
    </xf>
    <xf numFmtId="0" fontId="64" fillId="0" borderId="16" xfId="0" applyFont="1" applyBorder="1" applyAlignment="1" applyProtection="1">
      <alignment horizontal="left" vertical="top" wrapText="1"/>
    </xf>
    <xf numFmtId="0" fontId="56" fillId="24" borderId="18" xfId="18" applyFont="1" applyFill="1" applyBorder="1" applyAlignment="1" applyProtection="1">
      <alignment horizontal="right" vertical="center" shrinkToFit="1"/>
    </xf>
    <xf numFmtId="0" fontId="64" fillId="0" borderId="5" xfId="0" applyFont="1" applyBorder="1" applyAlignment="1" applyProtection="1">
      <alignment horizontal="left" vertical="top" wrapText="1"/>
    </xf>
    <xf numFmtId="0" fontId="64" fillId="0" borderId="2" xfId="0" applyFont="1" applyBorder="1" applyAlignment="1" applyProtection="1">
      <alignment horizontal="left" vertical="top" wrapText="1"/>
    </xf>
    <xf numFmtId="0" fontId="64" fillId="0" borderId="14" xfId="0" applyFont="1" applyBorder="1" applyAlignment="1" applyProtection="1">
      <alignment horizontal="left" vertical="top" wrapText="1"/>
    </xf>
    <xf numFmtId="0" fontId="64" fillId="0" borderId="17" xfId="0" applyFont="1" applyBorder="1" applyAlignment="1" applyProtection="1">
      <alignment horizontal="left" vertical="top" wrapText="1"/>
    </xf>
    <xf numFmtId="184" fontId="56" fillId="0" borderId="18" xfId="6" applyNumberFormat="1" applyFont="1" applyFill="1" applyBorder="1" applyAlignment="1" applyProtection="1">
      <alignment horizontal="right" vertical="center" shrinkToFit="1"/>
    </xf>
    <xf numFmtId="184" fontId="61" fillId="0" borderId="18" xfId="6" applyNumberFormat="1" applyFont="1" applyFill="1" applyBorder="1" applyAlignment="1" applyProtection="1">
      <alignment horizontal="right" vertical="center" shrinkToFit="1"/>
    </xf>
    <xf numFmtId="0" fontId="69" fillId="16" borderId="6" xfId="18" applyFont="1" applyFill="1" applyBorder="1" applyProtection="1">
      <alignment vertical="center"/>
    </xf>
    <xf numFmtId="0" fontId="64" fillId="0" borderId="66" xfId="18" applyFont="1" applyBorder="1" applyProtection="1">
      <alignment vertical="center"/>
    </xf>
    <xf numFmtId="0" fontId="69" fillId="0" borderId="117" xfId="18" applyFont="1" applyBorder="1" applyProtection="1">
      <alignment vertical="center"/>
    </xf>
    <xf numFmtId="0" fontId="55" fillId="0" borderId="117" xfId="18" applyFont="1" applyBorder="1" applyAlignment="1" applyProtection="1">
      <alignment vertical="top"/>
    </xf>
    <xf numFmtId="0" fontId="55" fillId="0" borderId="130" xfId="18" applyFont="1" applyBorder="1" applyAlignment="1" applyProtection="1">
      <alignment vertical="top"/>
    </xf>
    <xf numFmtId="1" fontId="68" fillId="22" borderId="241" xfId="18" applyNumberFormat="1" applyFont="1" applyFill="1" applyBorder="1" applyProtection="1">
      <alignment vertical="center"/>
    </xf>
    <xf numFmtId="0" fontId="64" fillId="0" borderId="6" xfId="18" applyFont="1" applyBorder="1" applyProtection="1">
      <alignment vertical="center"/>
    </xf>
    <xf numFmtId="0" fontId="69" fillId="0" borderId="7" xfId="18" applyFont="1" applyBorder="1" applyProtection="1">
      <alignment vertical="center"/>
    </xf>
    <xf numFmtId="0" fontId="64" fillId="0" borderId="5" xfId="18" applyFont="1" applyBorder="1" applyProtection="1">
      <alignment vertical="center"/>
    </xf>
    <xf numFmtId="0" fontId="69" fillId="0" borderId="2" xfId="18" applyFont="1" applyBorder="1" applyProtection="1">
      <alignment vertical="center"/>
    </xf>
    <xf numFmtId="0" fontId="64" fillId="0" borderId="14" xfId="18" applyFont="1" applyBorder="1" applyProtection="1">
      <alignment vertical="center"/>
    </xf>
    <xf numFmtId="0" fontId="69" fillId="0" borderId="115" xfId="18" applyFont="1" applyBorder="1" applyProtection="1">
      <alignment vertical="center"/>
    </xf>
    <xf numFmtId="0" fontId="69" fillId="0" borderId="0" xfId="18" applyFont="1" applyProtection="1">
      <alignment vertical="center"/>
    </xf>
    <xf numFmtId="0" fontId="64" fillId="0" borderId="13" xfId="18" applyFont="1" applyBorder="1" applyAlignment="1" applyProtection="1">
      <alignment horizontal="left" vertical="top" wrapText="1"/>
    </xf>
    <xf numFmtId="0" fontId="56" fillId="0" borderId="66" xfId="0" applyFont="1" applyBorder="1" applyAlignment="1" applyProtection="1">
      <alignment vertical="center"/>
    </xf>
    <xf numFmtId="0" fontId="64" fillId="0" borderId="19" xfId="18" applyFont="1" applyBorder="1" applyAlignment="1" applyProtection="1">
      <alignment horizontal="left" vertical="top" wrapText="1"/>
    </xf>
    <xf numFmtId="0" fontId="61" fillId="0" borderId="117" xfId="18" applyFont="1" applyBorder="1" applyAlignment="1" applyProtection="1">
      <alignment vertical="center" shrinkToFit="1"/>
    </xf>
    <xf numFmtId="0" fontId="61" fillId="0" borderId="66" xfId="18" applyFont="1" applyBorder="1" applyAlignment="1" applyProtection="1">
      <alignment vertical="top" shrinkToFit="1"/>
    </xf>
    <xf numFmtId="0" fontId="61" fillId="0" borderId="66" xfId="18" applyFont="1" applyBorder="1" applyAlignment="1" applyProtection="1">
      <alignment horizontal="left" vertical="top" shrinkToFit="1"/>
    </xf>
    <xf numFmtId="0" fontId="64" fillId="0" borderId="13" xfId="18" applyFont="1" applyBorder="1" applyAlignment="1" applyProtection="1">
      <alignment horizontal="center" vertical="top" wrapText="1"/>
    </xf>
    <xf numFmtId="0" fontId="64" fillId="0" borderId="13" xfId="18" applyFont="1" applyBorder="1" applyAlignment="1" applyProtection="1">
      <alignment horizontal="left" vertical="top" wrapText="1"/>
    </xf>
    <xf numFmtId="0" fontId="61" fillId="0" borderId="117" xfId="18" applyFont="1" applyBorder="1" applyAlignment="1" applyProtection="1">
      <alignment vertical="top" shrinkToFit="1"/>
    </xf>
    <xf numFmtId="0" fontId="61" fillId="0" borderId="117" xfId="18" applyFont="1" applyBorder="1" applyAlignment="1" applyProtection="1">
      <alignment horizontal="center" vertical="center" shrinkToFit="1"/>
    </xf>
    <xf numFmtId="0" fontId="61" fillId="0" borderId="6" xfId="18" applyFont="1" applyBorder="1" applyAlignment="1" applyProtection="1">
      <alignment horizontal="left" vertical="center"/>
    </xf>
    <xf numFmtId="0" fontId="68" fillId="22" borderId="241" xfId="18" applyFont="1" applyFill="1" applyBorder="1" applyProtection="1">
      <alignment vertical="center"/>
    </xf>
    <xf numFmtId="1" fontId="56" fillId="24" borderId="241" xfId="18" applyNumberFormat="1" applyFont="1" applyFill="1" applyBorder="1" applyAlignment="1" applyProtection="1">
      <alignment horizontal="right" vertical="center" shrinkToFit="1"/>
    </xf>
    <xf numFmtId="1" fontId="61" fillId="22" borderId="241" xfId="18" applyNumberFormat="1" applyFont="1" applyFill="1" applyBorder="1" applyAlignment="1" applyProtection="1">
      <alignment horizontal="right" vertical="center" shrinkToFit="1"/>
    </xf>
    <xf numFmtId="0" fontId="56" fillId="16" borderId="0" xfId="18" applyFont="1" applyFill="1" applyAlignment="1" applyProtection="1">
      <alignment vertical="center" shrinkToFit="1"/>
    </xf>
    <xf numFmtId="0" fontId="135" fillId="0" borderId="0" xfId="16" applyFont="1" applyFill="1" applyAlignment="1" applyProtection="1">
      <alignment vertical="center" shrinkToFit="1"/>
    </xf>
    <xf numFmtId="0" fontId="56" fillId="24" borderId="20" xfId="0" applyFont="1" applyFill="1" applyBorder="1" applyAlignment="1" applyProtection="1">
      <alignment horizontal="right" vertical="center" shrinkToFit="1"/>
    </xf>
    <xf numFmtId="1" fontId="56" fillId="24" borderId="20" xfId="0" applyNumberFormat="1" applyFont="1" applyFill="1" applyBorder="1" applyAlignment="1" applyProtection="1">
      <alignment horizontal="right" vertical="center" shrinkToFit="1"/>
    </xf>
    <xf numFmtId="1" fontId="61" fillId="22" borderId="20" xfId="0" applyNumberFormat="1" applyFont="1" applyFill="1" applyBorder="1" applyAlignment="1" applyProtection="1">
      <alignment horizontal="right" vertical="center" shrinkToFit="1"/>
    </xf>
    <xf numFmtId="0" fontId="56" fillId="0" borderId="130" xfId="0" applyFont="1" applyBorder="1" applyAlignment="1" applyProtection="1">
      <alignment horizontal="right" vertical="center" shrinkToFit="1"/>
    </xf>
    <xf numFmtId="0" fontId="61" fillId="0" borderId="8" xfId="18" applyFont="1" applyBorder="1" applyAlignment="1" applyProtection="1">
      <alignment horizontal="left" vertical="top" wrapText="1"/>
    </xf>
    <xf numFmtId="0" fontId="61" fillId="0" borderId="19" xfId="18" applyFont="1" applyBorder="1" applyAlignment="1" applyProtection="1">
      <alignment horizontal="left" vertical="top" wrapText="1"/>
    </xf>
    <xf numFmtId="0" fontId="64" fillId="0" borderId="19" xfId="18" applyFont="1" applyBorder="1" applyAlignment="1" applyProtection="1">
      <alignment horizontal="center" vertical="top" wrapText="1"/>
    </xf>
    <xf numFmtId="0" fontId="61" fillId="0" borderId="117" xfId="18" applyFont="1" applyBorder="1" applyAlignment="1" applyProtection="1">
      <alignment horizontal="left" vertical="center" shrinkToFit="1"/>
    </xf>
    <xf numFmtId="1" fontId="125" fillId="22" borderId="18" xfId="18" applyNumberFormat="1" applyFont="1" applyFill="1" applyBorder="1" applyProtection="1">
      <alignment vertical="center"/>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7"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6"/>
    <cellStyle name="標準 4 2" xfId="18"/>
    <cellStyle name="表示済みのハイパーリンク" xfId="19" builtinId="9" customBuiltin="1"/>
    <cellStyle name="良い 2" xfId="11"/>
  </cellStyles>
  <dxfs count="3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66FF33"/>
      <color rgb="FF66FFFF"/>
      <color rgb="FFFFFFCC"/>
      <color rgb="FFFBE5D6"/>
      <color rgb="FF000000"/>
      <color rgb="FF5B9BD5"/>
      <color rgb="FFDEEBF7"/>
      <color rgb="FFE2F0D9"/>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459325"/>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70" y="1748119"/>
          <a:ext cx="5782199" cy="24396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5" name="図 24"/>
        <xdr:cNvPicPr>
          <a:picLocks noChangeAspect="1"/>
        </xdr:cNvPicPr>
      </xdr:nvPicPr>
      <xdr:blipFill>
        <a:blip xmlns:r="http://schemas.openxmlformats.org/officeDocument/2006/relationships" r:embed="rId2"/>
        <a:stretch>
          <a:fillRect/>
        </a:stretch>
      </xdr:blipFill>
      <xdr:spPr>
        <a:xfrm>
          <a:off x="212911" y="5906043"/>
          <a:ext cx="9871030" cy="2811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14</xdr:col>
      <xdr:colOff>125730</xdr:colOff>
      <xdr:row>3</xdr:row>
      <xdr:rowOff>202182</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32</xdr:col>
      <xdr:colOff>266700</xdr:colOff>
      <xdr:row>3</xdr:row>
      <xdr:rowOff>20683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504825"/>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504825"/>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1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1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504825"/>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504825"/>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2" name="テーブル2" displayName="テーブル2" ref="A1:F27" totalsRowShown="0" headerRowDxfId="30" dataDxfId="29">
  <autoFilter ref="A1:F27"/>
  <tableColumns count="6">
    <tableColumn id="1" name="No." dataDxfId="28">
      <calculatedColumnFormula>ROW()-$H$1</calculatedColumnFormula>
    </tableColumn>
    <tableColumn id="5" name="シート" dataDxfId="27"/>
    <tableColumn id="2" name="メモ" dataDxfId="26"/>
    <tableColumn id="6" name="優先度" dataDxfId="25"/>
    <tableColumn id="3" name="ステータス" dataDxfId="24"/>
    <tableColumn id="4" name="備考" dataDxfId="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110"/>
  <sheetViews>
    <sheetView workbookViewId="0"/>
  </sheetViews>
  <sheetFormatPr defaultColWidth="9" defaultRowHeight="18"/>
  <cols>
    <col min="1" max="1" width="5.59765625" style="74" customWidth="1"/>
    <col min="2" max="2" width="9.8984375" style="75" customWidth="1"/>
    <col min="3" max="3" width="15.09765625" style="76" customWidth="1"/>
    <col min="4" max="4" width="8.09765625" style="76" customWidth="1"/>
    <col min="5" max="5" width="16.5" style="6" customWidth="1"/>
    <col min="6" max="6" width="60.19921875" style="5" customWidth="1"/>
    <col min="7" max="7" width="2.5" style="71" bestFit="1" customWidth="1"/>
    <col min="8" max="16384" width="9" style="71"/>
  </cols>
  <sheetData>
    <row r="1" spans="1:7" s="65" customFormat="1">
      <c r="A1" s="62" t="s">
        <v>2</v>
      </c>
      <c r="B1" s="63" t="s">
        <v>3</v>
      </c>
      <c r="C1" s="62" t="s">
        <v>4</v>
      </c>
      <c r="D1" s="62" t="s">
        <v>5</v>
      </c>
      <c r="E1" s="64" t="s">
        <v>6</v>
      </c>
      <c r="F1" s="64" t="s">
        <v>7</v>
      </c>
      <c r="G1" s="65">
        <v>1</v>
      </c>
    </row>
    <row r="2" spans="1:7" ht="72">
      <c r="A2" s="66">
        <f t="shared" ref="A2:A68" si="0">ROW()-$G$1</f>
        <v>1</v>
      </c>
      <c r="B2" s="67">
        <v>45693</v>
      </c>
      <c r="C2" s="68" t="s">
        <v>8</v>
      </c>
      <c r="D2" s="68" t="s">
        <v>9</v>
      </c>
      <c r="E2" s="69"/>
      <c r="F2" s="70" t="s">
        <v>10</v>
      </c>
    </row>
    <row r="3" spans="1:7">
      <c r="A3" s="66">
        <f t="shared" si="0"/>
        <v>2</v>
      </c>
      <c r="B3" s="67">
        <v>45707</v>
      </c>
      <c r="C3" s="68" t="s">
        <v>8</v>
      </c>
      <c r="D3" s="68" t="s">
        <v>11</v>
      </c>
      <c r="E3" s="69" t="s">
        <v>9</v>
      </c>
      <c r="F3" s="70" t="s">
        <v>12</v>
      </c>
    </row>
    <row r="4" spans="1:7" ht="36">
      <c r="A4" s="66">
        <f t="shared" si="0"/>
        <v>3</v>
      </c>
      <c r="B4" s="67">
        <v>45707</v>
      </c>
      <c r="C4" s="68" t="s">
        <v>8</v>
      </c>
      <c r="D4" s="68" t="s">
        <v>11</v>
      </c>
      <c r="E4" s="69" t="s">
        <v>13</v>
      </c>
      <c r="F4" s="70" t="s">
        <v>14</v>
      </c>
    </row>
    <row r="5" spans="1:7">
      <c r="A5" s="66">
        <f t="shared" si="0"/>
        <v>4</v>
      </c>
      <c r="B5" s="67">
        <v>45707</v>
      </c>
      <c r="C5" s="68" t="s">
        <v>8</v>
      </c>
      <c r="D5" s="68" t="s">
        <v>15</v>
      </c>
      <c r="E5" s="69" t="s">
        <v>16</v>
      </c>
      <c r="F5" s="70" t="s">
        <v>17</v>
      </c>
    </row>
    <row r="6" spans="1:7">
      <c r="A6" s="66">
        <f t="shared" si="0"/>
        <v>5</v>
      </c>
      <c r="B6" s="67">
        <v>45707</v>
      </c>
      <c r="C6" s="68" t="s">
        <v>8</v>
      </c>
      <c r="D6" s="68" t="s">
        <v>11</v>
      </c>
      <c r="E6" s="69" t="s">
        <v>18</v>
      </c>
      <c r="F6" s="70" t="s">
        <v>17</v>
      </c>
    </row>
    <row r="7" spans="1:7">
      <c r="A7" s="66">
        <f t="shared" si="0"/>
        <v>6</v>
      </c>
      <c r="B7" s="67">
        <v>45707</v>
      </c>
      <c r="C7" s="68" t="s">
        <v>8</v>
      </c>
      <c r="D7" s="68" t="s">
        <v>9</v>
      </c>
      <c r="E7" s="69"/>
      <c r="F7" s="70" t="s">
        <v>19</v>
      </c>
    </row>
    <row r="8" spans="1:7">
      <c r="A8" s="66">
        <f t="shared" si="0"/>
        <v>7</v>
      </c>
      <c r="B8" s="67">
        <v>45707</v>
      </c>
      <c r="C8" s="68" t="s">
        <v>8</v>
      </c>
      <c r="D8" s="68" t="s">
        <v>15</v>
      </c>
      <c r="E8" s="69"/>
      <c r="F8" s="70" t="s">
        <v>20</v>
      </c>
    </row>
    <row r="9" spans="1:7" ht="36">
      <c r="A9" s="66">
        <f t="shared" si="0"/>
        <v>8</v>
      </c>
      <c r="B9" s="67">
        <v>45713</v>
      </c>
      <c r="C9" s="68" t="s">
        <v>21</v>
      </c>
      <c r="D9" s="68" t="s">
        <v>22</v>
      </c>
      <c r="E9" s="69" t="s">
        <v>9</v>
      </c>
      <c r="F9" s="70" t="s">
        <v>23</v>
      </c>
    </row>
    <row r="10" spans="1:7" ht="36">
      <c r="A10" s="66">
        <f t="shared" si="0"/>
        <v>9</v>
      </c>
      <c r="B10" s="67">
        <v>45713</v>
      </c>
      <c r="C10" s="68" t="s">
        <v>21</v>
      </c>
      <c r="D10" s="68" t="s">
        <v>24</v>
      </c>
      <c r="E10" s="69" t="s">
        <v>9</v>
      </c>
      <c r="F10" s="70" t="s">
        <v>25</v>
      </c>
    </row>
    <row r="11" spans="1:7" ht="54">
      <c r="A11" s="66">
        <f t="shared" si="0"/>
        <v>10</v>
      </c>
      <c r="B11" s="67">
        <v>45713</v>
      </c>
      <c r="C11" s="68" t="s">
        <v>21</v>
      </c>
      <c r="D11" s="68" t="s">
        <v>26</v>
      </c>
      <c r="E11" s="69" t="s">
        <v>9</v>
      </c>
      <c r="F11" s="70" t="s">
        <v>27</v>
      </c>
    </row>
    <row r="12" spans="1:7" ht="72">
      <c r="A12" s="66">
        <f t="shared" si="0"/>
        <v>11</v>
      </c>
      <c r="B12" s="67">
        <v>45721</v>
      </c>
      <c r="C12" s="68" t="s">
        <v>8</v>
      </c>
      <c r="D12" s="68" t="s">
        <v>1441</v>
      </c>
      <c r="E12" s="69" t="s">
        <v>1442</v>
      </c>
      <c r="F12" s="70" t="s">
        <v>1443</v>
      </c>
    </row>
    <row r="13" spans="1:7">
      <c r="A13" s="66">
        <f t="shared" si="0"/>
        <v>12</v>
      </c>
      <c r="B13" s="67">
        <v>45721</v>
      </c>
      <c r="C13" s="68" t="s">
        <v>8</v>
      </c>
      <c r="D13" s="68" t="s">
        <v>1444</v>
      </c>
      <c r="E13" s="69" t="s">
        <v>9</v>
      </c>
      <c r="F13" s="70" t="s">
        <v>1445</v>
      </c>
    </row>
    <row r="14" spans="1:7">
      <c r="A14" s="66">
        <f t="shared" si="0"/>
        <v>13</v>
      </c>
      <c r="B14" s="67">
        <v>45721</v>
      </c>
      <c r="C14" s="68" t="s">
        <v>8</v>
      </c>
      <c r="D14" s="279" t="s">
        <v>166</v>
      </c>
      <c r="E14" s="69" t="s">
        <v>1446</v>
      </c>
      <c r="F14" s="70" t="s">
        <v>1447</v>
      </c>
    </row>
    <row r="15" spans="1:7" ht="36">
      <c r="A15" s="66">
        <f t="shared" si="0"/>
        <v>14</v>
      </c>
      <c r="B15" s="67">
        <v>45721</v>
      </c>
      <c r="C15" s="68" t="s">
        <v>8</v>
      </c>
      <c r="D15" s="279" t="s">
        <v>166</v>
      </c>
      <c r="E15" s="69" t="s">
        <v>1448</v>
      </c>
      <c r="F15" s="70" t="s">
        <v>1449</v>
      </c>
    </row>
    <row r="16" spans="1:7">
      <c r="A16" s="66">
        <f t="shared" si="0"/>
        <v>15</v>
      </c>
      <c r="B16" s="67">
        <v>45721</v>
      </c>
      <c r="C16" s="68" t="s">
        <v>8</v>
      </c>
      <c r="D16" s="279" t="s">
        <v>166</v>
      </c>
      <c r="E16" s="69" t="s">
        <v>1450</v>
      </c>
      <c r="F16" s="70" t="s">
        <v>1451</v>
      </c>
    </row>
    <row r="17" spans="1:6">
      <c r="A17" s="66">
        <f t="shared" si="0"/>
        <v>16</v>
      </c>
      <c r="B17" s="67">
        <v>45721</v>
      </c>
      <c r="C17" s="68" t="s">
        <v>8</v>
      </c>
      <c r="D17" s="279" t="s">
        <v>166</v>
      </c>
      <c r="E17" s="69" t="s">
        <v>1452</v>
      </c>
      <c r="F17" s="70" t="s">
        <v>1453</v>
      </c>
    </row>
    <row r="18" spans="1:6">
      <c r="A18" s="66">
        <f t="shared" si="0"/>
        <v>17</v>
      </c>
      <c r="B18" s="67">
        <v>45721</v>
      </c>
      <c r="C18" s="68" t="s">
        <v>8</v>
      </c>
      <c r="D18" s="279" t="s">
        <v>166</v>
      </c>
      <c r="E18" s="69" t="s">
        <v>1454</v>
      </c>
      <c r="F18" s="70" t="s">
        <v>1447</v>
      </c>
    </row>
    <row r="19" spans="1:6">
      <c r="A19" s="66">
        <f t="shared" si="0"/>
        <v>18</v>
      </c>
      <c r="B19" s="67">
        <v>45721</v>
      </c>
      <c r="C19" s="68" t="s">
        <v>8</v>
      </c>
      <c r="D19" s="68" t="s">
        <v>15</v>
      </c>
      <c r="E19" s="69" t="s">
        <v>9</v>
      </c>
      <c r="F19" s="70" t="s">
        <v>1455</v>
      </c>
    </row>
    <row r="20" spans="1:6">
      <c r="A20" s="66">
        <f t="shared" si="0"/>
        <v>19</v>
      </c>
      <c r="B20" s="67">
        <v>45721</v>
      </c>
      <c r="C20" s="68" t="s">
        <v>8</v>
      </c>
      <c r="D20" s="68" t="s">
        <v>166</v>
      </c>
      <c r="E20" s="69" t="s">
        <v>9</v>
      </c>
      <c r="F20" s="70" t="s">
        <v>1456</v>
      </c>
    </row>
    <row r="21" spans="1:6">
      <c r="A21" s="66">
        <f t="shared" si="0"/>
        <v>20</v>
      </c>
      <c r="B21" s="67">
        <v>45721</v>
      </c>
      <c r="C21" s="68" t="s">
        <v>8</v>
      </c>
      <c r="D21" s="68" t="s">
        <v>9</v>
      </c>
      <c r="E21" s="69" t="s">
        <v>9</v>
      </c>
      <c r="F21" s="70" t="s">
        <v>1477</v>
      </c>
    </row>
    <row r="22" spans="1:6" ht="36">
      <c r="A22" s="66">
        <f t="shared" si="0"/>
        <v>21</v>
      </c>
      <c r="B22" s="67">
        <v>45721</v>
      </c>
      <c r="C22" s="68" t="s">
        <v>8</v>
      </c>
      <c r="D22" s="68" t="s">
        <v>1457</v>
      </c>
      <c r="E22" s="69" t="s">
        <v>1458</v>
      </c>
      <c r="F22" s="70" t="s">
        <v>1459</v>
      </c>
    </row>
    <row r="23" spans="1:6" ht="72">
      <c r="A23" s="66">
        <f t="shared" si="0"/>
        <v>22</v>
      </c>
      <c r="B23" s="67">
        <v>45721</v>
      </c>
      <c r="C23" s="68" t="s">
        <v>8</v>
      </c>
      <c r="D23" s="68" t="s">
        <v>15</v>
      </c>
      <c r="E23" s="69" t="s">
        <v>1479</v>
      </c>
      <c r="F23" s="70" t="s">
        <v>1480</v>
      </c>
    </row>
    <row r="24" spans="1:6" ht="72">
      <c r="A24" s="66">
        <f t="shared" si="0"/>
        <v>23</v>
      </c>
      <c r="B24" s="67">
        <v>45721</v>
      </c>
      <c r="C24" s="68" t="s">
        <v>8</v>
      </c>
      <c r="D24" s="68" t="s">
        <v>15</v>
      </c>
      <c r="E24" s="69" t="s">
        <v>1481</v>
      </c>
      <c r="F24" s="70" t="s">
        <v>1482</v>
      </c>
    </row>
    <row r="25" spans="1:6">
      <c r="A25" s="66">
        <f t="shared" si="0"/>
        <v>24</v>
      </c>
      <c r="B25" s="67">
        <v>45722</v>
      </c>
      <c r="C25" s="68" t="s">
        <v>8</v>
      </c>
      <c r="D25" s="68" t="s">
        <v>1486</v>
      </c>
      <c r="E25" s="69" t="s">
        <v>1487</v>
      </c>
      <c r="F25" s="70" t="s">
        <v>1488</v>
      </c>
    </row>
    <row r="26" spans="1:6">
      <c r="A26" s="66">
        <f t="shared" si="0"/>
        <v>25</v>
      </c>
      <c r="B26" s="67">
        <v>45722</v>
      </c>
      <c r="C26" s="68" t="s">
        <v>8</v>
      </c>
      <c r="D26" s="68" t="s">
        <v>1500</v>
      </c>
      <c r="E26" s="69" t="s">
        <v>1501</v>
      </c>
      <c r="F26" s="70" t="s">
        <v>1502</v>
      </c>
    </row>
    <row r="27" spans="1:6">
      <c r="A27" s="66">
        <f t="shared" si="0"/>
        <v>26</v>
      </c>
      <c r="B27" s="67">
        <v>45722</v>
      </c>
      <c r="C27" s="68" t="s">
        <v>8</v>
      </c>
      <c r="D27" s="68" t="s">
        <v>1500</v>
      </c>
      <c r="E27" s="69" t="s">
        <v>1503</v>
      </c>
      <c r="F27" s="70" t="s">
        <v>1504</v>
      </c>
    </row>
    <row r="28" spans="1:6" ht="36">
      <c r="A28" s="66">
        <f t="shared" si="0"/>
        <v>27</v>
      </c>
      <c r="B28" s="67">
        <v>45722</v>
      </c>
      <c r="C28" s="68" t="s">
        <v>8</v>
      </c>
      <c r="D28" s="68" t="s">
        <v>1505</v>
      </c>
      <c r="E28" s="69" t="s">
        <v>1506</v>
      </c>
      <c r="F28" s="70" t="s">
        <v>1507</v>
      </c>
    </row>
    <row r="29" spans="1:6">
      <c r="A29" s="66">
        <f t="shared" si="0"/>
        <v>28</v>
      </c>
      <c r="B29" s="67">
        <v>45722</v>
      </c>
      <c r="C29" s="68" t="s">
        <v>8</v>
      </c>
      <c r="D29" s="69" t="s">
        <v>9</v>
      </c>
      <c r="E29" s="69"/>
      <c r="F29" s="70" t="s">
        <v>1508</v>
      </c>
    </row>
    <row r="30" spans="1:6">
      <c r="A30" s="66">
        <f t="shared" si="0"/>
        <v>29</v>
      </c>
      <c r="B30" s="67">
        <v>45722</v>
      </c>
      <c r="C30" s="68" t="s">
        <v>8</v>
      </c>
      <c r="D30" s="68" t="s">
        <v>1509</v>
      </c>
      <c r="E30" s="69" t="s">
        <v>1510</v>
      </c>
      <c r="F30" s="70" t="s">
        <v>1511</v>
      </c>
    </row>
    <row r="31" spans="1:6">
      <c r="A31" s="66">
        <f t="shared" si="0"/>
        <v>30</v>
      </c>
      <c r="B31" s="67">
        <v>45722</v>
      </c>
      <c r="C31" s="68" t="s">
        <v>8</v>
      </c>
      <c r="D31" s="68" t="s">
        <v>1509</v>
      </c>
      <c r="E31" s="69" t="s">
        <v>1512</v>
      </c>
      <c r="F31" s="70" t="s">
        <v>1511</v>
      </c>
    </row>
    <row r="32" spans="1:6" ht="36">
      <c r="A32" s="66">
        <f t="shared" si="0"/>
        <v>31</v>
      </c>
      <c r="B32" s="67">
        <v>45722</v>
      </c>
      <c r="C32" s="68" t="s">
        <v>8</v>
      </c>
      <c r="D32" s="68" t="s">
        <v>1509</v>
      </c>
      <c r="E32" s="69" t="s">
        <v>1513</v>
      </c>
      <c r="F32" s="70" t="s">
        <v>1511</v>
      </c>
    </row>
    <row r="33" spans="1:6" ht="36">
      <c r="A33" s="66">
        <f t="shared" si="0"/>
        <v>32</v>
      </c>
      <c r="B33" s="67">
        <v>45722</v>
      </c>
      <c r="C33" s="68" t="s">
        <v>8</v>
      </c>
      <c r="D33" s="68" t="s">
        <v>1509</v>
      </c>
      <c r="E33" s="69" t="s">
        <v>1514</v>
      </c>
      <c r="F33" s="70" t="s">
        <v>1511</v>
      </c>
    </row>
    <row r="34" spans="1:6">
      <c r="A34" s="66">
        <f t="shared" si="0"/>
        <v>33</v>
      </c>
      <c r="B34" s="67">
        <v>45722</v>
      </c>
      <c r="C34" s="68" t="s">
        <v>8</v>
      </c>
      <c r="D34" s="68" t="s">
        <v>1515</v>
      </c>
      <c r="E34" s="69" t="s">
        <v>1516</v>
      </c>
      <c r="F34" s="70" t="s">
        <v>1511</v>
      </c>
    </row>
    <row r="35" spans="1:6">
      <c r="A35" s="66">
        <f t="shared" si="0"/>
        <v>34</v>
      </c>
      <c r="B35" s="67">
        <v>45722</v>
      </c>
      <c r="C35" s="68" t="s">
        <v>8</v>
      </c>
      <c r="D35" s="68" t="s">
        <v>1515</v>
      </c>
      <c r="E35" s="69" t="s">
        <v>1517</v>
      </c>
      <c r="F35" s="70" t="s">
        <v>1511</v>
      </c>
    </row>
    <row r="36" spans="1:6">
      <c r="A36" s="66">
        <f t="shared" si="0"/>
        <v>35</v>
      </c>
      <c r="B36" s="67">
        <v>45722</v>
      </c>
      <c r="C36" s="68" t="s">
        <v>8</v>
      </c>
      <c r="D36" s="68" t="s">
        <v>1515</v>
      </c>
      <c r="E36" s="69" t="s">
        <v>1518</v>
      </c>
      <c r="F36" s="70" t="s">
        <v>1511</v>
      </c>
    </row>
    <row r="37" spans="1:6" ht="36">
      <c r="A37" s="66">
        <f t="shared" si="0"/>
        <v>36</v>
      </c>
      <c r="B37" s="67">
        <v>45722</v>
      </c>
      <c r="C37" s="68" t="s">
        <v>8</v>
      </c>
      <c r="D37" s="68" t="s">
        <v>1515</v>
      </c>
      <c r="E37" s="69" t="s">
        <v>1519</v>
      </c>
      <c r="F37" s="70" t="s">
        <v>1511</v>
      </c>
    </row>
    <row r="38" spans="1:6" ht="36">
      <c r="A38" s="66">
        <f t="shared" si="0"/>
        <v>37</v>
      </c>
      <c r="B38" s="67">
        <v>45722</v>
      </c>
      <c r="C38" s="68" t="s">
        <v>8</v>
      </c>
      <c r="D38" s="68" t="s">
        <v>1515</v>
      </c>
      <c r="E38" s="69" t="s">
        <v>1520</v>
      </c>
      <c r="F38" s="70" t="s">
        <v>1511</v>
      </c>
    </row>
    <row r="39" spans="1:6" ht="36">
      <c r="A39" s="66">
        <f t="shared" si="0"/>
        <v>38</v>
      </c>
      <c r="B39" s="67">
        <v>45722</v>
      </c>
      <c r="C39" s="68" t="s">
        <v>8</v>
      </c>
      <c r="D39" s="68" t="s">
        <v>1515</v>
      </c>
      <c r="E39" s="69" t="s">
        <v>1521</v>
      </c>
      <c r="F39" s="70" t="s">
        <v>1511</v>
      </c>
    </row>
    <row r="40" spans="1:6" ht="36">
      <c r="A40" s="66">
        <f t="shared" si="0"/>
        <v>39</v>
      </c>
      <c r="B40" s="67">
        <v>45722</v>
      </c>
      <c r="C40" s="68" t="s">
        <v>8</v>
      </c>
      <c r="D40" s="68" t="s">
        <v>1515</v>
      </c>
      <c r="E40" s="69" t="s">
        <v>1522</v>
      </c>
      <c r="F40" s="70" t="s">
        <v>1511</v>
      </c>
    </row>
    <row r="41" spans="1:6" ht="36">
      <c r="A41" s="66">
        <f t="shared" si="0"/>
        <v>40</v>
      </c>
      <c r="B41" s="67">
        <v>45722</v>
      </c>
      <c r="C41" s="68" t="s">
        <v>8</v>
      </c>
      <c r="D41" s="68" t="s">
        <v>1515</v>
      </c>
      <c r="E41" s="69" t="s">
        <v>1523</v>
      </c>
      <c r="F41" s="70" t="s">
        <v>1511</v>
      </c>
    </row>
    <row r="42" spans="1:6" ht="36">
      <c r="A42" s="66">
        <f t="shared" si="0"/>
        <v>41</v>
      </c>
      <c r="B42" s="281">
        <v>45723</v>
      </c>
      <c r="C42" s="282" t="s">
        <v>8</v>
      </c>
      <c r="D42" s="282" t="s">
        <v>1527</v>
      </c>
      <c r="E42" s="283" t="s">
        <v>1528</v>
      </c>
      <c r="F42" s="284" t="s">
        <v>1529</v>
      </c>
    </row>
    <row r="43" spans="1:6" ht="36">
      <c r="A43" s="66">
        <f t="shared" si="0"/>
        <v>42</v>
      </c>
      <c r="B43" s="281">
        <v>45723</v>
      </c>
      <c r="C43" s="282" t="s">
        <v>8</v>
      </c>
      <c r="D43" s="282" t="s">
        <v>1530</v>
      </c>
      <c r="E43" s="283" t="s">
        <v>1531</v>
      </c>
      <c r="F43" s="284" t="s">
        <v>1529</v>
      </c>
    </row>
    <row r="44" spans="1:6">
      <c r="A44" s="66">
        <f t="shared" si="0"/>
        <v>43</v>
      </c>
      <c r="B44" s="67">
        <v>45723</v>
      </c>
      <c r="C44" s="68" t="s">
        <v>8</v>
      </c>
      <c r="D44" s="68" t="s">
        <v>1532</v>
      </c>
      <c r="E44" s="69" t="s">
        <v>1533</v>
      </c>
      <c r="F44" s="70" t="s">
        <v>1534</v>
      </c>
    </row>
    <row r="45" spans="1:6">
      <c r="A45" s="66">
        <f t="shared" si="0"/>
        <v>44</v>
      </c>
      <c r="B45" s="67">
        <v>45723</v>
      </c>
      <c r="C45" s="68" t="s">
        <v>8</v>
      </c>
      <c r="D45" s="68" t="s">
        <v>1535</v>
      </c>
      <c r="E45" s="69" t="s">
        <v>1533</v>
      </c>
      <c r="F45" s="70" t="s">
        <v>1534</v>
      </c>
    </row>
    <row r="46" spans="1:6">
      <c r="A46" s="66">
        <f t="shared" si="0"/>
        <v>45</v>
      </c>
      <c r="B46" s="67">
        <v>45723</v>
      </c>
      <c r="C46" s="68" t="s">
        <v>8</v>
      </c>
      <c r="D46" s="68" t="s">
        <v>1537</v>
      </c>
      <c r="E46" s="69" t="s">
        <v>1538</v>
      </c>
      <c r="F46" s="70" t="s">
        <v>1539</v>
      </c>
    </row>
    <row r="47" spans="1:6">
      <c r="A47" s="66">
        <f t="shared" si="0"/>
        <v>46</v>
      </c>
      <c r="B47" s="67">
        <v>45723</v>
      </c>
      <c r="C47" s="68" t="s">
        <v>8</v>
      </c>
      <c r="D47" s="68" t="s">
        <v>1540</v>
      </c>
      <c r="E47" s="69" t="s">
        <v>1541</v>
      </c>
      <c r="F47" s="70" t="s">
        <v>1542</v>
      </c>
    </row>
    <row r="48" spans="1:6">
      <c r="A48" s="66">
        <f t="shared" si="0"/>
        <v>47</v>
      </c>
      <c r="B48" s="67">
        <v>45723</v>
      </c>
      <c r="C48" s="68" t="s">
        <v>8</v>
      </c>
      <c r="D48" s="68" t="s">
        <v>1543</v>
      </c>
      <c r="E48" s="69" t="s">
        <v>1544</v>
      </c>
      <c r="F48" s="70" t="s">
        <v>1534</v>
      </c>
    </row>
    <row r="49" spans="1:6">
      <c r="A49" s="66">
        <f t="shared" si="0"/>
        <v>48</v>
      </c>
      <c r="B49" s="67">
        <v>45725</v>
      </c>
      <c r="C49" s="68" t="s">
        <v>21</v>
      </c>
      <c r="D49" s="68" t="s">
        <v>1549</v>
      </c>
      <c r="E49" s="69" t="s">
        <v>1550</v>
      </c>
      <c r="F49" s="70" t="s">
        <v>1551</v>
      </c>
    </row>
    <row r="50" spans="1:6">
      <c r="A50" s="66">
        <f t="shared" si="0"/>
        <v>49</v>
      </c>
      <c r="B50" s="67">
        <v>45727</v>
      </c>
      <c r="C50" s="68" t="s">
        <v>8</v>
      </c>
      <c r="D50" s="68" t="s">
        <v>9</v>
      </c>
      <c r="E50" s="69"/>
      <c r="F50" s="70" t="s">
        <v>1555</v>
      </c>
    </row>
    <row r="51" spans="1:6">
      <c r="A51" s="66">
        <f t="shared" si="0"/>
        <v>50</v>
      </c>
      <c r="B51" s="67">
        <v>45727</v>
      </c>
      <c r="C51" s="68" t="s">
        <v>8</v>
      </c>
      <c r="D51" s="68" t="s">
        <v>1549</v>
      </c>
      <c r="E51" s="69" t="s">
        <v>1560</v>
      </c>
      <c r="F51" s="70" t="s">
        <v>1561</v>
      </c>
    </row>
    <row r="52" spans="1:6">
      <c r="A52" s="66">
        <f t="shared" si="0"/>
        <v>51</v>
      </c>
      <c r="B52" s="67">
        <v>45733</v>
      </c>
      <c r="C52" s="68" t="s">
        <v>8</v>
      </c>
      <c r="D52" s="68" t="s">
        <v>1500</v>
      </c>
      <c r="E52" s="69" t="s">
        <v>1663</v>
      </c>
      <c r="F52" s="70" t="s">
        <v>1662</v>
      </c>
    </row>
    <row r="53" spans="1:6">
      <c r="A53" s="66">
        <f t="shared" si="0"/>
        <v>52</v>
      </c>
      <c r="B53" s="67">
        <v>45733</v>
      </c>
      <c r="C53" s="68" t="s">
        <v>8</v>
      </c>
      <c r="D53" s="68" t="s">
        <v>11</v>
      </c>
      <c r="E53" s="69" t="s">
        <v>1630</v>
      </c>
      <c r="F53" s="70" t="s">
        <v>1631</v>
      </c>
    </row>
    <row r="54" spans="1:6">
      <c r="A54" s="66">
        <f t="shared" si="0"/>
        <v>53</v>
      </c>
      <c r="B54" s="67">
        <v>45733</v>
      </c>
      <c r="C54" s="68" t="s">
        <v>8</v>
      </c>
      <c r="D54" s="68" t="s">
        <v>11</v>
      </c>
      <c r="E54" s="69" t="s">
        <v>1666</v>
      </c>
      <c r="F54" s="70" t="s">
        <v>1667</v>
      </c>
    </row>
    <row r="55" spans="1:6">
      <c r="A55" s="66">
        <f t="shared" si="0"/>
        <v>54</v>
      </c>
      <c r="B55" s="67">
        <v>45733</v>
      </c>
      <c r="C55" s="68" t="s">
        <v>8</v>
      </c>
      <c r="D55" s="68" t="s">
        <v>11</v>
      </c>
      <c r="E55" s="69" t="s">
        <v>1668</v>
      </c>
      <c r="F55" s="70" t="s">
        <v>1667</v>
      </c>
    </row>
    <row r="56" spans="1:6" ht="19.8">
      <c r="A56" s="72">
        <f t="shared" ref="A56:A110" si="1">ROW()-$G$1</f>
        <v>55</v>
      </c>
      <c r="B56" s="67">
        <v>45733</v>
      </c>
      <c r="C56" s="568" t="s">
        <v>8</v>
      </c>
      <c r="D56" s="68" t="s">
        <v>1778</v>
      </c>
      <c r="E56" s="69" t="s">
        <v>1779</v>
      </c>
      <c r="F56" s="70" t="s">
        <v>1780</v>
      </c>
    </row>
    <row r="57" spans="1:6">
      <c r="A57" s="66">
        <f t="shared" si="0"/>
        <v>56</v>
      </c>
      <c r="B57" s="67">
        <v>45733</v>
      </c>
      <c r="C57" s="68" t="s">
        <v>8</v>
      </c>
      <c r="D57" s="68" t="s">
        <v>15</v>
      </c>
      <c r="E57" s="69" t="s">
        <v>1681</v>
      </c>
      <c r="F57" s="70" t="s">
        <v>1682</v>
      </c>
    </row>
    <row r="58" spans="1:6">
      <c r="A58" s="66">
        <f t="shared" si="0"/>
        <v>57</v>
      </c>
      <c r="B58" s="67">
        <v>45733</v>
      </c>
      <c r="C58" s="68" t="s">
        <v>8</v>
      </c>
      <c r="D58" s="68" t="s">
        <v>15</v>
      </c>
      <c r="E58" s="69" t="s">
        <v>1697</v>
      </c>
      <c r="F58" s="70" t="s">
        <v>1698</v>
      </c>
    </row>
    <row r="59" spans="1:6">
      <c r="A59" s="66">
        <f t="shared" si="0"/>
        <v>58</v>
      </c>
      <c r="B59" s="67">
        <v>45733</v>
      </c>
      <c r="C59" s="68" t="s">
        <v>8</v>
      </c>
      <c r="D59" s="68" t="s">
        <v>15</v>
      </c>
      <c r="E59" s="69" t="s">
        <v>9</v>
      </c>
      <c r="F59" s="70" t="s">
        <v>1699</v>
      </c>
    </row>
    <row r="60" spans="1:6">
      <c r="A60" s="66">
        <f t="shared" si="0"/>
        <v>59</v>
      </c>
      <c r="B60" s="67">
        <v>45733</v>
      </c>
      <c r="C60" s="68" t="s">
        <v>8</v>
      </c>
      <c r="D60" s="68" t="s">
        <v>166</v>
      </c>
      <c r="E60" s="69" t="s">
        <v>1531</v>
      </c>
      <c r="F60" s="70" t="s">
        <v>1700</v>
      </c>
    </row>
    <row r="61" spans="1:6">
      <c r="A61" s="66">
        <f t="shared" si="0"/>
        <v>60</v>
      </c>
      <c r="B61" s="67">
        <v>45733</v>
      </c>
      <c r="C61" s="68" t="s">
        <v>8</v>
      </c>
      <c r="D61" s="68" t="s">
        <v>166</v>
      </c>
      <c r="E61" s="69" t="s">
        <v>1701</v>
      </c>
      <c r="F61" s="70" t="s">
        <v>1702</v>
      </c>
    </row>
    <row r="62" spans="1:6">
      <c r="A62" s="66">
        <f t="shared" si="0"/>
        <v>61</v>
      </c>
      <c r="B62" s="67">
        <v>45733</v>
      </c>
      <c r="C62" s="68" t="s">
        <v>8</v>
      </c>
      <c r="D62" s="68" t="s">
        <v>166</v>
      </c>
      <c r="E62" s="69" t="s">
        <v>1740</v>
      </c>
      <c r="F62" s="70" t="s">
        <v>1741</v>
      </c>
    </row>
    <row r="63" spans="1:6">
      <c r="A63" s="66">
        <f t="shared" si="0"/>
        <v>62</v>
      </c>
      <c r="B63" s="67">
        <v>45733</v>
      </c>
      <c r="C63" s="68" t="s">
        <v>8</v>
      </c>
      <c r="D63" s="68" t="s">
        <v>166</v>
      </c>
      <c r="E63" s="69" t="s">
        <v>1747</v>
      </c>
      <c r="F63" s="70" t="s">
        <v>1742</v>
      </c>
    </row>
    <row r="64" spans="1:6">
      <c r="A64" s="66">
        <f t="shared" si="0"/>
        <v>63</v>
      </c>
      <c r="B64" s="67">
        <v>45733</v>
      </c>
      <c r="C64" s="68" t="s">
        <v>8</v>
      </c>
      <c r="D64" s="68" t="s">
        <v>166</v>
      </c>
      <c r="E64" s="69" t="s">
        <v>1744</v>
      </c>
      <c r="F64" s="70" t="s">
        <v>1742</v>
      </c>
    </row>
    <row r="65" spans="1:6">
      <c r="A65" s="66">
        <f t="shared" si="0"/>
        <v>64</v>
      </c>
      <c r="B65" s="67">
        <v>45733</v>
      </c>
      <c r="C65" s="68" t="s">
        <v>8</v>
      </c>
      <c r="D65" s="68" t="s">
        <v>166</v>
      </c>
      <c r="E65" s="69" t="s">
        <v>1743</v>
      </c>
      <c r="F65" s="70" t="s">
        <v>1742</v>
      </c>
    </row>
    <row r="66" spans="1:6">
      <c r="A66" s="66">
        <f t="shared" si="0"/>
        <v>65</v>
      </c>
      <c r="B66" s="67">
        <v>45733</v>
      </c>
      <c r="C66" s="68" t="s">
        <v>8</v>
      </c>
      <c r="D66" s="68" t="s">
        <v>166</v>
      </c>
      <c r="E66" s="69" t="s">
        <v>1748</v>
      </c>
      <c r="F66" s="70" t="s">
        <v>1742</v>
      </c>
    </row>
    <row r="67" spans="1:6">
      <c r="A67" s="72">
        <f t="shared" si="0"/>
        <v>66</v>
      </c>
      <c r="B67" s="67">
        <v>45733</v>
      </c>
      <c r="C67" s="68" t="s">
        <v>8</v>
      </c>
      <c r="D67" s="68" t="s">
        <v>166</v>
      </c>
      <c r="E67" s="69" t="s">
        <v>9</v>
      </c>
      <c r="F67" s="70" t="s">
        <v>1699</v>
      </c>
    </row>
    <row r="68" spans="1:6">
      <c r="A68" s="72">
        <f t="shared" si="0"/>
        <v>67</v>
      </c>
      <c r="B68" s="67">
        <v>45733</v>
      </c>
      <c r="C68" s="68" t="s">
        <v>8</v>
      </c>
      <c r="D68" s="68" t="s">
        <v>1532</v>
      </c>
      <c r="E68" s="69" t="s">
        <v>1774</v>
      </c>
      <c r="F68" s="70" t="s">
        <v>1775</v>
      </c>
    </row>
    <row r="69" spans="1:6">
      <c r="A69" s="72">
        <f t="shared" si="1"/>
        <v>68</v>
      </c>
      <c r="B69" s="67">
        <v>45733</v>
      </c>
      <c r="C69" s="68" t="s">
        <v>8</v>
      </c>
      <c r="D69" s="68" t="s">
        <v>1532</v>
      </c>
      <c r="E69" s="69" t="s">
        <v>9</v>
      </c>
      <c r="F69" s="70" t="s">
        <v>1776</v>
      </c>
    </row>
    <row r="70" spans="1:6">
      <c r="A70" s="72">
        <f t="shared" si="1"/>
        <v>69</v>
      </c>
      <c r="B70" s="67">
        <v>45733</v>
      </c>
      <c r="C70" s="68" t="s">
        <v>8</v>
      </c>
      <c r="D70" s="68" t="s">
        <v>1535</v>
      </c>
      <c r="E70" s="69" t="s">
        <v>1774</v>
      </c>
      <c r="F70" s="70" t="s">
        <v>1775</v>
      </c>
    </row>
    <row r="71" spans="1:6">
      <c r="A71" s="72">
        <f t="shared" si="1"/>
        <v>70</v>
      </c>
      <c r="B71" s="67">
        <v>45733</v>
      </c>
      <c r="C71" s="68" t="s">
        <v>8</v>
      </c>
      <c r="D71" s="68" t="s">
        <v>1535</v>
      </c>
      <c r="E71" s="69" t="s">
        <v>9</v>
      </c>
      <c r="F71" s="70" t="s">
        <v>1776</v>
      </c>
    </row>
    <row r="72" spans="1:6" ht="19.8">
      <c r="A72" s="72">
        <f t="shared" si="1"/>
        <v>71</v>
      </c>
      <c r="B72" s="67">
        <v>45733</v>
      </c>
      <c r="C72" s="568" t="s">
        <v>8</v>
      </c>
      <c r="D72" s="68" t="s">
        <v>1565</v>
      </c>
      <c r="E72" s="69"/>
      <c r="F72" s="70" t="s">
        <v>1777</v>
      </c>
    </row>
    <row r="73" spans="1:6">
      <c r="A73" s="72">
        <f t="shared" si="1"/>
        <v>72</v>
      </c>
      <c r="B73" s="67">
        <v>45737</v>
      </c>
      <c r="C73" s="68" t="s">
        <v>1781</v>
      </c>
      <c r="D73" s="68" t="s">
        <v>1782</v>
      </c>
      <c r="E73" s="69" t="s">
        <v>9</v>
      </c>
      <c r="F73" s="70" t="s">
        <v>1783</v>
      </c>
    </row>
    <row r="74" spans="1:6" ht="19.8">
      <c r="A74" s="72">
        <f t="shared" si="1"/>
        <v>73</v>
      </c>
      <c r="B74" s="67">
        <v>45737</v>
      </c>
      <c r="C74" s="568" t="s">
        <v>8</v>
      </c>
      <c r="D74" s="279" t="s">
        <v>166</v>
      </c>
      <c r="E74" s="69"/>
      <c r="F74" s="70" t="s">
        <v>1796</v>
      </c>
    </row>
    <row r="75" spans="1:6">
      <c r="A75" s="66">
        <f t="shared" si="1"/>
        <v>74</v>
      </c>
      <c r="B75" s="569">
        <v>45743</v>
      </c>
      <c r="C75" s="570" t="s">
        <v>1797</v>
      </c>
      <c r="D75" s="570" t="s">
        <v>1798</v>
      </c>
      <c r="E75" s="571" t="s">
        <v>1799</v>
      </c>
      <c r="F75" s="572" t="s">
        <v>1800</v>
      </c>
    </row>
    <row r="76" spans="1:6">
      <c r="A76" s="66">
        <f t="shared" si="1"/>
        <v>75</v>
      </c>
      <c r="B76" s="569">
        <v>45743</v>
      </c>
      <c r="C76" s="570" t="s">
        <v>1797</v>
      </c>
      <c r="D76" s="570" t="s">
        <v>1801</v>
      </c>
      <c r="E76" s="571" t="s">
        <v>1802</v>
      </c>
      <c r="F76" s="572" t="s">
        <v>1803</v>
      </c>
    </row>
    <row r="77" spans="1:6">
      <c r="A77" s="66">
        <f t="shared" si="1"/>
        <v>76</v>
      </c>
      <c r="B77" s="569">
        <v>45743</v>
      </c>
      <c r="C77" s="570" t="s">
        <v>1797</v>
      </c>
      <c r="D77" s="570" t="s">
        <v>1804</v>
      </c>
      <c r="E77" s="571" t="s">
        <v>1805</v>
      </c>
      <c r="F77" s="572" t="s">
        <v>1806</v>
      </c>
    </row>
    <row r="78" spans="1:6">
      <c r="A78" s="66">
        <f t="shared" si="1"/>
        <v>77</v>
      </c>
      <c r="B78" s="569">
        <v>45743</v>
      </c>
      <c r="C78" s="570" t="s">
        <v>1797</v>
      </c>
      <c r="D78" s="570" t="s">
        <v>1801</v>
      </c>
      <c r="E78" s="571" t="s">
        <v>1807</v>
      </c>
      <c r="F78" s="572" t="s">
        <v>1808</v>
      </c>
    </row>
    <row r="79" spans="1:6">
      <c r="A79" s="66">
        <f t="shared" si="1"/>
        <v>78</v>
      </c>
      <c r="B79" s="569">
        <v>45743</v>
      </c>
      <c r="C79" s="570" t="s">
        <v>1797</v>
      </c>
      <c r="D79" s="570" t="s">
        <v>1801</v>
      </c>
      <c r="E79" s="571" t="s">
        <v>1810</v>
      </c>
      <c r="F79" s="572" t="s">
        <v>1811</v>
      </c>
    </row>
    <row r="80" spans="1:6">
      <c r="A80" s="66">
        <f t="shared" si="1"/>
        <v>79</v>
      </c>
      <c r="B80" s="569">
        <v>45743</v>
      </c>
      <c r="C80" s="570" t="s">
        <v>8</v>
      </c>
      <c r="D80" s="570" t="s">
        <v>1813</v>
      </c>
      <c r="E80" s="571" t="s">
        <v>1816</v>
      </c>
      <c r="F80" s="572" t="s">
        <v>1815</v>
      </c>
    </row>
    <row r="81" spans="1:6">
      <c r="A81" s="66">
        <f t="shared" si="1"/>
        <v>80</v>
      </c>
      <c r="B81" s="569">
        <v>45743</v>
      </c>
      <c r="C81" s="570" t="s">
        <v>8</v>
      </c>
      <c r="D81" s="570" t="s">
        <v>1813</v>
      </c>
      <c r="E81" s="571" t="s">
        <v>1817</v>
      </c>
      <c r="F81" s="572" t="s">
        <v>1814</v>
      </c>
    </row>
    <row r="82" spans="1:6" ht="36">
      <c r="A82" s="66">
        <f t="shared" si="1"/>
        <v>81</v>
      </c>
      <c r="B82" s="569">
        <v>45743</v>
      </c>
      <c r="C82" s="570" t="s">
        <v>8</v>
      </c>
      <c r="D82" s="570" t="s">
        <v>166</v>
      </c>
      <c r="E82" s="571" t="s">
        <v>1818</v>
      </c>
      <c r="F82" s="572" t="s">
        <v>1819</v>
      </c>
    </row>
    <row r="83" spans="1:6">
      <c r="A83" s="66">
        <f t="shared" si="1"/>
        <v>82</v>
      </c>
      <c r="B83" s="569">
        <v>45744</v>
      </c>
      <c r="C83" s="570" t="s">
        <v>8</v>
      </c>
      <c r="D83" s="570" t="s">
        <v>166</v>
      </c>
      <c r="E83" s="571" t="s">
        <v>1824</v>
      </c>
      <c r="F83" s="572" t="s">
        <v>1825</v>
      </c>
    </row>
    <row r="84" spans="1:6">
      <c r="A84" s="66">
        <f t="shared" si="1"/>
        <v>83</v>
      </c>
      <c r="B84" s="569">
        <v>45744</v>
      </c>
      <c r="C84" s="570" t="s">
        <v>8</v>
      </c>
      <c r="D84" s="570" t="s">
        <v>166</v>
      </c>
      <c r="E84" s="571" t="s">
        <v>1826</v>
      </c>
      <c r="F84" s="572" t="s">
        <v>1827</v>
      </c>
    </row>
    <row r="85" spans="1:6">
      <c r="A85" s="66">
        <f t="shared" si="1"/>
        <v>84</v>
      </c>
      <c r="B85" s="569">
        <v>45747</v>
      </c>
      <c r="C85" s="570" t="s">
        <v>8</v>
      </c>
      <c r="D85" s="570" t="s">
        <v>1834</v>
      </c>
      <c r="E85" s="571" t="s">
        <v>1835</v>
      </c>
      <c r="F85" s="572" t="s">
        <v>1836</v>
      </c>
    </row>
    <row r="86" spans="1:6">
      <c r="A86" s="66">
        <f t="shared" si="1"/>
        <v>85</v>
      </c>
      <c r="B86" s="569"/>
      <c r="C86" s="570"/>
      <c r="D86" s="570"/>
      <c r="E86" s="571"/>
      <c r="F86" s="572"/>
    </row>
    <row r="87" spans="1:6">
      <c r="A87" s="66">
        <f t="shared" si="1"/>
        <v>86</v>
      </c>
      <c r="B87" s="569"/>
      <c r="C87" s="570"/>
      <c r="D87" s="570"/>
      <c r="E87" s="571"/>
      <c r="F87" s="572"/>
    </row>
    <row r="88" spans="1:6">
      <c r="A88" s="66">
        <f t="shared" si="1"/>
        <v>87</v>
      </c>
      <c r="B88" s="569"/>
      <c r="C88" s="570"/>
      <c r="D88" s="570"/>
      <c r="E88" s="571"/>
      <c r="F88" s="572"/>
    </row>
    <row r="89" spans="1:6">
      <c r="A89" s="66">
        <f t="shared" si="1"/>
        <v>88</v>
      </c>
      <c r="B89" s="569"/>
      <c r="C89" s="570"/>
      <c r="D89" s="570"/>
      <c r="E89" s="571"/>
      <c r="F89" s="572"/>
    </row>
    <row r="90" spans="1:6">
      <c r="A90" s="66">
        <f t="shared" si="1"/>
        <v>89</v>
      </c>
      <c r="B90" s="67"/>
      <c r="C90" s="68"/>
      <c r="D90" s="73"/>
      <c r="E90" s="69"/>
      <c r="F90" s="70"/>
    </row>
    <row r="91" spans="1:6">
      <c r="A91" s="66">
        <f t="shared" si="1"/>
        <v>90</v>
      </c>
      <c r="B91" s="67"/>
      <c r="C91" s="68"/>
      <c r="D91" s="68"/>
      <c r="E91" s="69"/>
      <c r="F91" s="70"/>
    </row>
    <row r="92" spans="1:6">
      <c r="A92" s="66">
        <f t="shared" si="1"/>
        <v>91</v>
      </c>
      <c r="B92" s="67"/>
      <c r="C92" s="68"/>
      <c r="D92" s="68"/>
      <c r="E92" s="69"/>
      <c r="F92" s="70"/>
    </row>
    <row r="93" spans="1:6">
      <c r="A93" s="66">
        <f t="shared" si="1"/>
        <v>92</v>
      </c>
      <c r="B93" s="67"/>
      <c r="C93" s="68"/>
      <c r="D93" s="68"/>
      <c r="E93" s="69"/>
      <c r="F93" s="70"/>
    </row>
    <row r="94" spans="1:6">
      <c r="A94" s="66">
        <f t="shared" si="1"/>
        <v>93</v>
      </c>
      <c r="B94" s="67"/>
      <c r="C94" s="68"/>
      <c r="D94" s="68"/>
      <c r="E94" s="69"/>
      <c r="F94" s="70"/>
    </row>
    <row r="95" spans="1:6">
      <c r="A95" s="66">
        <f t="shared" si="1"/>
        <v>94</v>
      </c>
      <c r="B95" s="67"/>
      <c r="C95" s="68"/>
      <c r="D95" s="68"/>
      <c r="E95" s="69"/>
      <c r="F95" s="70"/>
    </row>
    <row r="96" spans="1:6">
      <c r="A96" s="66">
        <f t="shared" si="1"/>
        <v>95</v>
      </c>
      <c r="B96" s="67"/>
      <c r="C96" s="68"/>
      <c r="D96" s="68"/>
      <c r="E96" s="69"/>
      <c r="F96" s="70"/>
    </row>
    <row r="97" spans="1:6">
      <c r="A97" s="66">
        <f t="shared" si="1"/>
        <v>96</v>
      </c>
      <c r="B97" s="67"/>
      <c r="C97" s="68"/>
      <c r="D97" s="68"/>
      <c r="E97" s="69"/>
      <c r="F97" s="70"/>
    </row>
    <row r="98" spans="1:6">
      <c r="A98" s="66">
        <f t="shared" si="1"/>
        <v>97</v>
      </c>
      <c r="B98" s="67"/>
      <c r="C98" s="68"/>
      <c r="D98" s="68"/>
      <c r="E98" s="69"/>
      <c r="F98" s="70"/>
    </row>
    <row r="99" spans="1:6">
      <c r="A99" s="66">
        <f t="shared" si="1"/>
        <v>98</v>
      </c>
      <c r="B99" s="67"/>
      <c r="C99" s="68"/>
      <c r="D99" s="68"/>
      <c r="E99" s="69"/>
      <c r="F99" s="70"/>
    </row>
    <row r="100" spans="1:6">
      <c r="A100" s="66">
        <f t="shared" si="1"/>
        <v>99</v>
      </c>
      <c r="B100" s="67"/>
      <c r="C100" s="68"/>
      <c r="D100" s="68"/>
      <c r="E100" s="69"/>
      <c r="F100" s="70"/>
    </row>
    <row r="101" spans="1:6">
      <c r="A101" s="66">
        <f t="shared" si="1"/>
        <v>100</v>
      </c>
      <c r="B101" s="67"/>
      <c r="C101" s="68"/>
      <c r="D101" s="68"/>
      <c r="E101" s="69"/>
      <c r="F101" s="70"/>
    </row>
    <row r="102" spans="1:6">
      <c r="A102" s="66">
        <f t="shared" si="1"/>
        <v>101</v>
      </c>
      <c r="B102" s="67"/>
      <c r="C102" s="68"/>
      <c r="D102" s="68"/>
      <c r="E102" s="69"/>
      <c r="F102" s="70"/>
    </row>
    <row r="103" spans="1:6">
      <c r="A103" s="66">
        <f t="shared" si="1"/>
        <v>102</v>
      </c>
      <c r="B103" s="67"/>
      <c r="C103" s="68"/>
      <c r="D103" s="68"/>
      <c r="E103" s="69"/>
      <c r="F103" s="70"/>
    </row>
    <row r="104" spans="1:6">
      <c r="A104" s="66">
        <f t="shared" si="1"/>
        <v>103</v>
      </c>
      <c r="B104" s="67"/>
      <c r="C104" s="68"/>
      <c r="D104" s="68"/>
      <c r="E104" s="69"/>
      <c r="F104" s="70"/>
    </row>
    <row r="105" spans="1:6">
      <c r="A105" s="66">
        <f t="shared" si="1"/>
        <v>104</v>
      </c>
      <c r="B105" s="67"/>
      <c r="C105" s="68"/>
      <c r="D105" s="68"/>
      <c r="E105" s="69"/>
      <c r="F105" s="70"/>
    </row>
    <row r="106" spans="1:6">
      <c r="A106" s="66">
        <f t="shared" si="1"/>
        <v>105</v>
      </c>
      <c r="B106" s="67"/>
      <c r="C106" s="68"/>
      <c r="D106" s="68"/>
      <c r="E106" s="69"/>
      <c r="F106" s="70"/>
    </row>
    <row r="107" spans="1:6">
      <c r="A107" s="66">
        <f t="shared" si="1"/>
        <v>106</v>
      </c>
      <c r="B107" s="67"/>
      <c r="C107" s="68"/>
      <c r="D107" s="68"/>
      <c r="E107" s="69"/>
      <c r="F107" s="70"/>
    </row>
    <row r="108" spans="1:6">
      <c r="A108" s="66">
        <f t="shared" si="1"/>
        <v>107</v>
      </c>
      <c r="B108" s="67"/>
      <c r="C108" s="68"/>
      <c r="D108" s="68"/>
      <c r="E108" s="69"/>
      <c r="F108" s="70"/>
    </row>
    <row r="109" spans="1:6">
      <c r="A109" s="66">
        <f t="shared" si="1"/>
        <v>108</v>
      </c>
      <c r="B109" s="67"/>
      <c r="C109" s="68"/>
      <c r="D109" s="68"/>
      <c r="E109" s="69"/>
      <c r="F109" s="70"/>
    </row>
    <row r="110" spans="1:6">
      <c r="A110" s="66">
        <f t="shared" si="1"/>
        <v>109</v>
      </c>
      <c r="B110" s="67"/>
      <c r="C110" s="68"/>
      <c r="D110" s="68"/>
      <c r="E110" s="69"/>
      <c r="F110" s="70"/>
    </row>
  </sheetData>
  <autoFilter ref="A1:F33"/>
  <phoneticPr fontId="4"/>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2:VX16"/>
  <sheetViews>
    <sheetView workbookViewId="0"/>
  </sheetViews>
  <sheetFormatPr defaultColWidth="12.59765625" defaultRowHeight="18" customHeight="1"/>
  <cols>
    <col min="1" max="1" width="3.59765625" style="215" customWidth="1"/>
    <col min="2" max="3" width="15.5" style="215" customWidth="1"/>
    <col min="4" max="240" width="12.59765625" style="215"/>
    <col min="241" max="241" width="12.69921875" style="215" bestFit="1" customWidth="1"/>
    <col min="242" max="242" width="13.09765625" style="215" bestFit="1" customWidth="1"/>
    <col min="243" max="243" width="12.69921875" style="215" bestFit="1" customWidth="1"/>
    <col min="244" max="244" width="14.19921875" style="215" bestFit="1" customWidth="1"/>
    <col min="245" max="16384" width="12.59765625" style="215"/>
  </cols>
  <sheetData>
    <row r="2" spans="2:596" ht="18" customHeight="1">
      <c r="B2" s="214" t="s">
        <v>164</v>
      </c>
      <c r="C2" s="214"/>
    </row>
    <row r="3" spans="2:596" ht="18" customHeight="1">
      <c r="B3" s="214"/>
      <c r="C3" s="214"/>
    </row>
    <row r="4" spans="2:596" ht="18" customHeight="1">
      <c r="B4" s="216" t="s">
        <v>165</v>
      </c>
      <c r="C4" s="216" t="s">
        <v>15</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t="s">
        <v>166</v>
      </c>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c r="IW4" s="216"/>
      <c r="IX4" s="216"/>
      <c r="IY4" s="216"/>
      <c r="IZ4" s="216"/>
      <c r="JA4" s="216"/>
      <c r="JB4" s="216"/>
      <c r="JC4" s="216"/>
      <c r="JD4" s="216"/>
      <c r="JE4" s="216"/>
      <c r="JF4" s="216"/>
      <c r="JG4" s="216"/>
      <c r="JH4" s="216"/>
      <c r="JI4" s="216"/>
      <c r="JJ4" s="216"/>
      <c r="JK4" s="216"/>
      <c r="JL4" s="216"/>
      <c r="JM4" s="216"/>
      <c r="JN4" s="216"/>
      <c r="JO4" s="216"/>
      <c r="JP4" s="216"/>
      <c r="JQ4" s="216"/>
      <c r="JR4" s="216"/>
      <c r="JS4" s="216"/>
      <c r="JT4" s="216"/>
      <c r="JU4" s="216"/>
      <c r="JV4" s="216"/>
      <c r="JW4" s="216"/>
      <c r="JX4" s="216"/>
      <c r="JY4" s="216"/>
      <c r="JZ4" s="216"/>
      <c r="KA4" s="216"/>
      <c r="KB4" s="216"/>
      <c r="KC4" s="216"/>
      <c r="KD4" s="216"/>
      <c r="KE4" s="216"/>
      <c r="KF4" s="216"/>
      <c r="KG4" s="216"/>
      <c r="KH4" s="216"/>
      <c r="KI4" s="216"/>
      <c r="KJ4" s="216"/>
      <c r="KK4" s="216"/>
      <c r="KL4" s="216"/>
      <c r="KM4" s="216"/>
      <c r="KN4" s="216"/>
      <c r="KO4" s="216"/>
      <c r="KP4" s="216"/>
      <c r="KQ4" s="216"/>
      <c r="KR4" s="216"/>
      <c r="KS4" s="216"/>
      <c r="KT4" s="216"/>
      <c r="KU4" s="216"/>
      <c r="KV4" s="216"/>
      <c r="KW4" s="216"/>
      <c r="KX4" s="216"/>
      <c r="KY4" s="216"/>
      <c r="KZ4" s="216"/>
      <c r="LA4" s="216"/>
      <c r="LB4" s="216"/>
      <c r="LC4" s="216"/>
      <c r="LD4" s="216"/>
      <c r="LE4" s="216"/>
      <c r="LF4" s="216"/>
      <c r="LG4" s="216"/>
      <c r="LH4" s="216"/>
      <c r="LI4" s="216"/>
      <c r="LJ4" s="216"/>
      <c r="LK4" s="216"/>
      <c r="LL4" s="216"/>
      <c r="LM4" s="216"/>
      <c r="LN4" s="216"/>
      <c r="LO4" s="216"/>
      <c r="LP4" s="216"/>
      <c r="LQ4" s="216"/>
      <c r="LR4" s="216"/>
      <c r="LS4" s="216"/>
      <c r="LT4" s="216"/>
      <c r="LU4" s="216"/>
      <c r="LV4" s="216"/>
      <c r="LW4" s="216"/>
      <c r="LX4" s="216"/>
      <c r="LY4" s="216"/>
      <c r="LZ4" s="216"/>
      <c r="MA4" s="216"/>
      <c r="MB4" s="216"/>
      <c r="MC4" s="216"/>
      <c r="MD4" s="216"/>
      <c r="ME4" s="216"/>
      <c r="MF4" s="216"/>
      <c r="MG4" s="216"/>
      <c r="MH4" s="216"/>
      <c r="MI4" s="216"/>
      <c r="MJ4" s="216"/>
      <c r="MK4" s="216"/>
      <c r="ML4" s="216"/>
      <c r="MM4" s="216"/>
      <c r="MN4" s="216"/>
      <c r="MO4" s="216"/>
      <c r="MP4" s="216"/>
      <c r="MQ4" s="216"/>
      <c r="MR4" s="216"/>
      <c r="MS4" s="216"/>
      <c r="MT4" s="216"/>
      <c r="MU4" s="216"/>
      <c r="MV4" s="216"/>
      <c r="MW4" s="216"/>
      <c r="MX4" s="216"/>
      <c r="MY4" s="216"/>
      <c r="MZ4" s="216"/>
      <c r="NA4" s="216"/>
      <c r="NB4" s="216"/>
      <c r="NC4" s="216"/>
      <c r="ND4" s="216"/>
      <c r="NE4" s="216"/>
      <c r="NF4" s="216"/>
      <c r="NG4" s="216"/>
      <c r="NH4" s="216"/>
      <c r="NI4" s="216"/>
      <c r="NJ4" s="216"/>
      <c r="NK4" s="216"/>
      <c r="NL4" s="216"/>
      <c r="NM4" s="216"/>
      <c r="NN4" s="216"/>
      <c r="NO4" s="216"/>
      <c r="NP4" s="216"/>
      <c r="NQ4" s="216"/>
      <c r="NR4" s="216"/>
      <c r="NS4" s="216"/>
      <c r="NT4" s="216"/>
      <c r="NU4" s="216"/>
      <c r="NV4" s="216"/>
      <c r="NW4" s="216"/>
      <c r="NX4" s="216"/>
      <c r="NY4" s="216"/>
      <c r="NZ4" s="216"/>
      <c r="OA4" s="216"/>
      <c r="OB4" s="216"/>
      <c r="OC4" s="216"/>
      <c r="OD4" s="216"/>
      <c r="OE4" s="216"/>
      <c r="OF4" s="216"/>
      <c r="OG4" s="216"/>
      <c r="OH4" s="216"/>
      <c r="OI4" s="216"/>
      <c r="OJ4" s="216"/>
      <c r="OK4" s="216"/>
      <c r="OL4" s="216"/>
      <c r="OM4" s="216"/>
      <c r="ON4" s="216"/>
      <c r="OO4" s="216"/>
      <c r="OP4" s="216"/>
      <c r="OQ4" s="216"/>
      <c r="OR4" s="216"/>
      <c r="OS4" s="216"/>
      <c r="OT4" s="216"/>
      <c r="OU4" s="216"/>
      <c r="OV4" s="216"/>
      <c r="OW4" s="216"/>
      <c r="OX4" s="216"/>
      <c r="OY4" s="216"/>
      <c r="OZ4" s="216"/>
      <c r="PA4" s="216"/>
      <c r="PB4" s="216"/>
      <c r="PC4" s="216"/>
      <c r="PD4" s="216"/>
      <c r="PE4" s="216"/>
      <c r="PF4" s="216"/>
      <c r="PG4" s="216"/>
      <c r="PH4" s="216"/>
      <c r="PI4" s="216"/>
      <c r="PJ4" s="216"/>
      <c r="PK4" s="216"/>
      <c r="PL4" s="216"/>
      <c r="PM4" s="216"/>
      <c r="PN4" s="216"/>
      <c r="PO4" s="216"/>
      <c r="PP4" s="216"/>
      <c r="PQ4" s="216"/>
      <c r="PR4" s="216"/>
      <c r="PS4" s="216"/>
      <c r="PT4" s="216"/>
      <c r="PU4" s="216"/>
      <c r="PV4" s="216"/>
      <c r="PW4" s="216"/>
      <c r="PX4" s="216"/>
      <c r="PY4" s="216" t="s">
        <v>1554</v>
      </c>
      <c r="PZ4" s="216"/>
      <c r="QA4" s="216"/>
      <c r="QB4" s="216"/>
      <c r="QC4" s="216"/>
      <c r="QD4" s="216"/>
      <c r="QE4" s="216"/>
      <c r="QF4" s="216"/>
      <c r="QG4" s="216"/>
      <c r="QH4" s="216"/>
      <c r="QI4" s="216"/>
      <c r="QJ4" s="216"/>
      <c r="QK4" s="216"/>
      <c r="QL4" s="216"/>
      <c r="QM4" s="216"/>
      <c r="QN4" s="216"/>
      <c r="QO4" s="216"/>
      <c r="QP4" s="216"/>
      <c r="QQ4" s="216"/>
      <c r="QR4" s="216"/>
      <c r="QS4" s="216"/>
      <c r="QT4" s="216"/>
      <c r="QU4" s="216"/>
      <c r="QV4" s="216"/>
      <c r="QW4" s="216"/>
      <c r="QX4" s="216"/>
      <c r="QY4" s="216"/>
      <c r="QZ4" s="216"/>
      <c r="RA4" s="216"/>
      <c r="RB4" s="216"/>
      <c r="RC4" s="216"/>
      <c r="RD4" s="216"/>
      <c r="RE4" s="216"/>
      <c r="RF4" s="216"/>
      <c r="RG4" s="216"/>
      <c r="RH4" s="216"/>
      <c r="RI4" s="216"/>
      <c r="RJ4" s="216"/>
      <c r="RK4" s="216"/>
      <c r="RL4" s="216"/>
      <c r="RM4" s="216"/>
      <c r="RN4" s="216"/>
      <c r="RO4" s="216"/>
      <c r="RP4" s="216"/>
      <c r="RQ4" s="216"/>
      <c r="RR4" s="216"/>
      <c r="RS4" s="216"/>
      <c r="RT4" s="216"/>
      <c r="RU4" s="216"/>
      <c r="RV4" s="216"/>
      <c r="RW4" s="216"/>
      <c r="RX4" s="216"/>
      <c r="RY4" s="216"/>
      <c r="RZ4" s="216"/>
      <c r="SA4" s="216"/>
      <c r="SB4" s="216"/>
      <c r="SC4" s="216"/>
      <c r="SD4" s="216"/>
      <c r="SE4" s="216"/>
      <c r="SF4" s="216"/>
      <c r="SG4" s="216"/>
      <c r="SH4" s="216"/>
      <c r="SI4" s="216"/>
      <c r="SJ4" s="216"/>
      <c r="SK4" s="216"/>
      <c r="SL4" s="216"/>
      <c r="SM4" s="216"/>
      <c r="SN4" s="216"/>
      <c r="SO4" s="216"/>
      <c r="SP4" s="216"/>
      <c r="SQ4" s="216"/>
      <c r="SR4" s="216"/>
      <c r="SS4" s="216"/>
      <c r="ST4" s="216"/>
      <c r="SU4" s="216"/>
      <c r="SV4" s="216"/>
      <c r="SW4" s="216"/>
      <c r="SX4" s="216"/>
      <c r="SY4" s="216"/>
      <c r="SZ4" s="216"/>
      <c r="TA4" s="216"/>
      <c r="TB4" s="216"/>
      <c r="TC4" s="216"/>
      <c r="TD4" s="216"/>
      <c r="TE4" s="216"/>
      <c r="TF4" s="216"/>
      <c r="TG4" s="216"/>
      <c r="TH4" s="216"/>
      <c r="TI4" s="216"/>
      <c r="TJ4" s="216"/>
      <c r="TK4" s="216"/>
      <c r="TL4" s="216"/>
      <c r="TM4" s="216"/>
      <c r="TN4" s="216"/>
      <c r="TO4" s="216"/>
      <c r="TP4" s="216"/>
      <c r="TQ4" s="216"/>
      <c r="TR4" s="216"/>
      <c r="TS4" s="216"/>
      <c r="TT4" s="216"/>
      <c r="TU4" s="216"/>
      <c r="TV4" s="216"/>
      <c r="TW4" s="216"/>
      <c r="TX4" s="216"/>
      <c r="TY4" s="216"/>
      <c r="TZ4" s="216"/>
      <c r="UA4" s="216"/>
      <c r="UB4" s="216"/>
      <c r="UC4" s="216"/>
      <c r="UD4" s="216"/>
      <c r="UE4" s="216"/>
      <c r="UF4" s="216"/>
      <c r="UG4" s="216"/>
      <c r="UH4" s="216"/>
      <c r="UI4" s="216"/>
      <c r="UJ4" s="216"/>
      <c r="UK4" s="216"/>
      <c r="UL4" s="216"/>
      <c r="UM4" s="216"/>
      <c r="UN4" s="216"/>
      <c r="UO4" s="216"/>
      <c r="UP4" s="216"/>
      <c r="UQ4" s="216"/>
      <c r="UR4" s="216"/>
      <c r="US4" s="216"/>
      <c r="UT4" s="216"/>
      <c r="UU4" s="216"/>
      <c r="UV4" s="216"/>
      <c r="UW4" s="216"/>
      <c r="UX4" s="216"/>
      <c r="UY4" s="216"/>
      <c r="UZ4" s="216"/>
      <c r="VA4" s="216"/>
      <c r="VB4" s="216"/>
      <c r="VC4" s="216"/>
      <c r="VD4" s="216"/>
      <c r="VE4" s="216"/>
      <c r="VF4" s="216"/>
      <c r="VG4" s="216"/>
      <c r="VH4" s="216"/>
      <c r="VI4" s="216"/>
      <c r="VJ4" s="216"/>
      <c r="VK4" s="216"/>
      <c r="VL4" s="216"/>
      <c r="VM4" s="216"/>
      <c r="VN4" s="216"/>
      <c r="VO4" s="216"/>
      <c r="VP4" s="216"/>
      <c r="VQ4" s="216"/>
      <c r="VR4" s="216"/>
      <c r="VS4" s="216"/>
      <c r="VT4" s="216"/>
      <c r="VU4" s="216"/>
      <c r="VV4" s="216"/>
      <c r="VW4" s="216"/>
      <c r="VX4" s="216"/>
    </row>
    <row r="5" spans="2:596" s="218" customFormat="1" ht="18" customHeight="1">
      <c r="B5" s="217" t="s">
        <v>167</v>
      </c>
      <c r="C5" s="216" t="s">
        <v>168</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6" t="str">
        <f>'B1.入力_第1面'!B30</f>
        <v>２　事業の規模等</v>
      </c>
      <c r="AO5" s="216"/>
      <c r="AP5" s="216"/>
      <c r="AQ5" s="216"/>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6" t="str">
        <f>'B1.入力_第1面'!B38</f>
        <v>３　計画期間</v>
      </c>
      <c r="BU5" s="216"/>
      <c r="BV5" s="216"/>
      <c r="BW5" s="216"/>
      <c r="BX5" s="217"/>
      <c r="BY5" s="217"/>
      <c r="BZ5" s="217"/>
      <c r="CA5" s="217"/>
      <c r="CB5" s="217"/>
      <c r="CC5" s="217"/>
      <c r="CD5" s="217"/>
      <c r="CE5" s="217"/>
      <c r="CF5" s="217" t="str">
        <f>'B1.入力_第1面'!B42</f>
        <v>４　温室効果ガスの排出の量の削減を図るための基本方針</v>
      </c>
      <c r="CG5" s="217" t="str">
        <f>'B1.入力_第1面'!O42</f>
        <v>４　報告対象年度</v>
      </c>
      <c r="CH5" s="217"/>
      <c r="CI5" s="217"/>
      <c r="CJ5" s="217" t="s">
        <v>1547</v>
      </c>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6" t="str">
        <f>'B2.入力_第2~4面'!B53</f>
        <v>５－２　温室効果ガスの排出の量の削減を図るための対策に係る事項（自動車に関する計画）</v>
      </c>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6" t="str">
        <f>'B2.入力_第2~4面'!B85</f>
        <v>６－１　エネルギーの使用の合理化に係る事項（工場等に関する計画）</v>
      </c>
      <c r="KK5" s="217"/>
      <c r="KL5" s="217"/>
      <c r="KM5" s="217"/>
      <c r="KN5" s="217"/>
      <c r="KO5" s="217"/>
      <c r="KP5" s="217"/>
      <c r="KQ5" s="217"/>
      <c r="KR5" s="217"/>
      <c r="KS5" s="217"/>
      <c r="KT5" s="217"/>
      <c r="KU5" s="217"/>
      <c r="KV5" s="217"/>
      <c r="KW5" s="217"/>
      <c r="KX5" s="217"/>
      <c r="KY5" s="217"/>
      <c r="KZ5" s="217"/>
      <c r="LA5" s="217"/>
      <c r="LB5" s="216" t="str">
        <f>'B2.入力_第2~4面'!B100</f>
        <v>６－２　エネルギーの使用の合理化に係る事項（自動車に関する計画）</v>
      </c>
      <c r="LC5" s="217"/>
      <c r="LD5" s="217"/>
      <c r="LE5" s="217"/>
      <c r="LF5" s="217"/>
      <c r="LG5" s="217"/>
      <c r="LH5" s="217"/>
      <c r="LI5" s="217"/>
      <c r="LJ5" s="217"/>
      <c r="LK5" s="217"/>
      <c r="LL5" s="217"/>
      <c r="LM5" s="217"/>
      <c r="LN5" s="217"/>
      <c r="LO5" s="217"/>
      <c r="LP5" s="217"/>
      <c r="LQ5" s="217"/>
      <c r="LR5" s="217"/>
      <c r="LS5" s="217"/>
      <c r="LT5" s="216" t="str">
        <f>'B2.入力_第2~4面'!B115</f>
        <v>７－１　再生可能エネルギー等の利用又は導入に係る事項（工場等に関する計画）</v>
      </c>
      <c r="LU5" s="217"/>
      <c r="LV5" s="217"/>
      <c r="LW5" s="217"/>
      <c r="LX5" s="217"/>
      <c r="LY5" s="216" t="str">
        <f>'B2.入力_第2~4面'!B123</f>
        <v>７－２　再生可能エネルギー等の利用又は導入に係る事項（自動車に関する計画）</v>
      </c>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6" t="str">
        <f>'B2.入力_第2~4面'!B140</f>
        <v>８　2050年までの脱炭素社会の実現に寄与する中長期的な取組に係る事項</v>
      </c>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c r="OK5" s="217"/>
      <c r="OL5" s="217"/>
      <c r="OM5" s="217"/>
      <c r="ON5" s="217"/>
      <c r="OO5" s="217"/>
      <c r="OP5" s="217"/>
      <c r="OQ5" s="217"/>
      <c r="OR5" s="217"/>
      <c r="OS5" s="217"/>
      <c r="OT5" s="217"/>
      <c r="OU5" s="217"/>
      <c r="OV5" s="217"/>
      <c r="OW5" s="217"/>
      <c r="OX5" s="217"/>
      <c r="OY5" s="217"/>
      <c r="OZ5" s="217"/>
      <c r="PA5" s="217"/>
      <c r="PB5" s="217"/>
      <c r="PC5" s="217"/>
      <c r="PD5" s="217"/>
      <c r="PE5" s="217"/>
      <c r="PF5" s="217"/>
      <c r="PG5" s="217"/>
      <c r="PH5" s="217"/>
      <c r="PI5" s="217"/>
      <c r="PJ5" s="217"/>
      <c r="PK5" s="217"/>
      <c r="PL5" s="217"/>
      <c r="PM5" s="217"/>
      <c r="PN5" s="217"/>
      <c r="PO5" s="216" t="str">
        <f>'B2.入力_第2~4面'!B180</f>
        <v>９　地域の地球温暖化対策の推進への貢献に係る事項</v>
      </c>
      <c r="PP5" s="217"/>
      <c r="PQ5" s="217"/>
      <c r="PR5" s="217"/>
      <c r="PS5" s="217"/>
      <c r="PT5" s="217"/>
      <c r="PU5" s="217"/>
      <c r="PV5" s="217"/>
      <c r="PW5" s="217"/>
      <c r="PX5" s="217"/>
      <c r="PY5" s="216" t="str">
        <f>参考1_評価結果!J7</f>
        <v>報告（第１年度）</v>
      </c>
      <c r="PZ5" s="217"/>
      <c r="QA5" s="217"/>
      <c r="QB5" s="217"/>
      <c r="QC5" s="217"/>
      <c r="QD5" s="217"/>
      <c r="QE5" s="217"/>
      <c r="QF5" s="217"/>
      <c r="QG5" s="217"/>
      <c r="QH5" s="217"/>
      <c r="QI5" s="217"/>
      <c r="QJ5" s="217"/>
      <c r="QK5" s="217"/>
      <c r="QL5" s="217"/>
      <c r="QM5" s="217"/>
      <c r="QN5" s="217"/>
      <c r="QO5" s="217"/>
      <c r="QP5" s="217"/>
      <c r="QQ5" s="217"/>
      <c r="QR5" s="217"/>
      <c r="QS5" s="217"/>
      <c r="QT5" s="217"/>
      <c r="QU5" s="217"/>
      <c r="QV5" s="217"/>
      <c r="QW5" s="217"/>
      <c r="QX5" s="217"/>
      <c r="QY5" s="217"/>
      <c r="QZ5" s="217"/>
      <c r="RA5" s="217"/>
      <c r="RB5" s="217"/>
      <c r="RC5" s="217"/>
      <c r="RD5" s="217"/>
      <c r="RE5" s="217"/>
      <c r="RF5" s="217"/>
      <c r="RG5" s="217"/>
      <c r="RH5" s="217"/>
      <c r="RI5" s="217"/>
      <c r="RJ5" s="217"/>
      <c r="RK5" s="217"/>
      <c r="RL5" s="217"/>
      <c r="RM5" s="217"/>
      <c r="RN5" s="217"/>
      <c r="RO5" s="217"/>
      <c r="RP5" s="217"/>
      <c r="RQ5" s="217"/>
      <c r="RR5" s="217"/>
      <c r="RS5" s="217"/>
      <c r="RT5" s="217"/>
      <c r="RU5" s="217"/>
      <c r="RV5" s="217"/>
      <c r="RW5" s="217"/>
      <c r="RX5" s="217"/>
      <c r="RY5" s="216" t="str">
        <f>参考1_評価結果!P7</f>
        <v>報告（第２年度）</v>
      </c>
      <c r="RZ5" s="217"/>
      <c r="SA5" s="217"/>
      <c r="SB5" s="217"/>
      <c r="SC5" s="217"/>
      <c r="SD5" s="217"/>
      <c r="SE5" s="217"/>
      <c r="SF5" s="217"/>
      <c r="SG5" s="217"/>
      <c r="SH5" s="217"/>
      <c r="SI5" s="217"/>
      <c r="SJ5" s="217"/>
      <c r="SK5" s="217"/>
      <c r="SL5" s="217"/>
      <c r="SM5" s="217"/>
      <c r="SN5" s="217"/>
      <c r="SO5" s="217"/>
      <c r="SP5" s="217"/>
      <c r="SQ5" s="217"/>
      <c r="SR5" s="217"/>
      <c r="SS5" s="217"/>
      <c r="ST5" s="217"/>
      <c r="SU5" s="217"/>
      <c r="SV5" s="217"/>
      <c r="SW5" s="217"/>
      <c r="SX5" s="217"/>
      <c r="SY5" s="217"/>
      <c r="SZ5" s="217"/>
      <c r="TA5" s="217"/>
      <c r="TB5" s="217"/>
      <c r="TC5" s="217"/>
      <c r="TD5" s="217"/>
      <c r="TE5" s="217"/>
      <c r="TF5" s="217"/>
      <c r="TG5" s="217"/>
      <c r="TH5" s="217"/>
      <c r="TI5" s="217"/>
      <c r="TJ5" s="217"/>
      <c r="TK5" s="217"/>
      <c r="TL5" s="217"/>
      <c r="TM5" s="217"/>
      <c r="TN5" s="217"/>
      <c r="TO5" s="217"/>
      <c r="TP5" s="217"/>
      <c r="TQ5" s="217"/>
      <c r="TR5" s="217"/>
      <c r="TS5" s="217"/>
      <c r="TT5" s="217"/>
      <c r="TU5" s="217"/>
      <c r="TV5" s="217"/>
      <c r="TW5" s="217"/>
      <c r="TX5" s="217"/>
      <c r="TY5" s="216" t="str">
        <f>参考1_評価結果!V7</f>
        <v>報告（第３年度）</v>
      </c>
      <c r="TZ5" s="217"/>
      <c r="UA5" s="217"/>
      <c r="UB5" s="217"/>
      <c r="UC5" s="217"/>
      <c r="UD5" s="217"/>
      <c r="UE5" s="217"/>
      <c r="UF5" s="217"/>
      <c r="UG5" s="217"/>
      <c r="UH5" s="217"/>
      <c r="UI5" s="217"/>
      <c r="UJ5" s="217"/>
      <c r="UK5" s="217"/>
      <c r="UL5" s="217"/>
      <c r="UM5" s="217"/>
      <c r="UN5" s="217"/>
      <c r="UO5" s="217"/>
      <c r="UP5" s="217"/>
      <c r="UQ5" s="217"/>
      <c r="UR5" s="217"/>
      <c r="US5" s="217"/>
      <c r="UT5" s="217"/>
      <c r="UU5" s="217"/>
      <c r="UV5" s="217"/>
      <c r="UW5" s="217"/>
      <c r="UX5" s="217"/>
      <c r="UY5" s="217"/>
      <c r="UZ5" s="217"/>
      <c r="VA5" s="217"/>
      <c r="VB5" s="217"/>
      <c r="VC5" s="217"/>
      <c r="VD5" s="217"/>
      <c r="VE5" s="217"/>
      <c r="VF5" s="217"/>
      <c r="VG5" s="217"/>
      <c r="VH5" s="217"/>
      <c r="VI5" s="217"/>
      <c r="VJ5" s="217"/>
      <c r="VK5" s="217"/>
      <c r="VL5" s="217"/>
      <c r="VM5" s="217"/>
      <c r="VN5" s="217"/>
      <c r="VO5" s="217"/>
      <c r="VP5" s="217"/>
      <c r="VQ5" s="217"/>
      <c r="VR5" s="217"/>
      <c r="VS5" s="217"/>
      <c r="VT5" s="217"/>
      <c r="VU5" s="217"/>
      <c r="VV5" s="217"/>
      <c r="VW5" s="217"/>
      <c r="VX5" s="217"/>
    </row>
    <row r="6" spans="2:596" s="218" customFormat="1" ht="42" customHeight="1">
      <c r="B6" s="217" t="s">
        <v>167</v>
      </c>
      <c r="C6" s="216" t="str">
        <f>'B1.入力_第1面'!B20</f>
        <v>事業者の氏名
又は名称</v>
      </c>
      <c r="H6" s="217"/>
      <c r="I6" s="217"/>
      <c r="J6" s="217"/>
      <c r="K6" s="217"/>
      <c r="L6" s="217"/>
      <c r="M6" s="217"/>
      <c r="N6" s="217"/>
      <c r="O6" s="217"/>
      <c r="P6" s="217" t="str">
        <f>'B1.入力_第1面'!B22</f>
        <v>事業者の住所又は主たる事務所の所在地</v>
      </c>
      <c r="Q6" s="217"/>
      <c r="R6" s="217"/>
      <c r="S6" s="217"/>
      <c r="T6" s="216" t="str">
        <f>'B1.入力_第1面'!B23</f>
        <v>計画の区分等</v>
      </c>
      <c r="U6" s="216"/>
      <c r="V6" s="216"/>
      <c r="W6" s="216"/>
      <c r="X6" s="217"/>
      <c r="Y6" s="217"/>
      <c r="Z6" s="217"/>
      <c r="AA6" s="217"/>
      <c r="AB6" s="217"/>
      <c r="AC6" s="217"/>
      <c r="AD6" s="217"/>
      <c r="AE6" s="217"/>
      <c r="AF6" s="216" t="str">
        <f>'B1.入力_第1面'!B26</f>
        <v>主たる事業の業種</v>
      </c>
      <c r="AG6" s="216"/>
      <c r="AH6" s="216"/>
      <c r="AI6" s="216"/>
      <c r="AJ6" s="217"/>
      <c r="AK6" s="217"/>
      <c r="AL6" s="217"/>
      <c r="AM6" s="217"/>
      <c r="AN6" s="216" t="str">
        <f>'B1.入力_第1面'!B32</f>
        <v>原油換算エネルギー
使用量の合計量</v>
      </c>
      <c r="AO6" s="216"/>
      <c r="AP6" s="216"/>
      <c r="AQ6" s="216"/>
      <c r="AR6" s="217"/>
      <c r="AS6" s="217"/>
      <c r="AT6" s="217"/>
      <c r="AU6" s="217"/>
      <c r="AV6" s="217"/>
      <c r="AW6" s="217"/>
      <c r="AX6" s="217"/>
      <c r="AY6" s="217"/>
      <c r="AZ6" s="217"/>
      <c r="BA6" s="217"/>
      <c r="BB6" s="217"/>
      <c r="BC6" s="217"/>
      <c r="BD6" s="216" t="str">
        <f>'B1.入力_第1面'!B34</f>
        <v>対象自動車
の使用台数</v>
      </c>
      <c r="BE6" s="216"/>
      <c r="BF6" s="216"/>
      <c r="BG6" s="216"/>
      <c r="BH6" s="217"/>
      <c r="BI6" s="217"/>
      <c r="BJ6" s="217"/>
      <c r="BK6" s="217"/>
      <c r="BL6" s="217"/>
      <c r="BM6" s="217"/>
      <c r="BN6" s="217"/>
      <c r="BO6" s="217"/>
      <c r="BP6" s="217"/>
      <c r="BQ6" s="217"/>
      <c r="BR6" s="217"/>
      <c r="BS6" s="217"/>
      <c r="BT6" s="217" t="str">
        <f>'B1.入力_第1面'!B39</f>
        <v>計画期間</v>
      </c>
      <c r="BU6" s="217"/>
      <c r="BV6" s="217"/>
      <c r="BW6" s="217"/>
      <c r="BX6" s="217"/>
      <c r="BY6" s="217"/>
      <c r="BZ6" s="217"/>
      <c r="CA6" s="217"/>
      <c r="CB6" s="217"/>
      <c r="CC6" s="217"/>
      <c r="CD6" s="217"/>
      <c r="CE6" s="217"/>
      <c r="CF6" s="217"/>
      <c r="CG6" s="217"/>
      <c r="CH6" s="217"/>
      <c r="CI6" s="217"/>
      <c r="CJ6" s="216" t="s">
        <v>169</v>
      </c>
      <c r="CK6" s="217"/>
      <c r="CL6" s="217"/>
      <c r="CM6" s="217"/>
      <c r="CN6" s="217"/>
      <c r="CO6" s="217"/>
      <c r="CP6" s="217"/>
      <c r="CQ6" s="217"/>
      <c r="CR6" s="217"/>
      <c r="CS6" s="216" t="str">
        <f>'B2.入力_第2~4面'!B17</f>
        <v>(２)　エネルギー起源二酸化炭素の排出の量の削減目標及び排出の状況</v>
      </c>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6" t="str">
        <f>'B2.入力_第2~4面'!B29</f>
        <v>(３)　温室効果ガスの排出の量の削減を図るための主な対策</v>
      </c>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t="str">
        <f>'B2.入力_第2~4面'!B38</f>
        <v>(４)　エネルギー管理指定工場等におけるエネルギー起源二酸化炭素の排出の状況（基礎排出量）</v>
      </c>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6" t="str">
        <f>'B2.入力_第2~4面'!B55</f>
        <v>(１)　基準年度の前年度等におけるエネルギー起源二酸化炭素の排出の量</v>
      </c>
      <c r="HO6" s="217"/>
      <c r="HP6" s="217"/>
      <c r="HQ6" s="217"/>
      <c r="HR6" s="217"/>
      <c r="HS6" s="217"/>
      <c r="HT6" s="217"/>
      <c r="HU6" s="217"/>
      <c r="HV6" s="217"/>
      <c r="HW6" s="216" t="str">
        <f>'B2.入力_第2~4面'!B63</f>
        <v>(２)　エネルギー起源二酸化炭素の排出の量の削減目標及び排出の状況</v>
      </c>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c r="JA6" s="217"/>
      <c r="JB6" s="217"/>
      <c r="JC6" s="217"/>
      <c r="JD6" s="217"/>
      <c r="JE6" s="217"/>
      <c r="JF6" s="217"/>
      <c r="JG6" s="217"/>
      <c r="JH6" s="217"/>
      <c r="JI6" s="217"/>
      <c r="JJ6" s="217"/>
      <c r="JK6" s="216" t="str">
        <f>'B2.入力_第2~4面'!B75</f>
        <v>(３)　温室効果ガスの排出の量の削減を図るための主な対策</v>
      </c>
      <c r="JL6" s="217"/>
      <c r="JM6" s="217"/>
      <c r="JN6" s="217"/>
      <c r="JO6" s="217"/>
      <c r="JP6" s="217"/>
      <c r="JQ6" s="217"/>
      <c r="JR6" s="217"/>
      <c r="JS6" s="217"/>
      <c r="JT6" s="217"/>
      <c r="JU6" s="217"/>
      <c r="JV6" s="217"/>
      <c r="JW6" s="217"/>
      <c r="JX6" s="217"/>
      <c r="JY6" s="217"/>
      <c r="JZ6" s="217"/>
      <c r="KA6" s="217"/>
      <c r="KB6" s="217"/>
      <c r="KC6" s="217"/>
      <c r="KD6" s="217"/>
      <c r="KE6" s="217"/>
      <c r="KF6" s="217"/>
      <c r="KG6" s="217"/>
      <c r="KH6" s="217"/>
      <c r="KI6" s="217"/>
      <c r="KJ6" s="216" t="str">
        <f>'B2.入力_第2~4面'!B87</f>
        <v>(１)　エネルギー消費原単位の指標</v>
      </c>
      <c r="KK6" s="217"/>
      <c r="KL6" s="217"/>
      <c r="KM6" s="216" t="str">
        <f>'B2.入力_第2~4面'!B92</f>
        <v>(２)　エネルギー消費原単位の改善目標標及び改善の状況</v>
      </c>
      <c r="KN6" s="217"/>
      <c r="KO6" s="217"/>
      <c r="KP6" s="217"/>
      <c r="KQ6" s="217"/>
      <c r="KR6" s="217"/>
      <c r="KS6" s="217"/>
      <c r="KT6" s="217"/>
      <c r="KU6" s="217"/>
      <c r="KV6" s="217"/>
      <c r="KW6" s="217"/>
      <c r="KX6" s="217"/>
      <c r="KY6" s="217"/>
      <c r="KZ6" s="217"/>
      <c r="LA6" s="217"/>
      <c r="LB6" s="216" t="str">
        <f>'B2.入力_第2~4面'!B102</f>
        <v>(１)　エネルギー消費原単位の指標</v>
      </c>
      <c r="LC6" s="217"/>
      <c r="LD6" s="217"/>
      <c r="LE6" s="216" t="str">
        <f>'B2.入力_第2~4面'!B107</f>
        <v>(２)　エネルギー消費原単位の改善目標標及び改善の状況</v>
      </c>
      <c r="LF6" s="217"/>
      <c r="LG6" s="217"/>
      <c r="LH6" s="217"/>
      <c r="LI6" s="217"/>
      <c r="LJ6" s="217"/>
      <c r="LK6" s="217"/>
      <c r="LL6" s="217"/>
      <c r="LM6" s="217"/>
      <c r="LN6" s="217"/>
      <c r="LO6" s="217"/>
      <c r="LP6" s="217"/>
      <c r="LQ6" s="217"/>
      <c r="LR6" s="217"/>
      <c r="LS6" s="217"/>
      <c r="LT6" s="216" t="str">
        <f>'B2.入力_第2~4面'!B117</f>
        <v>(１)　工場等における使用電力量に占める再生可能エネルギー由来の電力量等の割合</v>
      </c>
      <c r="LU6" s="217"/>
      <c r="LV6" s="217"/>
      <c r="LW6" s="217"/>
      <c r="LX6" s="217"/>
      <c r="LY6" s="216" t="str">
        <f>'B2.入力_第2~4面'!B125</f>
        <v>(１)　乗用自動車における電気自動車及び燃料電池自動車の導入状況（対象年度末時点）</v>
      </c>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6" t="str">
        <f>'B2.入力_第2~4面'!B134</f>
        <v>(２)　バス及び貨物自動車における電気自動車及び燃料電池自動車の導入状況（対象年度末時点）</v>
      </c>
      <c r="MY6" s="217"/>
      <c r="MZ6" s="217"/>
      <c r="NA6" s="217"/>
      <c r="NB6" s="217"/>
      <c r="NC6" s="216" t="str">
        <f>'B2.入力_第2~4面'!B142</f>
        <v>(１)　2050年までの脱炭素化の表明（対象年度末時点）</v>
      </c>
      <c r="ND6" s="217"/>
      <c r="NE6" s="217"/>
      <c r="NF6" s="217"/>
      <c r="NG6" s="217"/>
      <c r="NH6" s="217"/>
      <c r="NI6" s="217"/>
      <c r="NJ6" s="217"/>
      <c r="NK6" s="217"/>
      <c r="NL6" s="217"/>
      <c r="NM6" s="217"/>
      <c r="NN6" s="217"/>
      <c r="NO6" s="217"/>
      <c r="NP6" s="217"/>
      <c r="NQ6" s="216" t="str">
        <f>'B2.入力_第2~4面'!B152</f>
        <v>(２)　2050年までの脱炭素化を前提とした中長期計画の策定及び公表（対象年度末時点）（任意）</v>
      </c>
      <c r="NR6" s="217"/>
      <c r="NS6" s="217"/>
      <c r="NT6" s="217"/>
      <c r="NU6" s="217"/>
      <c r="NV6" s="217"/>
      <c r="NW6" s="217"/>
      <c r="NX6" s="217"/>
      <c r="NY6" s="217"/>
      <c r="NZ6" s="216" t="str">
        <f>'B2.入力_第2~4面'!B161</f>
        <v>(３)　SBT等イニシアティブに関する取組（対象年度末時点）（任意）</v>
      </c>
      <c r="OA6" s="217"/>
      <c r="OB6" s="217"/>
      <c r="OC6" s="217"/>
      <c r="OD6" s="217"/>
      <c r="OE6" s="217"/>
      <c r="OF6" s="217"/>
      <c r="OG6" s="217"/>
      <c r="OH6" s="217"/>
      <c r="OI6" s="217"/>
      <c r="OJ6" s="217"/>
      <c r="OK6" s="217"/>
      <c r="OL6" s="217"/>
      <c r="OM6" s="217"/>
      <c r="ON6" s="217"/>
      <c r="OO6" s="217"/>
      <c r="OP6" s="217"/>
      <c r="OQ6" s="217"/>
      <c r="OR6" s="217"/>
      <c r="OS6" s="217"/>
      <c r="OT6" s="216" t="str">
        <f>'B2.入力_第2~4面'!B169</f>
        <v>(４)　サプライチェーン全体での削減の取組（任意）</v>
      </c>
      <c r="OU6" s="217"/>
      <c r="OV6" s="217"/>
      <c r="OW6" s="217"/>
      <c r="OX6" s="217"/>
      <c r="OY6" s="217"/>
      <c r="OZ6" s="217"/>
      <c r="PA6" s="217"/>
      <c r="PB6" s="217"/>
      <c r="PC6" s="217"/>
      <c r="PD6" s="217"/>
      <c r="PE6" s="217"/>
      <c r="PF6" s="217"/>
      <c r="PG6" s="217"/>
      <c r="PH6" s="217"/>
      <c r="PI6" s="217"/>
      <c r="PJ6" s="217"/>
      <c r="PK6" s="217"/>
      <c r="PL6" s="217"/>
      <c r="PM6" s="217"/>
      <c r="PN6" s="217"/>
      <c r="PO6" s="217" t="str">
        <f>'B2.入力_第2~4面'!B183</f>
        <v>取組の有無</v>
      </c>
      <c r="PP6" s="217"/>
      <c r="PQ6" s="217"/>
      <c r="PR6" s="217"/>
      <c r="PS6" s="217"/>
      <c r="PT6" s="217" t="str">
        <f>'B2.入力_第2~4面'!B184</f>
        <v>取組の内容</v>
      </c>
      <c r="PU6" s="217"/>
      <c r="PV6" s="217"/>
      <c r="PW6" s="217"/>
      <c r="PX6" s="217"/>
      <c r="PY6" s="218" t="str">
        <f>参考1_評価結果!K9</f>
        <v>産業</v>
      </c>
      <c r="PZ6" s="217"/>
      <c r="QA6" s="217"/>
      <c r="QB6" s="217"/>
      <c r="QC6" s="217"/>
      <c r="QD6" s="217"/>
      <c r="QE6" s="217"/>
      <c r="QF6" s="217"/>
      <c r="QG6" s="217"/>
      <c r="QH6" s="217"/>
      <c r="QI6" s="217"/>
      <c r="QJ6" s="217"/>
      <c r="QK6" s="217"/>
      <c r="QL6" s="217"/>
      <c r="QM6" s="217"/>
      <c r="QN6" s="217" t="str">
        <f>参考1_評価結果!L9</f>
        <v>業務</v>
      </c>
      <c r="QO6" s="217"/>
      <c r="QP6" s="217"/>
      <c r="QQ6" s="217"/>
      <c r="QR6" s="217"/>
      <c r="QS6" s="217"/>
      <c r="QT6" s="217"/>
      <c r="QU6" s="217"/>
      <c r="QV6" s="217"/>
      <c r="QW6" s="217"/>
      <c r="QX6" s="217"/>
      <c r="QY6" s="217"/>
      <c r="QZ6" s="217"/>
      <c r="RA6" s="217"/>
      <c r="RB6" s="217"/>
      <c r="RC6" s="216" t="s">
        <v>170</v>
      </c>
      <c r="RD6" s="217"/>
      <c r="RE6" s="217"/>
      <c r="RF6" s="217" t="str">
        <f>参考1_評価結果!K4</f>
        <v>運輸</v>
      </c>
      <c r="RG6" s="217"/>
      <c r="RH6" s="217"/>
      <c r="RI6" s="217"/>
      <c r="RJ6" s="217"/>
      <c r="RK6" s="217"/>
      <c r="RL6" s="217"/>
      <c r="RM6" s="217"/>
      <c r="RN6" s="217"/>
      <c r="RO6" s="217"/>
      <c r="RP6" s="217"/>
      <c r="RQ6" s="217"/>
      <c r="RR6" s="217"/>
      <c r="RS6" s="217"/>
      <c r="RT6" s="217"/>
      <c r="RU6" s="217"/>
      <c r="RV6" s="217" t="s">
        <v>171</v>
      </c>
      <c r="RW6" s="217"/>
      <c r="RX6" s="217"/>
      <c r="RY6" s="217" t="str">
        <f>参考1_評価結果!Q9</f>
        <v>産業</v>
      </c>
      <c r="RZ6" s="217"/>
      <c r="SA6" s="217"/>
      <c r="SB6" s="217"/>
      <c r="SC6" s="217"/>
      <c r="SD6" s="217"/>
      <c r="SE6" s="217"/>
      <c r="SF6" s="217"/>
      <c r="SG6" s="217"/>
      <c r="SH6" s="217"/>
      <c r="SI6" s="217"/>
      <c r="SJ6" s="217"/>
      <c r="SK6" s="217"/>
      <c r="SL6" s="217"/>
      <c r="SM6" s="217"/>
      <c r="SN6" s="217" t="str">
        <f>参考1_評価結果!R9</f>
        <v>業務</v>
      </c>
      <c r="SO6" s="217"/>
      <c r="SP6" s="217"/>
      <c r="SQ6" s="217"/>
      <c r="SR6" s="217"/>
      <c r="SS6" s="217"/>
      <c r="ST6" s="217"/>
      <c r="SU6" s="217"/>
      <c r="SV6" s="217"/>
      <c r="SW6" s="217"/>
      <c r="SX6" s="217"/>
      <c r="SY6" s="217"/>
      <c r="SZ6" s="217"/>
      <c r="TA6" s="217"/>
      <c r="TB6" s="217"/>
      <c r="TC6" s="216" t="s">
        <v>170</v>
      </c>
      <c r="TD6" s="217"/>
      <c r="TE6" s="217"/>
      <c r="TF6" s="218" t="str">
        <f>参考1_評価結果!K4</f>
        <v>運輸</v>
      </c>
      <c r="TV6" s="216" t="s">
        <v>172</v>
      </c>
      <c r="TW6" s="217"/>
      <c r="TX6" s="217"/>
      <c r="TY6" s="217" t="str">
        <f>参考1_評価結果!W9</f>
        <v>産業</v>
      </c>
      <c r="TZ6" s="217"/>
      <c r="UA6" s="217"/>
      <c r="UB6" s="217"/>
      <c r="UC6" s="217"/>
      <c r="UD6" s="217"/>
      <c r="UE6" s="217"/>
      <c r="UF6" s="217"/>
      <c r="UG6" s="217"/>
      <c r="UH6" s="217"/>
      <c r="UI6" s="217"/>
      <c r="UJ6" s="217"/>
      <c r="UK6" s="217"/>
      <c r="UL6" s="217"/>
      <c r="UM6" s="217"/>
      <c r="UN6" s="217" t="str">
        <f>参考1_評価結果!X9</f>
        <v>業務</v>
      </c>
      <c r="UO6" s="217"/>
      <c r="UP6" s="217"/>
      <c r="UQ6" s="217"/>
      <c r="UR6" s="217"/>
      <c r="US6" s="217"/>
      <c r="UT6" s="217"/>
      <c r="UU6" s="217"/>
      <c r="UV6" s="217"/>
      <c r="UW6" s="217"/>
      <c r="UX6" s="217"/>
      <c r="UY6" s="217"/>
      <c r="UZ6" s="217"/>
      <c r="VA6" s="217"/>
      <c r="VB6" s="217"/>
      <c r="VC6" s="216" t="s">
        <v>170</v>
      </c>
      <c r="VD6" s="217"/>
      <c r="VE6" s="217"/>
      <c r="VF6" s="217" t="str">
        <f>参考1_評価結果!K4</f>
        <v>運輸</v>
      </c>
      <c r="VG6" s="217"/>
      <c r="VH6" s="217"/>
      <c r="VI6" s="217"/>
      <c r="VJ6" s="217"/>
      <c r="VK6" s="217"/>
      <c r="VL6" s="217"/>
      <c r="VM6" s="217"/>
      <c r="VN6" s="217"/>
      <c r="VO6" s="217"/>
      <c r="VP6" s="217"/>
      <c r="VQ6" s="217"/>
      <c r="VR6" s="217"/>
      <c r="VS6" s="217"/>
      <c r="VT6" s="217"/>
      <c r="VU6" s="217"/>
      <c r="VV6" s="216" t="s">
        <v>172</v>
      </c>
      <c r="VW6" s="217"/>
      <c r="VX6" s="217"/>
    </row>
    <row r="7" spans="2:596" s="218" customFormat="1" ht="42" customHeight="1">
      <c r="B7" s="217" t="s">
        <v>167</v>
      </c>
      <c r="C7" s="217" t="str">
        <f>'B1.入力_第1面'!H4</f>
        <v>事業者ＩＤ：</v>
      </c>
      <c r="D7" s="217" t="str">
        <f>'B1.入力_第1面'!C20</f>
        <v>法人・団体名</v>
      </c>
      <c r="E7" s="217"/>
      <c r="F7" s="217"/>
      <c r="G7" s="217"/>
      <c r="H7" s="217" t="str">
        <f>'B1.入力_第1面'!C21</f>
        <v>代表者役職</v>
      </c>
      <c r="I7" s="217"/>
      <c r="J7" s="217"/>
      <c r="K7" s="217"/>
      <c r="L7" s="217" t="str">
        <f>'B1.入力_第1面'!G21</f>
        <v>代表者氏名</v>
      </c>
      <c r="M7" s="217"/>
      <c r="N7" s="217"/>
      <c r="O7" s="217"/>
      <c r="P7" s="217"/>
      <c r="Q7" s="217"/>
      <c r="R7" s="217"/>
      <c r="S7" s="217"/>
      <c r="T7" s="216" t="str">
        <f>'B1.入力_第1面'!F23</f>
        <v>工場等に関する削減計画</v>
      </c>
      <c r="U7" s="217"/>
      <c r="V7" s="217"/>
      <c r="W7" s="217"/>
      <c r="X7" s="216">
        <f>'B1.入力_第1面'!F24</f>
        <v>0</v>
      </c>
      <c r="Y7" s="217"/>
      <c r="Z7" s="217"/>
      <c r="AA7" s="217"/>
      <c r="AB7" s="216" t="str">
        <f>'B1.入力_第1面'!F25</f>
        <v>自動車に関する削減計画</v>
      </c>
      <c r="AC7" s="217"/>
      <c r="AD7" s="217"/>
      <c r="AE7" s="217"/>
      <c r="AF7" s="217">
        <f>'B1.入力_第1面'!C26</f>
        <v>0</v>
      </c>
      <c r="AG7" s="217"/>
      <c r="AH7" s="217"/>
      <c r="AI7" s="217"/>
      <c r="AJ7" s="217">
        <f>'B1.入力_第1面'!C27</f>
        <v>0</v>
      </c>
      <c r="AK7" s="217"/>
      <c r="AL7" s="217"/>
      <c r="AM7" s="217"/>
      <c r="AN7" s="217" t="str">
        <f>'B1.入力_第1面'!C32</f>
        <v>全　県</v>
      </c>
      <c r="AO7" s="217"/>
      <c r="AP7" s="217"/>
      <c r="AQ7" s="217"/>
      <c r="AR7" s="217" t="str">
        <f>'B1.入力_第1面'!I31</f>
        <v>計画対象</v>
      </c>
      <c r="AS7" s="217"/>
      <c r="AT7" s="217"/>
      <c r="AU7" s="217"/>
      <c r="AV7" s="216" t="str">
        <f>'B1.入力_第1面'!C33</f>
        <v>横浜市・川崎市を除く県域</v>
      </c>
      <c r="AW7" s="217"/>
      <c r="AX7" s="217"/>
      <c r="AY7" s="217"/>
      <c r="AZ7" s="217" t="str">
        <f>'B1.入力_第1面'!I31</f>
        <v>計画対象</v>
      </c>
      <c r="BA7" s="217"/>
      <c r="BB7" s="217"/>
      <c r="BC7" s="217"/>
      <c r="BD7" s="217" t="str">
        <f>'B1.入力_第1面'!C34</f>
        <v>全　県</v>
      </c>
      <c r="BE7" s="217"/>
      <c r="BF7" s="217"/>
      <c r="BG7" s="217"/>
      <c r="BH7" s="217" t="str">
        <f>'B1.入力_第1面'!I31</f>
        <v>計画対象</v>
      </c>
      <c r="BI7" s="217"/>
      <c r="BJ7" s="217"/>
      <c r="BK7" s="217"/>
      <c r="BL7" s="217" t="str">
        <f>'B1.入力_第1面'!C35</f>
        <v>横浜市・川崎市を除く県域</v>
      </c>
      <c r="BM7" s="217"/>
      <c r="BN7" s="217"/>
      <c r="BO7" s="217"/>
      <c r="BP7" s="217" t="str">
        <f>'B1.入力_第1面'!I31</f>
        <v>計画対象</v>
      </c>
      <c r="BQ7" s="217"/>
      <c r="BR7" s="217"/>
      <c r="BS7" s="217"/>
      <c r="BT7" s="217" t="s">
        <v>173</v>
      </c>
      <c r="BU7" s="217"/>
      <c r="BV7" s="217"/>
      <c r="BW7" s="217"/>
      <c r="BX7" s="217" t="s">
        <v>174</v>
      </c>
      <c r="BY7" s="217"/>
      <c r="BZ7" s="217"/>
      <c r="CA7" s="217"/>
      <c r="CB7" s="217" t="s">
        <v>175</v>
      </c>
      <c r="CC7" s="217"/>
      <c r="CD7" s="217"/>
      <c r="CE7" s="217"/>
      <c r="CF7" s="217"/>
      <c r="CG7" s="217"/>
      <c r="CH7" s="217"/>
      <c r="CI7" s="217"/>
      <c r="CJ7" s="216" t="str">
        <f>'B2.入力_第2~4面'!B10</f>
        <v>比較年度の排出量</v>
      </c>
      <c r="CK7" s="217"/>
      <c r="CL7" s="217"/>
      <c r="CM7" s="216" t="str">
        <f>'B2.入力_第2~4面'!B12</f>
        <v>基準年度の前々年度の排出量</v>
      </c>
      <c r="CN7" s="217"/>
      <c r="CO7" s="217"/>
      <c r="CP7" s="216" t="str">
        <f>'B2.入力_第2~4面'!B14</f>
        <v>基準年度の前年度の排出量</v>
      </c>
      <c r="CQ7" s="217"/>
      <c r="CR7" s="217"/>
      <c r="CS7" s="216" t="str">
        <f>'B2.入力_第2~4面'!$B$20</f>
        <v>排出量</v>
      </c>
      <c r="CT7" s="217"/>
      <c r="CV7" s="217"/>
      <c r="CW7" s="217"/>
      <c r="CX7" s="217"/>
      <c r="CY7" s="217"/>
      <c r="CZ7" s="217"/>
      <c r="DA7" s="217"/>
      <c r="DB7" s="217"/>
      <c r="DC7" s="216" t="str">
        <f>'B2.入力_第2~4面'!$B$22</f>
        <v>基準年度比
削減率</v>
      </c>
      <c r="DD7" s="217"/>
      <c r="DE7" s="217"/>
      <c r="DF7" s="217"/>
      <c r="DG7" s="217"/>
      <c r="DH7" s="217"/>
      <c r="DJ7" s="217"/>
      <c r="DK7" s="217"/>
      <c r="DL7" s="217"/>
      <c r="DM7" s="216" t="str">
        <f>'B2.入力_第2~4面'!$B$24</f>
        <v>直近の排出量削減率
（直近３年平均※1）</v>
      </c>
      <c r="DN7" s="217"/>
      <c r="DO7" s="217"/>
      <c r="DP7" s="217"/>
      <c r="DQ7" s="217"/>
      <c r="DR7" s="217"/>
      <c r="DS7" s="217"/>
      <c r="DT7" s="217"/>
      <c r="DU7" s="217"/>
      <c r="DV7" s="217"/>
      <c r="DW7" s="216" t="str">
        <f>'B2.入力_第2~4面'!$B$26</f>
        <v>過去からの削減率
(比較年度比)</v>
      </c>
      <c r="DX7" s="217"/>
      <c r="DZ7" s="217"/>
      <c r="EA7" s="217"/>
      <c r="EB7" s="217"/>
      <c r="EC7" s="217"/>
      <c r="ED7" s="217"/>
      <c r="EE7" s="217"/>
      <c r="EF7" s="217"/>
      <c r="EG7" s="217" t="s">
        <v>55</v>
      </c>
      <c r="EH7" s="217"/>
      <c r="EI7" s="217"/>
      <c r="EJ7" s="217"/>
      <c r="EK7" s="217"/>
      <c r="EL7" s="217" t="s">
        <v>94</v>
      </c>
      <c r="EM7" s="217"/>
      <c r="EN7" s="217"/>
      <c r="EO7" s="217"/>
      <c r="EP7" s="217"/>
      <c r="EQ7" s="217" t="s">
        <v>111</v>
      </c>
      <c r="ER7" s="217"/>
      <c r="ES7" s="217"/>
      <c r="ET7" s="217"/>
      <c r="EU7" s="217"/>
      <c r="EV7" s="217" t="s">
        <v>176</v>
      </c>
      <c r="EW7" s="217"/>
      <c r="EX7" s="217"/>
      <c r="EY7" s="217"/>
      <c r="EZ7" s="217"/>
      <c r="FA7" s="217" t="s">
        <v>177</v>
      </c>
      <c r="FB7" s="217"/>
      <c r="FC7" s="217"/>
      <c r="FD7" s="217"/>
      <c r="FE7" s="217"/>
      <c r="FF7" s="217" t="s">
        <v>55</v>
      </c>
      <c r="FG7" s="217"/>
      <c r="FH7" s="217"/>
      <c r="FI7" s="217"/>
      <c r="FJ7" s="217"/>
      <c r="FK7" s="217"/>
      <c r="FL7" s="217" t="s">
        <v>94</v>
      </c>
      <c r="FM7" s="217"/>
      <c r="FN7" s="217"/>
      <c r="FO7" s="217"/>
      <c r="FP7" s="217"/>
      <c r="FQ7" s="217"/>
      <c r="FR7" s="217" t="s">
        <v>111</v>
      </c>
      <c r="FS7" s="217"/>
      <c r="FT7" s="217"/>
      <c r="FU7" s="217"/>
      <c r="FV7" s="217"/>
      <c r="FW7" s="217"/>
      <c r="FX7" s="217" t="s">
        <v>176</v>
      </c>
      <c r="FY7" s="217"/>
      <c r="FZ7" s="217"/>
      <c r="GA7" s="217"/>
      <c r="GB7" s="217"/>
      <c r="GC7" s="217"/>
      <c r="GD7" s="217" t="s">
        <v>177</v>
      </c>
      <c r="GE7" s="217"/>
      <c r="GF7" s="217"/>
      <c r="GG7" s="217"/>
      <c r="GH7" s="217"/>
      <c r="GI7" s="217"/>
      <c r="GJ7" s="217" t="s">
        <v>178</v>
      </c>
      <c r="GK7" s="217"/>
      <c r="GL7" s="217"/>
      <c r="GM7" s="217"/>
      <c r="GN7" s="217"/>
      <c r="GO7" s="217"/>
      <c r="GP7" s="217" t="s">
        <v>179</v>
      </c>
      <c r="GQ7" s="217"/>
      <c r="GR7" s="217"/>
      <c r="GS7" s="217"/>
      <c r="GT7" s="217"/>
      <c r="GU7" s="217"/>
      <c r="GV7" s="217" t="s">
        <v>180</v>
      </c>
      <c r="GW7" s="217"/>
      <c r="GX7" s="217"/>
      <c r="GY7" s="217"/>
      <c r="GZ7" s="217"/>
      <c r="HA7" s="217"/>
      <c r="HB7" s="217" t="s">
        <v>181</v>
      </c>
      <c r="HC7" s="217"/>
      <c r="HD7" s="217"/>
      <c r="HE7" s="217"/>
      <c r="HF7" s="217"/>
      <c r="HG7" s="217"/>
      <c r="HH7" s="217" t="s">
        <v>182</v>
      </c>
      <c r="HI7" s="217"/>
      <c r="HJ7" s="217"/>
      <c r="HK7" s="217"/>
      <c r="HL7" s="217"/>
      <c r="HM7" s="217"/>
      <c r="HN7" s="216" t="str">
        <f>'B2.入力_第2~4面'!B56</f>
        <v>比較年度の排出量</v>
      </c>
      <c r="HO7" s="217"/>
      <c r="HP7" s="217"/>
      <c r="HQ7" s="217" t="str">
        <f>'B2.入力_第2~4面'!B58</f>
        <v>基準年度の前々年度の排出量</v>
      </c>
      <c r="HR7" s="217"/>
      <c r="HS7" s="217"/>
      <c r="HT7" s="217" t="str">
        <f>'B2.入力_第2~4面'!B60</f>
        <v>基準年度の前年度の排出量</v>
      </c>
      <c r="HU7" s="217"/>
      <c r="HV7" s="217"/>
      <c r="HW7" s="216" t="str">
        <f>'B2.入力_第2~4面'!$B$66</f>
        <v>排出量</v>
      </c>
      <c r="HY7" s="217"/>
      <c r="HZ7" s="217"/>
      <c r="IA7" s="217"/>
      <c r="IB7" s="217"/>
      <c r="IC7" s="217"/>
      <c r="ID7" s="217"/>
      <c r="IE7" s="217"/>
      <c r="IF7" s="217"/>
      <c r="IG7" s="216" t="str">
        <f>'B2.入力_第2~4面'!$B$68</f>
        <v>基準年度比
削減率</v>
      </c>
      <c r="IH7" s="217"/>
      <c r="II7" s="217"/>
      <c r="IJ7" s="217"/>
      <c r="IK7" s="217"/>
      <c r="IL7" s="217"/>
      <c r="IN7" s="217"/>
      <c r="IO7" s="217"/>
      <c r="IP7" s="217"/>
      <c r="IQ7" s="216" t="str">
        <f>'B2.入力_第2~4面'!$B$70</f>
        <v>直近の排出量削減率
（直近３年平均※2）</v>
      </c>
      <c r="IR7" s="217"/>
      <c r="IS7" s="217"/>
      <c r="IT7" s="217"/>
      <c r="IV7" s="217"/>
      <c r="IW7" s="217"/>
      <c r="IX7" s="217"/>
      <c r="IY7" s="217"/>
      <c r="IZ7" s="217"/>
      <c r="JA7" s="216" t="str">
        <f>'B2.入力_第2~4面'!$B$72</f>
        <v>過去からの削減率
(比較年度比)</v>
      </c>
      <c r="JB7" s="217"/>
      <c r="JD7" s="217"/>
      <c r="JE7" s="217"/>
      <c r="JF7" s="217"/>
      <c r="JG7" s="217"/>
      <c r="JH7" s="217"/>
      <c r="JI7" s="217"/>
      <c r="JJ7" s="217"/>
      <c r="JK7" s="217" t="s">
        <v>55</v>
      </c>
      <c r="JL7" s="217"/>
      <c r="JM7" s="217"/>
      <c r="JN7" s="217"/>
      <c r="JO7" s="217"/>
      <c r="JP7" s="217" t="s">
        <v>94</v>
      </c>
      <c r="JQ7" s="217"/>
      <c r="JR7" s="217"/>
      <c r="JS7" s="217"/>
      <c r="JT7" s="217"/>
      <c r="JU7" s="217" t="s">
        <v>111</v>
      </c>
      <c r="JV7" s="217"/>
      <c r="JW7" s="217"/>
      <c r="JX7" s="217"/>
      <c r="JY7" s="217"/>
      <c r="JZ7" s="217" t="s">
        <v>176</v>
      </c>
      <c r="KA7" s="217"/>
      <c r="KB7" s="217"/>
      <c r="KC7" s="217"/>
      <c r="KD7" s="217"/>
      <c r="KE7" s="217" t="s">
        <v>177</v>
      </c>
      <c r="KF7" s="217"/>
      <c r="KG7" s="217"/>
      <c r="KH7" s="217"/>
      <c r="KI7" s="217"/>
      <c r="KJ7" s="217" t="str">
        <f>'B2.入力_第2~4面'!B88</f>
        <v>指標の名称</v>
      </c>
      <c r="KK7" s="217">
        <f>'B2.入力_第2~4面'!C89</f>
        <v>0</v>
      </c>
      <c r="KL7" s="217" t="str">
        <f>'B2.入力_第2~4面'!B90</f>
        <v>指標の単位</v>
      </c>
      <c r="KM7" s="216" t="str">
        <f>'B2.入力_第2~4面'!B95</f>
        <v>エネルギー消費原単位※3</v>
      </c>
      <c r="KN7" s="217"/>
      <c r="KO7" s="217"/>
      <c r="KP7" s="217"/>
      <c r="KQ7" s="217"/>
      <c r="KR7" s="217" t="str">
        <f>'B2.入力_第2~4面'!B97</f>
        <v>改善率(対基準年度比)</v>
      </c>
      <c r="KS7" s="217"/>
      <c r="KT7" s="217"/>
      <c r="KU7" s="217"/>
      <c r="KV7" s="217"/>
      <c r="KW7" s="216" t="str">
        <f>'B2.入力_第2~4面'!B98</f>
        <v>改善率(対前年度比)</v>
      </c>
      <c r="KX7" s="216"/>
      <c r="KY7" s="216"/>
      <c r="KZ7" s="217"/>
      <c r="LA7" s="217"/>
      <c r="LB7" s="217" t="str">
        <f>'B2.入力_第2~4面'!B103</f>
        <v>指標の名称</v>
      </c>
      <c r="LC7" s="217">
        <f>'B2.入力_第2~4面'!C104</f>
        <v>0</v>
      </c>
      <c r="LD7" s="217" t="str">
        <f>'B2.入力_第2~4面'!B105</f>
        <v>指標の単位</v>
      </c>
      <c r="LE7" s="216" t="str">
        <f>'B2.入力_第2~4面'!B110</f>
        <v>エネルギー消費原単位</v>
      </c>
      <c r="LF7" s="217"/>
      <c r="LG7" s="217"/>
      <c r="LH7" s="217"/>
      <c r="LI7" s="217"/>
      <c r="LJ7" s="216" t="str">
        <f>'B2.入力_第2~4面'!B112</f>
        <v>改善率(対基準年度比)</v>
      </c>
      <c r="LK7" s="217"/>
      <c r="LL7" s="217"/>
      <c r="LM7" s="217"/>
      <c r="LN7" s="217"/>
      <c r="LO7" s="216" t="str">
        <f>'B2.入力_第2~4面'!B113</f>
        <v>改善率(対前年度比)</v>
      </c>
      <c r="LP7" s="217"/>
      <c r="LR7" s="217"/>
      <c r="LS7" s="217"/>
      <c r="LT7" s="217" t="str">
        <f>'B2.入力_第2~4面'!B120</f>
        <v>割合</v>
      </c>
      <c r="LU7" s="217"/>
      <c r="LV7" s="217"/>
      <c r="LW7" s="217"/>
      <c r="LX7" s="217"/>
      <c r="LY7" s="217" t="str">
        <f>'B2.入力_第2~4面'!B128</f>
        <v>①電気自動車</v>
      </c>
      <c r="LZ7" s="217"/>
      <c r="MA7" s="217"/>
      <c r="MB7" s="217"/>
      <c r="MC7" s="217"/>
      <c r="MD7" s="216" t="str">
        <f>'B2.入力_第2~4面'!B129</f>
        <v>②燃料電池自動車</v>
      </c>
      <c r="ME7" s="217"/>
      <c r="MF7" s="217"/>
      <c r="MG7" s="217"/>
      <c r="MH7" s="217"/>
      <c r="MI7" s="217" t="str">
        <f>'B2.入力_第2~4面'!B130</f>
        <v>③その他</v>
      </c>
      <c r="MJ7" s="217"/>
      <c r="MK7" s="217"/>
      <c r="ML7" s="217"/>
      <c r="MM7" s="217"/>
      <c r="MN7" s="217" t="str">
        <f>'B2.入力_第2~4面'!B131</f>
        <v>所有台数の合計</v>
      </c>
      <c r="MO7" s="217"/>
      <c r="MP7" s="217"/>
      <c r="MQ7" s="217"/>
      <c r="MR7" s="217"/>
      <c r="MS7" s="217" t="str">
        <f>'B2.入力_第2~4面'!B132</f>
        <v>①・②の割合</v>
      </c>
      <c r="MT7" s="217"/>
      <c r="MU7" s="217"/>
      <c r="MV7" s="217"/>
      <c r="MW7" s="217"/>
      <c r="MX7" s="217" t="str">
        <f>'B2.入力_第2~4面'!B137</f>
        <v>所有台数</v>
      </c>
      <c r="MY7" s="217"/>
      <c r="MZ7" s="217"/>
      <c r="NA7" s="217"/>
      <c r="NB7" s="217"/>
      <c r="NC7" s="216" t="str">
        <f>'B2.入力_第2~4面'!B145</f>
        <v>脱炭素化の表明の有無</v>
      </c>
      <c r="ND7" s="217"/>
      <c r="NE7" s="217"/>
      <c r="NF7" s="217"/>
      <c r="NG7" s="217"/>
      <c r="NH7" s="216" t="str">
        <f>'B2.入力_第2~4面'!B146</f>
        <v>脱炭素化目標年度</v>
      </c>
      <c r="NI7" s="217"/>
      <c r="NJ7" s="217"/>
      <c r="NK7" s="217"/>
      <c r="NL7" s="217"/>
      <c r="NM7" s="217" t="str">
        <f>'B2.入力_第2~4面'!B147</f>
        <v>主たる表明者</v>
      </c>
      <c r="NN7" s="216" t="str">
        <f>'B2.入力_第2~4面'!C148</f>
        <v>その他の場合の内容</v>
      </c>
      <c r="NO7" s="216" t="str">
        <f>'B2.入力_第2~4面'!B149</f>
        <v>表明に係る
情報掲載先</v>
      </c>
      <c r="NP7" s="217"/>
      <c r="NQ7" s="216" t="str">
        <f>'B2.入力_第2~4面'!B155</f>
        <v>計画の策定等の状況</v>
      </c>
      <c r="NR7" s="217"/>
      <c r="NS7" s="217"/>
      <c r="NT7" s="217"/>
      <c r="NU7" s="217"/>
      <c r="NV7" s="217" t="str">
        <f>'B2.入力_第2~4面'!B156</f>
        <v>主たる策定者</v>
      </c>
      <c r="NW7" s="216" t="str">
        <f>'B2.入力_第2~4面'!C157</f>
        <v>その他の場合の内容</v>
      </c>
      <c r="NX7" s="216" t="str">
        <f>'B2.入力_第2~4面'!B158</f>
        <v>公表に係る
情報掲載先</v>
      </c>
      <c r="NY7" s="217"/>
      <c r="NZ7" s="216" t="str">
        <f>'B2.入力_第2~4面'!B164</f>
        <v>SBT認定の取得</v>
      </c>
      <c r="OA7" s="217"/>
      <c r="OB7" s="217"/>
      <c r="OC7" s="217"/>
      <c r="OD7" s="217"/>
      <c r="OE7" s="216" t="str">
        <f>'B2.入力_第2~4面'!B165</f>
        <v>TCFD提言への賛同</v>
      </c>
      <c r="OF7" s="217"/>
      <c r="OG7" s="217"/>
      <c r="OH7" s="217"/>
      <c r="OI7" s="217"/>
      <c r="OJ7" s="217" t="str">
        <f>'B2.入力_第2~4面'!B166</f>
        <v>RE100への参加</v>
      </c>
      <c r="OK7" s="217"/>
      <c r="OL7" s="217"/>
      <c r="OM7" s="217"/>
      <c r="ON7" s="217"/>
      <c r="OO7" s="216" t="str">
        <f>'B2.入力_第2~4面'!B167</f>
        <v>RE Actionへの参加</v>
      </c>
      <c r="OP7" s="217"/>
      <c r="OQ7" s="217"/>
      <c r="OR7" s="217"/>
      <c r="OS7" s="217"/>
      <c r="OT7" s="216" t="str">
        <f>'B2.入力_第2~4面'!B172</f>
        <v>SC排出量算定による
削減対象の特定</v>
      </c>
      <c r="OU7" s="217"/>
      <c r="OV7" s="217"/>
      <c r="OW7" s="217"/>
      <c r="OX7" s="217"/>
      <c r="OY7" s="216" t="str">
        <f>'B2.入力_第2~4面'!B173</f>
        <v>SC排出量開示等による関係者への削減要請</v>
      </c>
      <c r="OZ7" s="217"/>
      <c r="PA7" s="217"/>
      <c r="PB7" s="217"/>
      <c r="PC7" s="217"/>
      <c r="PD7" s="216" t="str">
        <f>'B2.入力_第2~4面'!B174</f>
        <v>SC全体の排出量削減
目標の設定</v>
      </c>
      <c r="PE7" s="217"/>
      <c r="PF7" s="217"/>
      <c r="PG7" s="217"/>
      <c r="PH7" s="217"/>
      <c r="PI7" s="217" t="str">
        <f>'B2.入力_第2~4面'!B175</f>
        <v>そ
の
他</v>
      </c>
      <c r="PK7" s="217"/>
      <c r="PL7" s="217"/>
      <c r="PM7" s="217"/>
      <c r="PN7" s="217"/>
      <c r="PO7" s="217" t="str">
        <f>'B2.入力_第2~4面'!$F$182</f>
        <v>基準年度</v>
      </c>
      <c r="PP7" s="217" t="str">
        <f>'B2.入力_第2~4面'!$I$182</f>
        <v>目標年度</v>
      </c>
      <c r="PQ7" s="217" t="str">
        <f>'B2.入力_第2~4面'!$L$182</f>
        <v>第１年度</v>
      </c>
      <c r="PR7" s="217" t="str">
        <f>'B2.入力_第2~4面'!$O$182</f>
        <v>第２年度</v>
      </c>
      <c r="PS7" s="217" t="str">
        <f>'B2.入力_第2~4面'!$R$182</f>
        <v>第３年度</v>
      </c>
      <c r="PT7" s="217" t="str">
        <f>'B2.入力_第2~4面'!$F$182</f>
        <v>基準年度</v>
      </c>
      <c r="PU7" s="217" t="str">
        <f>'B2.入力_第2~4面'!$I$182</f>
        <v>目標年度</v>
      </c>
      <c r="PV7" s="217" t="str">
        <f>'B2.入力_第2~4面'!$L$182</f>
        <v>第１年度</v>
      </c>
      <c r="PW7" s="217" t="str">
        <f>'B2.入力_第2~4面'!$O$182</f>
        <v>第２年度</v>
      </c>
      <c r="PX7" s="217" t="str">
        <f>'B2.入力_第2~4面'!$R$182</f>
        <v>第３年度</v>
      </c>
      <c r="PY7" s="216" t="str">
        <f>参考1_評価結果!$B$10</f>
        <v>温室効果ガス排出量削減</v>
      </c>
      <c r="PZ7" s="217"/>
      <c r="QB7" s="217"/>
      <c r="QC7" s="217"/>
      <c r="QD7" s="217"/>
      <c r="QE7" s="217" t="str">
        <f>参考1_評価結果!$B$16</f>
        <v>省エネ</v>
      </c>
      <c r="QF7" s="217" t="str">
        <f>参考1_評価結果!$B$17</f>
        <v>再エネ等</v>
      </c>
      <c r="QG7" s="217" t="str">
        <f>参考1_評価結果!$B$18</f>
        <v>中長期取組1</v>
      </c>
      <c r="QH7" s="216" t="str">
        <f>参考1_評価結果!$B$19</f>
        <v>中長期取組2</v>
      </c>
      <c r="QI7" s="217"/>
      <c r="QJ7" s="217"/>
      <c r="QK7" s="217"/>
      <c r="QL7" s="217"/>
      <c r="QM7" s="217"/>
      <c r="QN7" s="216" t="str">
        <f>参考1_評価結果!$B$10</f>
        <v>温室効果ガス排出量削減</v>
      </c>
      <c r="QO7" s="217"/>
      <c r="QQ7" s="217"/>
      <c r="QR7" s="217"/>
      <c r="QS7" s="217"/>
      <c r="QT7" s="217" t="str">
        <f>参考1_評価結果!$B$16</f>
        <v>省エネ</v>
      </c>
      <c r="QU7" s="217" t="str">
        <f>参考1_評価結果!$B$17</f>
        <v>再エネ等</v>
      </c>
      <c r="QV7" s="217" t="str">
        <f>参考1_評価結果!$B$18</f>
        <v>中長期取組1</v>
      </c>
      <c r="QW7" s="216" t="str">
        <f>参考1_評価結果!$B$19</f>
        <v>中長期取組2</v>
      </c>
      <c r="QX7" s="217"/>
      <c r="QY7" s="217"/>
      <c r="QZ7" s="217"/>
      <c r="RA7" s="217"/>
      <c r="RB7" s="217"/>
      <c r="RC7" s="217" t="str">
        <f>参考1_評価結果!N8</f>
        <v>大項目の結果</v>
      </c>
      <c r="RD7" s="217"/>
      <c r="RE7" s="216" t="str">
        <f>非表示_評価基準!$T$4</f>
        <v>最終評価</v>
      </c>
      <c r="RF7" s="216" t="str">
        <f>参考1_評価結果!$B$31</f>
        <v>温室効果ガス排出量削減</v>
      </c>
      <c r="RG7" s="217"/>
      <c r="RH7" s="217"/>
      <c r="RI7" s="217"/>
      <c r="RJ7" s="217"/>
      <c r="RK7" s="217"/>
      <c r="RL7" s="216" t="str">
        <f>参考1_評価結果!$B$37</f>
        <v>省エネ</v>
      </c>
      <c r="RM7" s="216" t="str">
        <f>参考1_評価結果!$B$38</f>
        <v>再エネ等</v>
      </c>
      <c r="RN7" s="217"/>
      <c r="RO7" s="216" t="str">
        <f>参考1_評価結果!$B$40</f>
        <v>中長期取組1</v>
      </c>
      <c r="RP7" s="216" t="str">
        <f>参考1_評価結果!$B$41</f>
        <v>中長期取組2</v>
      </c>
      <c r="RQ7" s="217"/>
      <c r="RR7" s="217"/>
      <c r="RS7" s="217"/>
      <c r="RT7" s="217"/>
      <c r="RU7" s="217"/>
      <c r="RV7" s="217" t="str">
        <f>参考1_評価結果!N29</f>
        <v>大項目の結果</v>
      </c>
      <c r="RW7" s="217"/>
      <c r="RX7" s="217" t="str">
        <f>非表示_評価基準!T4</f>
        <v>最終評価</v>
      </c>
      <c r="RY7" s="216" t="str">
        <f>参考1_評価結果!$B$10</f>
        <v>温室効果ガス排出量削減</v>
      </c>
      <c r="RZ7" s="217"/>
      <c r="SB7" s="217"/>
      <c r="SC7" s="217"/>
      <c r="SD7" s="217"/>
      <c r="SE7" s="217" t="str">
        <f>参考1_評価結果!$B$16</f>
        <v>省エネ</v>
      </c>
      <c r="SF7" s="217" t="str">
        <f>参考1_評価結果!$B$17</f>
        <v>再エネ等</v>
      </c>
      <c r="SG7" s="217" t="str">
        <f>参考1_評価結果!$B$18</f>
        <v>中長期取組1</v>
      </c>
      <c r="SH7" s="216" t="str">
        <f>参考1_評価結果!$B$19</f>
        <v>中長期取組2</v>
      </c>
      <c r="SI7" s="217"/>
      <c r="SJ7" s="217"/>
      <c r="SK7" s="217"/>
      <c r="SL7" s="217"/>
      <c r="SM7" s="217"/>
      <c r="SN7" s="216" t="str">
        <f>参考1_評価結果!$B$10</f>
        <v>温室効果ガス排出量削減</v>
      </c>
      <c r="SO7" s="217"/>
      <c r="SQ7" s="217"/>
      <c r="SR7" s="217"/>
      <c r="SS7" s="217"/>
      <c r="ST7" s="217" t="str">
        <f>参考1_評価結果!$B$16</f>
        <v>省エネ</v>
      </c>
      <c r="SU7" s="217" t="str">
        <f>参考1_評価結果!$B$17</f>
        <v>再エネ等</v>
      </c>
      <c r="SV7" s="217" t="str">
        <f>参考1_評価結果!$B$18</f>
        <v>中長期取組1</v>
      </c>
      <c r="SW7" s="216" t="str">
        <f>参考1_評価結果!$B$19</f>
        <v>中長期取組2</v>
      </c>
      <c r="SX7" s="217"/>
      <c r="SY7" s="217"/>
      <c r="SZ7" s="217"/>
      <c r="TA7" s="217"/>
      <c r="TB7" s="217"/>
      <c r="TC7" s="217" t="str">
        <f>参考1_評価結果!T8</f>
        <v>大項目の結果</v>
      </c>
      <c r="TD7" s="217"/>
      <c r="TE7" s="216" t="str">
        <f>非表示_評価基準!$T$4</f>
        <v>最終評価</v>
      </c>
      <c r="TF7" s="216" t="str">
        <f>参考1_評価結果!$B$31</f>
        <v>温室効果ガス排出量削減</v>
      </c>
      <c r="TG7" s="217"/>
      <c r="TH7" s="217"/>
      <c r="TI7" s="217"/>
      <c r="TJ7" s="217"/>
      <c r="TK7" s="217"/>
      <c r="TL7" s="216" t="str">
        <f>参考1_評価結果!$B$37</f>
        <v>省エネ</v>
      </c>
      <c r="TM7" s="216" t="str">
        <f>参考1_評価結果!$B$38</f>
        <v>再エネ等</v>
      </c>
      <c r="TN7" s="217"/>
      <c r="TO7" s="216" t="str">
        <f>参考1_評価結果!$B$40</f>
        <v>中長期取組1</v>
      </c>
      <c r="TP7" s="216" t="str">
        <f>参考1_評価結果!$B$41</f>
        <v>中長期取組2</v>
      </c>
      <c r="TQ7" s="217"/>
      <c r="TR7" s="217"/>
      <c r="TS7" s="217"/>
      <c r="TT7" s="217"/>
      <c r="TU7" s="217"/>
      <c r="TV7" s="217" t="str">
        <f>参考1_評価結果!T29</f>
        <v>大項目の結果</v>
      </c>
      <c r="TW7" s="217"/>
      <c r="TX7" s="216" t="str">
        <f>非表示_評価基準!$T$4</f>
        <v>最終評価</v>
      </c>
      <c r="TY7" s="216" t="str">
        <f>参考1_評価結果!$B$10</f>
        <v>温室効果ガス排出量削減</v>
      </c>
      <c r="TZ7" s="217"/>
      <c r="UB7" s="217"/>
      <c r="UC7" s="217"/>
      <c r="UD7" s="217"/>
      <c r="UE7" s="217" t="str">
        <f>参考1_評価結果!$B$16</f>
        <v>省エネ</v>
      </c>
      <c r="UF7" s="217" t="str">
        <f>参考1_評価結果!$B$17</f>
        <v>再エネ等</v>
      </c>
      <c r="UG7" s="217" t="str">
        <f>参考1_評価結果!$B$18</f>
        <v>中長期取組1</v>
      </c>
      <c r="UH7" s="216" t="str">
        <f>参考1_評価結果!$B$19</f>
        <v>中長期取組2</v>
      </c>
      <c r="UI7" s="217"/>
      <c r="UJ7" s="217"/>
      <c r="UK7" s="217"/>
      <c r="UL7" s="217"/>
      <c r="UM7" s="217"/>
      <c r="UN7" s="216" t="str">
        <f>参考1_評価結果!$B$10</f>
        <v>温室効果ガス排出量削減</v>
      </c>
      <c r="UO7" s="217"/>
      <c r="UQ7" s="217"/>
      <c r="UR7" s="217"/>
      <c r="US7" s="217"/>
      <c r="UT7" s="217" t="str">
        <f>参考1_評価結果!$B$16</f>
        <v>省エネ</v>
      </c>
      <c r="UU7" s="217" t="str">
        <f>参考1_評価結果!$B$17</f>
        <v>再エネ等</v>
      </c>
      <c r="UV7" s="217" t="str">
        <f>参考1_評価結果!$B$18</f>
        <v>中長期取組1</v>
      </c>
      <c r="UW7" s="216" t="str">
        <f>参考1_評価結果!$B$19</f>
        <v>中長期取組2</v>
      </c>
      <c r="UX7" s="217"/>
      <c r="UY7" s="217"/>
      <c r="UZ7" s="217"/>
      <c r="VA7" s="217"/>
      <c r="VB7" s="217"/>
      <c r="VC7" s="217" t="str">
        <f>参考1_評価結果!Z8</f>
        <v>大項目の結果</v>
      </c>
      <c r="VD7" s="217"/>
      <c r="VE7" s="216" t="str">
        <f>非表示_評価基準!$T$4</f>
        <v>最終評価</v>
      </c>
      <c r="VF7" s="216" t="str">
        <f>参考1_評価結果!$B$31</f>
        <v>温室効果ガス排出量削減</v>
      </c>
      <c r="VG7" s="217"/>
      <c r="VH7" s="217"/>
      <c r="VI7" s="217"/>
      <c r="VJ7" s="217"/>
      <c r="VK7" s="217"/>
      <c r="VL7" s="216" t="str">
        <f>参考1_評価結果!$B$37</f>
        <v>省エネ</v>
      </c>
      <c r="VM7" s="216" t="str">
        <f>参考1_評価結果!$B$38</f>
        <v>再エネ等</v>
      </c>
      <c r="VN7" s="217"/>
      <c r="VO7" s="216" t="str">
        <f>参考1_評価結果!$B$40</f>
        <v>中長期取組1</v>
      </c>
      <c r="VP7" s="216" t="str">
        <f>参考1_評価結果!$B$41</f>
        <v>中長期取組2</v>
      </c>
      <c r="VQ7" s="217"/>
      <c r="VR7" s="217"/>
      <c r="VS7" s="217"/>
      <c r="VT7" s="217"/>
      <c r="VU7" s="217"/>
      <c r="VV7" s="217" t="str">
        <f>参考1_評価結果!Z29</f>
        <v>大項目の結果</v>
      </c>
      <c r="VW7" s="217"/>
      <c r="VX7" s="216" t="str">
        <f>非表示_評価基準!$T$4</f>
        <v>最終評価</v>
      </c>
    </row>
    <row r="8" spans="2:596" ht="36" customHeight="1">
      <c r="B8" s="217" t="s">
        <v>167</v>
      </c>
      <c r="C8" s="217"/>
      <c r="D8" s="216" t="s">
        <v>794</v>
      </c>
      <c r="E8" s="216" t="s">
        <v>1548</v>
      </c>
      <c r="F8" s="216" t="s">
        <v>102</v>
      </c>
      <c r="G8" s="216" t="s">
        <v>123</v>
      </c>
      <c r="H8" s="216" t="s">
        <v>794</v>
      </c>
      <c r="I8" s="216" t="s">
        <v>1548</v>
      </c>
      <c r="J8" s="216" t="s">
        <v>102</v>
      </c>
      <c r="K8" s="216" t="s">
        <v>123</v>
      </c>
      <c r="L8" s="216" t="s">
        <v>794</v>
      </c>
      <c r="M8" s="216" t="s">
        <v>1548</v>
      </c>
      <c r="N8" s="216" t="s">
        <v>102</v>
      </c>
      <c r="O8" s="216" t="s">
        <v>123</v>
      </c>
      <c r="P8" s="216" t="s">
        <v>794</v>
      </c>
      <c r="Q8" s="216" t="s">
        <v>1548</v>
      </c>
      <c r="R8" s="216" t="s">
        <v>102</v>
      </c>
      <c r="S8" s="216" t="s">
        <v>123</v>
      </c>
      <c r="T8" s="216" t="s">
        <v>794</v>
      </c>
      <c r="U8" s="216" t="s">
        <v>1548</v>
      </c>
      <c r="V8" s="216" t="s">
        <v>102</v>
      </c>
      <c r="W8" s="216" t="s">
        <v>123</v>
      </c>
      <c r="X8" s="216" t="s">
        <v>794</v>
      </c>
      <c r="Y8" s="216" t="s">
        <v>1548</v>
      </c>
      <c r="Z8" s="216" t="s">
        <v>102</v>
      </c>
      <c r="AA8" s="216" t="s">
        <v>123</v>
      </c>
      <c r="AB8" s="216" t="s">
        <v>794</v>
      </c>
      <c r="AC8" s="216" t="s">
        <v>1548</v>
      </c>
      <c r="AD8" s="216" t="s">
        <v>102</v>
      </c>
      <c r="AE8" s="216" t="s">
        <v>123</v>
      </c>
      <c r="AF8" s="216" t="s">
        <v>794</v>
      </c>
      <c r="AG8" s="216" t="s">
        <v>1548</v>
      </c>
      <c r="AH8" s="216" t="s">
        <v>102</v>
      </c>
      <c r="AI8" s="216" t="s">
        <v>123</v>
      </c>
      <c r="AJ8" s="216" t="s">
        <v>794</v>
      </c>
      <c r="AK8" s="216" t="s">
        <v>1548</v>
      </c>
      <c r="AL8" s="216" t="s">
        <v>102</v>
      </c>
      <c r="AM8" s="216" t="s">
        <v>123</v>
      </c>
      <c r="AN8" s="216" t="s">
        <v>794</v>
      </c>
      <c r="AO8" s="216" t="s">
        <v>1548</v>
      </c>
      <c r="AP8" s="216" t="s">
        <v>102</v>
      </c>
      <c r="AQ8" s="216" t="s">
        <v>123</v>
      </c>
      <c r="AR8" s="216" t="s">
        <v>794</v>
      </c>
      <c r="AS8" s="216" t="s">
        <v>1548</v>
      </c>
      <c r="AT8" s="216" t="s">
        <v>102</v>
      </c>
      <c r="AU8" s="216" t="s">
        <v>123</v>
      </c>
      <c r="AV8" s="216" t="s">
        <v>794</v>
      </c>
      <c r="AW8" s="216" t="s">
        <v>1548</v>
      </c>
      <c r="AX8" s="216" t="s">
        <v>102</v>
      </c>
      <c r="AY8" s="216" t="s">
        <v>123</v>
      </c>
      <c r="AZ8" s="216" t="s">
        <v>794</v>
      </c>
      <c r="BA8" s="216" t="s">
        <v>1548</v>
      </c>
      <c r="BB8" s="216" t="s">
        <v>102</v>
      </c>
      <c r="BC8" s="216" t="s">
        <v>123</v>
      </c>
      <c r="BD8" s="216" t="s">
        <v>794</v>
      </c>
      <c r="BE8" s="216" t="s">
        <v>1548</v>
      </c>
      <c r="BF8" s="216" t="s">
        <v>102</v>
      </c>
      <c r="BG8" s="216" t="s">
        <v>123</v>
      </c>
      <c r="BH8" s="216" t="s">
        <v>794</v>
      </c>
      <c r="BI8" s="216" t="s">
        <v>1548</v>
      </c>
      <c r="BJ8" s="216" t="s">
        <v>102</v>
      </c>
      <c r="BK8" s="216" t="s">
        <v>123</v>
      </c>
      <c r="BL8" s="216" t="s">
        <v>794</v>
      </c>
      <c r="BM8" s="216" t="s">
        <v>1548</v>
      </c>
      <c r="BN8" s="216" t="s">
        <v>102</v>
      </c>
      <c r="BO8" s="216" t="s">
        <v>123</v>
      </c>
      <c r="BP8" s="216" t="s">
        <v>794</v>
      </c>
      <c r="BQ8" s="216" t="s">
        <v>1548</v>
      </c>
      <c r="BR8" s="216" t="s">
        <v>102</v>
      </c>
      <c r="BS8" s="216" t="s">
        <v>123</v>
      </c>
      <c r="BT8" s="216" t="s">
        <v>794</v>
      </c>
      <c r="BU8" s="216" t="s">
        <v>1548</v>
      </c>
      <c r="BV8" s="216" t="s">
        <v>102</v>
      </c>
      <c r="BW8" s="216" t="s">
        <v>123</v>
      </c>
      <c r="BX8" s="216" t="s">
        <v>794</v>
      </c>
      <c r="BY8" s="216" t="s">
        <v>1548</v>
      </c>
      <c r="BZ8" s="216" t="s">
        <v>102</v>
      </c>
      <c r="CA8" s="216" t="s">
        <v>123</v>
      </c>
      <c r="CB8" s="216" t="s">
        <v>794</v>
      </c>
      <c r="CC8" s="216" t="s">
        <v>1548</v>
      </c>
      <c r="CD8" s="216" t="s">
        <v>102</v>
      </c>
      <c r="CE8" s="216" t="s">
        <v>123</v>
      </c>
      <c r="CF8" s="216"/>
      <c r="CG8" s="216" t="s">
        <v>1548</v>
      </c>
      <c r="CH8" s="216" t="s">
        <v>102</v>
      </c>
      <c r="CI8" s="216" t="s">
        <v>123</v>
      </c>
      <c r="CJ8" s="216" t="s">
        <v>183</v>
      </c>
      <c r="CK8" s="216" t="str">
        <f>'B2.入力_第2~4面'!H10</f>
        <v>(基)</v>
      </c>
      <c r="CL8" s="216" t="str">
        <f>'B2.入力_第2~4面'!H11</f>
        <v>(調)</v>
      </c>
      <c r="CM8" s="216" t="s">
        <v>184</v>
      </c>
      <c r="CN8" s="216" t="str">
        <f>'B2.入力_第2~4面'!H12</f>
        <v>(基)</v>
      </c>
      <c r="CO8" s="216" t="str">
        <f>'B2.入力_第2~4面'!H13</f>
        <v>(調)</v>
      </c>
      <c r="CP8" s="216" t="s">
        <v>185</v>
      </c>
      <c r="CQ8" s="216" t="str">
        <f>'B2.入力_第2~4面'!H14</f>
        <v>(基)</v>
      </c>
      <c r="CR8" s="216" t="str">
        <f>'B2.入力_第2~4面'!H15</f>
        <v>(調)</v>
      </c>
      <c r="CS8" s="217" t="str">
        <f>'B2.入力_第2~4面'!F19</f>
        <v>基準年度</v>
      </c>
      <c r="CT8" s="216"/>
      <c r="CU8" s="217" t="str">
        <f>'B2.入力_第2~4面'!I19</f>
        <v>目標年度</v>
      </c>
      <c r="CV8" s="216"/>
      <c r="CW8" s="215" t="str">
        <f>'B2.入力_第2~4面'!L19</f>
        <v>第１年度</v>
      </c>
      <c r="CY8" s="215" t="str">
        <f>'B2.入力_第2~4面'!O19</f>
        <v>第２年度</v>
      </c>
      <c r="DA8" s="215" t="str">
        <f>'B2.入力_第2~4面'!R19</f>
        <v>第３年度</v>
      </c>
      <c r="DC8" s="217" t="str">
        <f>'B2.入力_第2~4面'!F19</f>
        <v>基準年度</v>
      </c>
      <c r="DD8" s="216"/>
      <c r="DE8" s="217" t="str">
        <f>'B2.入力_第2~4面'!I19</f>
        <v>目標年度</v>
      </c>
      <c r="DG8" s="217" t="str">
        <f>'B2.入力_第2~4面'!L19</f>
        <v>第１年度</v>
      </c>
      <c r="DI8" s="216" t="str">
        <f>'B2.入力_第2~4面'!O19</f>
        <v>第２年度</v>
      </c>
      <c r="DJ8" s="216"/>
      <c r="DK8" s="216" t="str">
        <f>'B2.入力_第2~4面'!R19</f>
        <v>第３年度</v>
      </c>
      <c r="DL8" s="216"/>
      <c r="DM8" s="215" t="str">
        <f>'B2.入力_第2~4面'!F19</f>
        <v>基準年度</v>
      </c>
      <c r="DO8" s="215" t="str">
        <f>'B2.入力_第2~4面'!I19</f>
        <v>目標年度</v>
      </c>
      <c r="DQ8" s="216" t="str">
        <f>'B2.入力_第2~4面'!L19</f>
        <v>第１年度</v>
      </c>
      <c r="DR8" s="216"/>
      <c r="DS8" s="216" t="str">
        <f>'B2.入力_第2~4面'!O19</f>
        <v>第２年度</v>
      </c>
      <c r="DT8" s="216"/>
      <c r="DU8" s="215" t="str">
        <f>'B2.入力_第2~4面'!R19</f>
        <v>第３年度</v>
      </c>
      <c r="DV8" s="216"/>
      <c r="DW8" s="215" t="str">
        <f>'B2.入力_第2~4面'!F19</f>
        <v>基準年度</v>
      </c>
      <c r="DX8" s="216"/>
      <c r="DY8" s="216" t="str">
        <f>'B2.入力_第2~4面'!I19</f>
        <v>目標年度</v>
      </c>
      <c r="DZ8" s="216"/>
      <c r="EA8" s="216" t="str">
        <f>'B2.入力_第2~4面'!L19</f>
        <v>第１年度</v>
      </c>
      <c r="EB8" s="216"/>
      <c r="EC8" s="216" t="str">
        <f>'B2.入力_第2~4面'!O19</f>
        <v>第２年度</v>
      </c>
      <c r="ED8" s="216"/>
      <c r="EE8" s="217" t="str">
        <f>'B2.入力_第2~4面'!R19</f>
        <v>第３年度</v>
      </c>
      <c r="EF8" s="216"/>
      <c r="EG8" s="216" t="str">
        <f>'B2.入力_第2~4面'!$B$31</f>
        <v>対策区分</v>
      </c>
      <c r="EH8" s="216" t="str">
        <f>'B2.入力_第2~4面'!$E$31</f>
        <v>内容</v>
      </c>
      <c r="EI8" s="216" t="str">
        <f>'B2.入力_第2~4面'!$L$30</f>
        <v>実績</v>
      </c>
      <c r="EJ8" s="216"/>
      <c r="EK8" s="216"/>
      <c r="EL8" s="216" t="str">
        <f>'B2.入力_第2~4面'!$B$31</f>
        <v>対策区分</v>
      </c>
      <c r="EM8" s="216" t="str">
        <f>'B2.入力_第2~4面'!$E$31</f>
        <v>内容</v>
      </c>
      <c r="EN8" s="216" t="str">
        <f>'B2.入力_第2~4面'!$L$30</f>
        <v>実績</v>
      </c>
      <c r="EO8" s="216"/>
      <c r="EP8" s="216"/>
      <c r="EQ8" s="216" t="str">
        <f>'B2.入力_第2~4面'!$B$31</f>
        <v>対策区分</v>
      </c>
      <c r="ER8" s="216" t="str">
        <f>'B2.入力_第2~4面'!$E$31</f>
        <v>内容</v>
      </c>
      <c r="ES8" s="216" t="str">
        <f>'B2.入力_第2~4面'!$L$30</f>
        <v>実績</v>
      </c>
      <c r="ET8" s="216"/>
      <c r="EU8" s="216"/>
      <c r="EV8" s="216" t="str">
        <f>'B2.入力_第2~4面'!$B$31</f>
        <v>対策区分</v>
      </c>
      <c r="EW8" s="216" t="str">
        <f>'B2.入力_第2~4面'!$E$31</f>
        <v>内容</v>
      </c>
      <c r="EX8" s="216" t="str">
        <f>'B2.入力_第2~4面'!$L$30</f>
        <v>実績</v>
      </c>
      <c r="EY8" s="216"/>
      <c r="EZ8" s="216"/>
      <c r="FA8" s="216" t="str">
        <f>'B2.入力_第2~4面'!$B$31</f>
        <v>対策区分</v>
      </c>
      <c r="FB8" s="216" t="str">
        <f>'B2.入力_第2~4面'!$E$31</f>
        <v>内容</v>
      </c>
      <c r="FC8" s="216" t="str">
        <f>'B2.入力_第2~4面'!$L$30</f>
        <v>実績</v>
      </c>
      <c r="FD8" s="216"/>
      <c r="FE8" s="216"/>
      <c r="FF8" s="216" t="str">
        <f>'B2.入力_第2~4面'!$B$39</f>
        <v>名称</v>
      </c>
      <c r="FG8" s="216" t="str">
        <f>'B2.入力_第2~4面'!$E$39</f>
        <v>所在地</v>
      </c>
      <c r="FH8" s="216" t="str">
        <f>'B2.入力_第2~4面'!$I$39</f>
        <v>計画</v>
      </c>
      <c r="FI8" s="216" t="str">
        <f>'B2.入力_第2~4面'!$L$39</f>
        <v>実績</v>
      </c>
      <c r="FJ8" s="216"/>
      <c r="FK8" s="216"/>
      <c r="FL8" s="216" t="str">
        <f>'B2.入力_第2~4面'!$B$39</f>
        <v>名称</v>
      </c>
      <c r="FM8" s="216" t="str">
        <f>'B2.入力_第2~4面'!$E$39</f>
        <v>所在地</v>
      </c>
      <c r="FN8" s="216" t="str">
        <f>'B2.入力_第2~4面'!$I$39</f>
        <v>計画</v>
      </c>
      <c r="FO8" s="216" t="str">
        <f>'B2.入力_第2~4面'!$L$39</f>
        <v>実績</v>
      </c>
      <c r="FP8" s="216"/>
      <c r="FQ8" s="216"/>
      <c r="FR8" s="216" t="str">
        <f>'B2.入力_第2~4面'!$B$39</f>
        <v>名称</v>
      </c>
      <c r="FS8" s="216" t="str">
        <f>'B2.入力_第2~4面'!$E$39</f>
        <v>所在地</v>
      </c>
      <c r="FT8" s="216" t="str">
        <f>'B2.入力_第2~4面'!$I$39</f>
        <v>計画</v>
      </c>
      <c r="FU8" s="216" t="str">
        <f>'B2.入力_第2~4面'!$L$39</f>
        <v>実績</v>
      </c>
      <c r="FV8" s="216"/>
      <c r="FW8" s="216"/>
      <c r="FX8" s="216" t="str">
        <f>'B2.入力_第2~4面'!$B$39</f>
        <v>名称</v>
      </c>
      <c r="FY8" s="216" t="str">
        <f>'B2.入力_第2~4面'!$E$39</f>
        <v>所在地</v>
      </c>
      <c r="FZ8" s="216" t="str">
        <f>'B2.入力_第2~4面'!$I$39</f>
        <v>計画</v>
      </c>
      <c r="GA8" s="216" t="str">
        <f>'B2.入力_第2~4面'!$L$39</f>
        <v>実績</v>
      </c>
      <c r="GB8" s="216"/>
      <c r="GC8" s="216"/>
      <c r="GD8" s="216" t="str">
        <f>'B2.入力_第2~4面'!$B$39</f>
        <v>名称</v>
      </c>
      <c r="GE8" s="216" t="str">
        <f>'B2.入力_第2~4面'!$E$39</f>
        <v>所在地</v>
      </c>
      <c r="GF8" s="216" t="str">
        <f>'B2.入力_第2~4面'!$I$39</f>
        <v>計画</v>
      </c>
      <c r="GG8" s="216" t="str">
        <f>'B2.入力_第2~4面'!$L$39</f>
        <v>実績</v>
      </c>
      <c r="GH8" s="216"/>
      <c r="GI8" s="216"/>
      <c r="GJ8" s="216" t="str">
        <f>'B2.入力_第2~4面'!$B$39</f>
        <v>名称</v>
      </c>
      <c r="GK8" s="216" t="str">
        <f>'B2.入力_第2~4面'!$E$39</f>
        <v>所在地</v>
      </c>
      <c r="GL8" s="216" t="str">
        <f>'B2.入力_第2~4面'!$I$39</f>
        <v>計画</v>
      </c>
      <c r="GM8" s="216" t="str">
        <f>'B2.入力_第2~4面'!$L$39</f>
        <v>実績</v>
      </c>
      <c r="GN8" s="216"/>
      <c r="GO8" s="216"/>
      <c r="GP8" s="216" t="str">
        <f>'B2.入力_第2~4面'!$B$39</f>
        <v>名称</v>
      </c>
      <c r="GQ8" s="216" t="str">
        <f>'B2.入力_第2~4面'!$E$39</f>
        <v>所在地</v>
      </c>
      <c r="GR8" s="216" t="str">
        <f>'B2.入力_第2~4面'!$I$39</f>
        <v>計画</v>
      </c>
      <c r="GS8" s="216" t="str">
        <f>'B2.入力_第2~4面'!$L$39</f>
        <v>実績</v>
      </c>
      <c r="GT8" s="216"/>
      <c r="GU8" s="216"/>
      <c r="GV8" s="216" t="str">
        <f>'B2.入力_第2~4面'!$B$39</f>
        <v>名称</v>
      </c>
      <c r="GW8" s="216" t="str">
        <f>'B2.入力_第2~4面'!$E$39</f>
        <v>所在地</v>
      </c>
      <c r="GX8" s="216" t="str">
        <f>'B2.入力_第2~4面'!$I$39</f>
        <v>計画</v>
      </c>
      <c r="GY8" s="216" t="str">
        <f>'B2.入力_第2~4面'!$L$39</f>
        <v>実績</v>
      </c>
      <c r="GZ8" s="216"/>
      <c r="HA8" s="216"/>
      <c r="HB8" s="216" t="str">
        <f>'B2.入力_第2~4面'!$B$39</f>
        <v>名称</v>
      </c>
      <c r="HC8" s="216" t="str">
        <f>'B2.入力_第2~4面'!$E$39</f>
        <v>所在地</v>
      </c>
      <c r="HD8" s="216" t="str">
        <f>'B2.入力_第2~4面'!$I$39</f>
        <v>計画</v>
      </c>
      <c r="HE8" s="216" t="str">
        <f>'B2.入力_第2~4面'!$L$39</f>
        <v>実績</v>
      </c>
      <c r="HF8" s="216"/>
      <c r="HG8" s="216"/>
      <c r="HH8" s="216" t="str">
        <f>'B2.入力_第2~4面'!$B$39</f>
        <v>名称</v>
      </c>
      <c r="HI8" s="216" t="str">
        <f>'B2.入力_第2~4面'!$E$39</f>
        <v>所在地</v>
      </c>
      <c r="HJ8" s="216" t="str">
        <f>'B2.入力_第2~4面'!$I$39</f>
        <v>計画</v>
      </c>
      <c r="HK8" s="216" t="str">
        <f>'B2.入力_第2~4面'!$L$39</f>
        <v>実績</v>
      </c>
      <c r="HL8" s="216"/>
      <c r="HM8" s="216"/>
      <c r="HN8" s="216" t="s">
        <v>183</v>
      </c>
      <c r="HO8" s="216" t="str">
        <f>'B2.入力_第2~4面'!H56</f>
        <v>(基)</v>
      </c>
      <c r="HP8" s="216" t="str">
        <f>'B2.入力_第2~4面'!H57</f>
        <v>(調)</v>
      </c>
      <c r="HQ8" s="216" t="s">
        <v>184</v>
      </c>
      <c r="HR8" s="216" t="str">
        <f>'B2.入力_第2~4面'!H58</f>
        <v>(基)</v>
      </c>
      <c r="HS8" s="216" t="str">
        <f>'B2.入力_第2~4面'!H59</f>
        <v>(調)</v>
      </c>
      <c r="HT8" s="216" t="s">
        <v>185</v>
      </c>
      <c r="HU8" s="216" t="str">
        <f>'B2.入力_第2~4面'!H60</f>
        <v>(基)</v>
      </c>
      <c r="HV8" s="216" t="str">
        <f>'B2.入力_第2~4面'!H61</f>
        <v>(調)</v>
      </c>
      <c r="HW8" s="217" t="str">
        <f>'B2.入力_第2~4面'!F65</f>
        <v>基準年度</v>
      </c>
      <c r="HX8" s="216"/>
      <c r="HY8" s="215" t="str">
        <f>'B2.入力_第2~4面'!I65</f>
        <v>目標年度</v>
      </c>
      <c r="IA8" s="217" t="str">
        <f>'B2.入力_第2~4面'!L65</f>
        <v>第１年度</v>
      </c>
      <c r="IC8" s="217" t="str">
        <f>'B2.入力_第2~4面'!O65</f>
        <v>第２年度</v>
      </c>
      <c r="IE8" s="217" t="str">
        <f>'B2.入力_第2~4面'!R65</f>
        <v>第３年度</v>
      </c>
      <c r="IG8" s="216" t="str">
        <f>'B2.入力_第2~4面'!F65</f>
        <v>基準年度</v>
      </c>
      <c r="IH8" s="216"/>
      <c r="II8" s="216" t="str">
        <f>'B2.入力_第2~4面'!I65</f>
        <v>目標年度</v>
      </c>
      <c r="IJ8" s="216"/>
      <c r="IK8" s="216" t="str">
        <f>'B2.入力_第2~4面'!L65</f>
        <v>第１年度</v>
      </c>
      <c r="IL8" s="216"/>
      <c r="IM8" s="216" t="str">
        <f>'B2.入力_第2~4面'!O65</f>
        <v>第２年度</v>
      </c>
      <c r="IN8" s="216"/>
      <c r="IO8" s="216" t="str">
        <f>'B2.入力_第2~4面'!R65</f>
        <v>第３年度</v>
      </c>
      <c r="IP8" s="216"/>
      <c r="IQ8" s="216" t="str">
        <f>'B2.入力_第2~4面'!F65</f>
        <v>基準年度</v>
      </c>
      <c r="IR8" s="216"/>
      <c r="IS8" s="216" t="str">
        <f>'B2.入力_第2~4面'!I65</f>
        <v>目標年度</v>
      </c>
      <c r="IT8" s="216"/>
      <c r="IU8" s="216" t="str">
        <f>'B2.入力_第2~4面'!L65</f>
        <v>第１年度</v>
      </c>
      <c r="IV8" s="216"/>
      <c r="IW8" s="216" t="str">
        <f>'B2.入力_第2~4面'!O65</f>
        <v>第２年度</v>
      </c>
      <c r="IX8" s="216"/>
      <c r="IY8" s="216" t="str">
        <f>'B2.入力_第2~4面'!R65</f>
        <v>第３年度</v>
      </c>
      <c r="IZ8" s="216"/>
      <c r="JA8" s="216" t="str">
        <f>'B2.入力_第2~4面'!F65</f>
        <v>基準年度</v>
      </c>
      <c r="JB8" s="216"/>
      <c r="JC8" s="216" t="str">
        <f>'B2.入力_第2~4面'!I65</f>
        <v>目標年度</v>
      </c>
      <c r="JD8" s="216"/>
      <c r="JE8" s="216" t="str">
        <f>'B2.入力_第2~4面'!L65</f>
        <v>第１年度</v>
      </c>
      <c r="JF8" s="216"/>
      <c r="JG8" s="216" t="str">
        <f>'B2.入力_第2~4面'!O65</f>
        <v>第２年度</v>
      </c>
      <c r="JH8" s="216"/>
      <c r="JI8" s="215" t="str">
        <f>'B2.入力_第2~4面'!R65</f>
        <v>第３年度</v>
      </c>
      <c r="JJ8" s="216"/>
      <c r="JK8" s="216" t="str">
        <f>'B2.入力_第2~4面'!$B$77</f>
        <v>対策区分</v>
      </c>
      <c r="JL8" s="216" t="str">
        <f>'B2.入力_第2~4面'!$E$77</f>
        <v>内容</v>
      </c>
      <c r="JM8" s="216" t="str">
        <f>'B2.入力_第2~4面'!$L$76</f>
        <v>実績</v>
      </c>
      <c r="JN8" s="216"/>
      <c r="JO8" s="216"/>
      <c r="JP8" s="216" t="str">
        <f>'B2.入力_第2~4面'!$B$77</f>
        <v>対策区分</v>
      </c>
      <c r="JQ8" s="216" t="str">
        <f>'B2.入力_第2~4面'!$E$77</f>
        <v>内容</v>
      </c>
      <c r="JR8" s="216" t="str">
        <f>'B2.入力_第2~4面'!$L$76</f>
        <v>実績</v>
      </c>
      <c r="JS8" s="216"/>
      <c r="JT8" s="216"/>
      <c r="JU8" s="216" t="str">
        <f>'B2.入力_第2~4面'!$B$77</f>
        <v>対策区分</v>
      </c>
      <c r="JV8" s="216" t="str">
        <f>'B2.入力_第2~4面'!$E$77</f>
        <v>内容</v>
      </c>
      <c r="JW8" s="216" t="str">
        <f>'B2.入力_第2~4面'!$L$76</f>
        <v>実績</v>
      </c>
      <c r="JX8" s="216"/>
      <c r="JY8" s="216"/>
      <c r="JZ8" s="216" t="str">
        <f>'B2.入力_第2~4面'!$B$77</f>
        <v>対策区分</v>
      </c>
      <c r="KA8" s="216" t="str">
        <f>'B2.入力_第2~4面'!$E$77</f>
        <v>内容</v>
      </c>
      <c r="KB8" s="216" t="str">
        <f>'B2.入力_第2~4面'!$L$76</f>
        <v>実績</v>
      </c>
      <c r="KC8" s="216"/>
      <c r="KD8" s="216"/>
      <c r="KE8" s="216" t="str">
        <f>'B2.入力_第2~4面'!$B$77</f>
        <v>対策区分</v>
      </c>
      <c r="KF8" s="216" t="str">
        <f>'B2.入力_第2~4面'!$E$77</f>
        <v>内容</v>
      </c>
      <c r="KG8" s="216" t="str">
        <f>'B2.入力_第2~4面'!$L$76</f>
        <v>実績</v>
      </c>
      <c r="KH8" s="216"/>
      <c r="KI8" s="216"/>
      <c r="KJ8" s="216"/>
      <c r="KK8" s="216"/>
      <c r="KL8" s="216"/>
      <c r="KM8" s="216" t="str">
        <f>'B2.入力_第2~4面'!F94</f>
        <v>基準年度</v>
      </c>
      <c r="KN8" s="216" t="str">
        <f>'B2.入力_第2~4面'!I94</f>
        <v>目標年度</v>
      </c>
      <c r="KO8" s="216" t="str">
        <f>'B2.入力_第2~4面'!L94</f>
        <v>第１年度</v>
      </c>
      <c r="KP8" s="216" t="str">
        <f>'B2.入力_第2~4面'!O94</f>
        <v>第２年度</v>
      </c>
      <c r="KQ8" s="216" t="str">
        <f>'B2.入力_第2~4面'!R94</f>
        <v>第３年度</v>
      </c>
      <c r="KR8" s="215" t="str">
        <f>'B2.入力_第2~4面'!F94</f>
        <v>基準年度</v>
      </c>
      <c r="KS8" s="215" t="str">
        <f>'B2.入力_第2~4面'!I94</f>
        <v>目標年度</v>
      </c>
      <c r="KT8" s="215" t="str">
        <f>'B2.入力_第2~4面'!L94</f>
        <v>第１年度</v>
      </c>
      <c r="KU8" s="215" t="str">
        <f>'B2.入力_第2~4面'!O94</f>
        <v>第２年度</v>
      </c>
      <c r="KV8" s="215" t="str">
        <f>'B2.入力_第2~4面'!R94</f>
        <v>第３年度</v>
      </c>
      <c r="KW8" s="215" t="str">
        <f>'B2.入力_第2~4面'!F94</f>
        <v>基準年度</v>
      </c>
      <c r="KX8" s="215" t="str">
        <f>'B2.入力_第2~4面'!I94</f>
        <v>目標年度</v>
      </c>
      <c r="KY8" s="216" t="str">
        <f>'B2.入力_第2~4面'!L94</f>
        <v>第１年度</v>
      </c>
      <c r="KZ8" s="216" t="str">
        <f>'B2.入力_第2~4面'!O94</f>
        <v>第２年度</v>
      </c>
      <c r="LA8" s="216" t="str">
        <f>'B2.入力_第2~4面'!R94</f>
        <v>第３年度</v>
      </c>
      <c r="LB8" s="216"/>
      <c r="LC8" s="216"/>
      <c r="LD8" s="216"/>
      <c r="LE8" s="216" t="str">
        <f>'B2.入力_第2~4面'!F109</f>
        <v>基準年度</v>
      </c>
      <c r="LF8" s="216" t="str">
        <f>'B2.入力_第2~4面'!I109</f>
        <v>目標年度</v>
      </c>
      <c r="LG8" s="216" t="str">
        <f>'B2.入力_第2~4面'!L109</f>
        <v>第１年度</v>
      </c>
      <c r="LH8" s="216" t="str">
        <f>'B2.入力_第2~4面'!O109</f>
        <v>第２年度</v>
      </c>
      <c r="LI8" s="216" t="str">
        <f>'B2.入力_第2~4面'!R109</f>
        <v>第３年度</v>
      </c>
      <c r="LJ8" s="216" t="str">
        <f>'B2.入力_第2~4面'!F109</f>
        <v>基準年度</v>
      </c>
      <c r="LK8" s="216" t="str">
        <f>'B2.入力_第2~4面'!I109</f>
        <v>目標年度</v>
      </c>
      <c r="LL8" s="216" t="str">
        <f>'B2.入力_第2~4面'!L109</f>
        <v>第１年度</v>
      </c>
      <c r="LM8" s="216" t="str">
        <f>'B2.入力_第2~4面'!O109</f>
        <v>第２年度</v>
      </c>
      <c r="LN8" s="216" t="str">
        <f>'B2.入力_第2~4面'!R109</f>
        <v>第３年度</v>
      </c>
      <c r="LO8" s="216" t="str">
        <f>'B2.入力_第2~4面'!F109</f>
        <v>基準年度</v>
      </c>
      <c r="LP8" s="216" t="str">
        <f>'B2.入力_第2~4面'!I109</f>
        <v>目標年度</v>
      </c>
      <c r="LQ8" s="216" t="str">
        <f>'B2.入力_第2~4面'!L109</f>
        <v>第１年度</v>
      </c>
      <c r="LR8" s="216" t="str">
        <f>'B2.入力_第2~4面'!O109</f>
        <v>第２年度</v>
      </c>
      <c r="LS8" s="216" t="str">
        <f>'B2.入力_第2~4面'!R109</f>
        <v>第３年度</v>
      </c>
      <c r="LT8" s="216" t="str">
        <f>'B2.入力_第2~4面'!F119</f>
        <v>基準年度</v>
      </c>
      <c r="LU8" s="216" t="str">
        <f>'B2.入力_第2~4面'!I119</f>
        <v>目標年度</v>
      </c>
      <c r="LV8" s="216" t="str">
        <f>'B2.入力_第2~4面'!L119</f>
        <v>第１年度</v>
      </c>
      <c r="LW8" s="216" t="str">
        <f>'B2.入力_第2~4面'!O119</f>
        <v>第２年度</v>
      </c>
      <c r="LX8" s="216" t="str">
        <f>'B2.入力_第2~4面'!R119</f>
        <v>第３年度</v>
      </c>
      <c r="LY8" s="216" t="str">
        <f>'B2.入力_第2~4面'!$F$127</f>
        <v>基準年度</v>
      </c>
      <c r="LZ8" s="216" t="str">
        <f>'B2.入力_第2~4面'!$I$127</f>
        <v>目標年度</v>
      </c>
      <c r="MA8" s="216" t="str">
        <f>'B2.入力_第2~4面'!$L$127</f>
        <v>第１年度</v>
      </c>
      <c r="MB8" s="216" t="str">
        <f>'B2.入力_第2~4面'!$O$127</f>
        <v>第２年度</v>
      </c>
      <c r="MC8" s="216" t="str">
        <f>'B2.入力_第2~4面'!$R$127</f>
        <v>第３年度</v>
      </c>
      <c r="MD8" s="216" t="str">
        <f>'B2.入力_第2~4面'!$F$127</f>
        <v>基準年度</v>
      </c>
      <c r="ME8" s="216" t="str">
        <f>'B2.入力_第2~4面'!$I$127</f>
        <v>目標年度</v>
      </c>
      <c r="MF8" s="216" t="str">
        <f>'B2.入力_第2~4面'!$L$127</f>
        <v>第１年度</v>
      </c>
      <c r="MG8" s="216" t="str">
        <f>'B2.入力_第2~4面'!$O$127</f>
        <v>第２年度</v>
      </c>
      <c r="MH8" s="216" t="str">
        <f>'B2.入力_第2~4面'!$R$127</f>
        <v>第３年度</v>
      </c>
      <c r="MI8" s="216" t="str">
        <f>'B2.入力_第2~4面'!$F$127</f>
        <v>基準年度</v>
      </c>
      <c r="MJ8" s="216" t="str">
        <f>'B2.入力_第2~4面'!$I$127</f>
        <v>目標年度</v>
      </c>
      <c r="MK8" s="216" t="str">
        <f>'B2.入力_第2~4面'!$L$127</f>
        <v>第１年度</v>
      </c>
      <c r="ML8" s="216" t="str">
        <f>'B2.入力_第2~4面'!$O$127</f>
        <v>第２年度</v>
      </c>
      <c r="MM8" s="216" t="str">
        <f>'B2.入力_第2~4面'!$R$127</f>
        <v>第３年度</v>
      </c>
      <c r="MN8" s="216" t="str">
        <f>'B2.入力_第2~4面'!$F$127</f>
        <v>基準年度</v>
      </c>
      <c r="MO8" s="216" t="str">
        <f>'B2.入力_第2~4面'!$I$127</f>
        <v>目標年度</v>
      </c>
      <c r="MP8" s="216" t="str">
        <f>'B2.入力_第2~4面'!$L$127</f>
        <v>第１年度</v>
      </c>
      <c r="MQ8" s="216" t="str">
        <f>'B2.入力_第2~4面'!$O$127</f>
        <v>第２年度</v>
      </c>
      <c r="MR8" s="216" t="str">
        <f>'B2.入力_第2~4面'!$R$127</f>
        <v>第３年度</v>
      </c>
      <c r="MS8" s="216" t="str">
        <f>'B2.入力_第2~4面'!$F$127</f>
        <v>基準年度</v>
      </c>
      <c r="MT8" s="216" t="str">
        <f>'B2.入力_第2~4面'!$I$127</f>
        <v>目標年度</v>
      </c>
      <c r="MU8" s="216" t="str">
        <f>'B2.入力_第2~4面'!$L$127</f>
        <v>第１年度</v>
      </c>
      <c r="MV8" s="216" t="str">
        <f>'B2.入力_第2~4面'!$O$127</f>
        <v>第２年度</v>
      </c>
      <c r="MW8" s="216" t="str">
        <f>'B2.入力_第2~4面'!$R$127</f>
        <v>第３年度</v>
      </c>
      <c r="MX8" s="216" t="str">
        <f>'B2.入力_第2~4面'!F136</f>
        <v>基準年度</v>
      </c>
      <c r="MY8" s="216" t="str">
        <f>'B2.入力_第2~4面'!I136</f>
        <v>目標年度</v>
      </c>
      <c r="MZ8" s="216" t="str">
        <f>'B2.入力_第2~4面'!L136</f>
        <v>第１年度</v>
      </c>
      <c r="NA8" s="216" t="str">
        <f>'B2.入力_第2~4面'!O136</f>
        <v>第２年度</v>
      </c>
      <c r="NB8" s="216" t="str">
        <f>'B2.入力_第2~4面'!R136</f>
        <v>第３年度</v>
      </c>
      <c r="NC8" s="216" t="str">
        <f>'B2.入力_第2~4面'!$F$144</f>
        <v>基準年度</v>
      </c>
      <c r="ND8" s="216" t="str">
        <f>'B2.入力_第2~4面'!$I$144</f>
        <v>目標年度</v>
      </c>
      <c r="NE8" s="216" t="str">
        <f>'B2.入力_第2~4面'!$L$144</f>
        <v>第１年度</v>
      </c>
      <c r="NF8" s="216" t="str">
        <f>'B2.入力_第2~4面'!$O$144</f>
        <v>第２年度</v>
      </c>
      <c r="NG8" s="216" t="str">
        <f>'B2.入力_第2~4面'!$R$144</f>
        <v>第３年度</v>
      </c>
      <c r="NH8" s="216" t="str">
        <f>'B2.入力_第2~4面'!$F$144</f>
        <v>基準年度</v>
      </c>
      <c r="NI8" s="216" t="str">
        <f>'B2.入力_第2~4面'!$I$144</f>
        <v>目標年度</v>
      </c>
      <c r="NJ8" s="216" t="str">
        <f>'B2.入力_第2~4面'!$L$144</f>
        <v>第１年度</v>
      </c>
      <c r="NK8" s="216" t="str">
        <f>'B2.入力_第2~4面'!$O$144</f>
        <v>第２年度</v>
      </c>
      <c r="NL8" s="216" t="str">
        <f>'B2.入力_第2~4面'!$R$144</f>
        <v>第３年度</v>
      </c>
      <c r="NM8" s="216"/>
      <c r="NN8" s="216"/>
      <c r="NO8" s="216" t="str">
        <f>'B2.入力_第2~4面'!D149</f>
        <v>URL</v>
      </c>
      <c r="NP8" s="216" t="str">
        <f>'B2.入力_第2~4面'!D150</f>
        <v>その他</v>
      </c>
      <c r="NQ8" s="216" t="str">
        <f>'B2.入力_第2~4面'!$F$154</f>
        <v>基準年度</v>
      </c>
      <c r="NR8" s="216" t="str">
        <f>'B2.入力_第2~4面'!$I$154</f>
        <v>目標年度</v>
      </c>
      <c r="NS8" s="216" t="str">
        <f>'B2.入力_第2~4面'!$L$154</f>
        <v>第１年度</v>
      </c>
      <c r="NT8" s="216" t="str">
        <f>'B2.入力_第2~4面'!$O$154</f>
        <v>第２年度</v>
      </c>
      <c r="NU8" s="216" t="str">
        <f>'B2.入力_第2~4面'!$R$154</f>
        <v>第３年度</v>
      </c>
      <c r="NV8" s="216"/>
      <c r="NW8" s="216"/>
      <c r="NX8" s="216" t="str">
        <f>'B2.入力_第2~4面'!D158</f>
        <v>URL</v>
      </c>
      <c r="NY8" s="216" t="str">
        <f>'B2.入力_第2~4面'!D159</f>
        <v>その他</v>
      </c>
      <c r="NZ8" s="216" t="str">
        <f>'B2.入力_第2~4面'!$F$163</f>
        <v>基準年度</v>
      </c>
      <c r="OA8" s="216" t="str">
        <f>'B2.入力_第2~4面'!$I$163</f>
        <v>目標年度</v>
      </c>
      <c r="OB8" s="216" t="str">
        <f>'B2.入力_第2~4面'!$L$163</f>
        <v>第１年度</v>
      </c>
      <c r="OC8" s="216" t="str">
        <f>'B2.入力_第2~4面'!$O$163</f>
        <v>第２年度</v>
      </c>
      <c r="OD8" s="216" t="str">
        <f>'B2.入力_第2~4面'!$R$163</f>
        <v>第３年度</v>
      </c>
      <c r="OE8" s="216" t="str">
        <f>'B2.入力_第2~4面'!$F$163</f>
        <v>基準年度</v>
      </c>
      <c r="OF8" s="216" t="str">
        <f>'B2.入力_第2~4面'!$I$163</f>
        <v>目標年度</v>
      </c>
      <c r="OG8" s="216" t="str">
        <f>'B2.入力_第2~4面'!$L$163</f>
        <v>第１年度</v>
      </c>
      <c r="OH8" s="216" t="str">
        <f>'B2.入力_第2~4面'!$O$163</f>
        <v>第２年度</v>
      </c>
      <c r="OI8" s="216" t="str">
        <f>'B2.入力_第2~4面'!$R$163</f>
        <v>第３年度</v>
      </c>
      <c r="OJ8" s="216" t="str">
        <f>'B2.入力_第2~4面'!$F$163</f>
        <v>基準年度</v>
      </c>
      <c r="OK8" s="216" t="str">
        <f>'B2.入力_第2~4面'!$I$163</f>
        <v>目標年度</v>
      </c>
      <c r="OL8" s="216" t="str">
        <f>'B2.入力_第2~4面'!$L$163</f>
        <v>第１年度</v>
      </c>
      <c r="OM8" s="216" t="str">
        <f>'B2.入力_第2~4面'!$O$163</f>
        <v>第２年度</v>
      </c>
      <c r="ON8" s="216" t="str">
        <f>'B2.入力_第2~4面'!$R$163</f>
        <v>第３年度</v>
      </c>
      <c r="OO8" s="216" t="str">
        <f>'B2.入力_第2~4面'!$F$163</f>
        <v>基準年度</v>
      </c>
      <c r="OP8" s="216" t="str">
        <f>'B2.入力_第2~4面'!$I$163</f>
        <v>目標年度</v>
      </c>
      <c r="OQ8" s="216" t="str">
        <f>'B2.入力_第2~4面'!$L$163</f>
        <v>第１年度</v>
      </c>
      <c r="OR8" s="216" t="str">
        <f>'B2.入力_第2~4面'!$O$163</f>
        <v>第２年度</v>
      </c>
      <c r="OS8" s="216" t="str">
        <f>'B2.入力_第2~4面'!$R$163</f>
        <v>第３年度</v>
      </c>
      <c r="OT8" s="216" t="str">
        <f>'B2.入力_第2~4面'!$F$171</f>
        <v>基準年度</v>
      </c>
      <c r="OU8" s="216" t="str">
        <f>'B2.入力_第2~4面'!$I$171</f>
        <v>目標年度</v>
      </c>
      <c r="OV8" s="216" t="str">
        <f>'B2.入力_第2~4面'!$L$171</f>
        <v>第１年度</v>
      </c>
      <c r="OW8" s="216" t="str">
        <f>'B2.入力_第2~4面'!$O$171</f>
        <v>第２年度</v>
      </c>
      <c r="OX8" s="216" t="str">
        <f>'B2.入力_第2~4面'!$R$171</f>
        <v>第３年度</v>
      </c>
      <c r="OY8" s="216" t="str">
        <f>'B2.入力_第2~4面'!$F$171</f>
        <v>基準年度</v>
      </c>
      <c r="OZ8" s="216" t="str">
        <f>'B2.入力_第2~4面'!$I$171</f>
        <v>目標年度</v>
      </c>
      <c r="PA8" s="216" t="str">
        <f>'B2.入力_第2~4面'!$L$171</f>
        <v>第１年度</v>
      </c>
      <c r="PB8" s="216" t="str">
        <f>'B2.入力_第2~4面'!$O$171</f>
        <v>第２年度</v>
      </c>
      <c r="PC8" s="216" t="str">
        <f>'B2.入力_第2~4面'!$R$171</f>
        <v>第３年度</v>
      </c>
      <c r="PD8" s="216" t="str">
        <f>'B2.入力_第2~4面'!$F$171</f>
        <v>基準年度</v>
      </c>
      <c r="PE8" s="216" t="str">
        <f>'B2.入力_第2~4面'!$I$171</f>
        <v>目標年度</v>
      </c>
      <c r="PF8" s="216" t="str">
        <f>'B2.入力_第2~4面'!$L$171</f>
        <v>第１年度</v>
      </c>
      <c r="PG8" s="216" t="str">
        <f>'B2.入力_第2~4面'!$O$171</f>
        <v>第２年度</v>
      </c>
      <c r="PH8" s="216" t="str">
        <f>'B2.入力_第2~4面'!$R$171</f>
        <v>第３年度</v>
      </c>
      <c r="PI8" s="216"/>
      <c r="PJ8" s="216"/>
      <c r="PK8" s="216"/>
      <c r="PL8" s="216"/>
      <c r="PM8" s="216"/>
      <c r="PN8" s="216"/>
      <c r="PO8" s="216"/>
      <c r="PP8" s="216"/>
      <c r="PQ8" s="216"/>
      <c r="PR8" s="216"/>
      <c r="PS8" s="216"/>
      <c r="PT8" s="216"/>
      <c r="PU8" s="216"/>
      <c r="PV8" s="216"/>
      <c r="PW8" s="216"/>
      <c r="PX8" s="216"/>
      <c r="PY8" s="216" t="str">
        <f>参考1_評価結果!$C$10</f>
        <v>①直近の排出量削減率</v>
      </c>
      <c r="PZ8" s="216"/>
      <c r="QA8" s="216" t="str">
        <f>参考1_評価結果!$C$12</f>
        <v>②過去からの排出量削減率</v>
      </c>
      <c r="QB8" s="216"/>
      <c r="QC8" s="216" t="str">
        <f>参考1_評価結果!$C$14</f>
        <v>③高い削減目標の設定</v>
      </c>
      <c r="QD8" s="216"/>
      <c r="QE8" s="216" t="str">
        <f>参考1_評価結果!$C$16</f>
        <v>エネルギー消費原単位の削減率</v>
      </c>
      <c r="QF8" s="216" t="str">
        <f>参考1_評価結果!$C$17</f>
        <v>使用電力の再エネ電源比率</v>
      </c>
      <c r="QG8" s="216" t="str">
        <f>参考1_評価結果!$C$18</f>
        <v>2050年までの脱炭素化の表明</v>
      </c>
      <c r="QH8" s="216" t="str">
        <f>参考1_評価結果!$C$19</f>
        <v>2050年までの脱炭素化を前提とした中長期計画の策定等</v>
      </c>
      <c r="QI8" s="216" t="str">
        <f>参考1_評価結果!$C$20</f>
        <v>SBT等イニシアティブに関する取組</v>
      </c>
      <c r="QJ8" s="216"/>
      <c r="QK8" s="216"/>
      <c r="QL8" s="216"/>
      <c r="QM8" s="216" t="str">
        <f>参考1_評価結果!$C$24</f>
        <v>サプライチェーン全体での削減の取組</v>
      </c>
      <c r="QN8" s="216" t="str">
        <f>参考1_評価結果!$C$10</f>
        <v>①直近の排出量削減率</v>
      </c>
      <c r="QO8" s="216"/>
      <c r="QP8" s="216" t="str">
        <f>参考1_評価結果!$C$12</f>
        <v>②過去からの排出量削減率</v>
      </c>
      <c r="QQ8" s="216"/>
      <c r="QR8" s="216" t="str">
        <f>参考1_評価結果!$C$14</f>
        <v>③高い削減目標の設定</v>
      </c>
      <c r="QS8" s="216"/>
      <c r="QT8" s="216" t="str">
        <f>参考1_評価結果!$C$16</f>
        <v>エネルギー消費原単位の削減率</v>
      </c>
      <c r="QU8" s="216" t="str">
        <f>参考1_評価結果!$C$17</f>
        <v>使用電力の再エネ電源比率</v>
      </c>
      <c r="QV8" s="216" t="str">
        <f>参考1_評価結果!$C$18</f>
        <v>2050年までの脱炭素化の表明</v>
      </c>
      <c r="QW8" s="216" t="str">
        <f>参考1_評価結果!$C$19</f>
        <v>2050年までの脱炭素化を前提とした中長期計画の策定等</v>
      </c>
      <c r="QX8" s="216" t="str">
        <f>参考1_評価結果!$C$20</f>
        <v>SBT等イニシアティブに関する取組</v>
      </c>
      <c r="QY8" s="216"/>
      <c r="QZ8" s="216"/>
      <c r="RA8" s="216"/>
      <c r="RB8" s="217" t="str">
        <f>参考1_評価結果!$C$24</f>
        <v>サプライチェーン全体での削減の取組</v>
      </c>
      <c r="RC8" s="216" t="str">
        <f>非表示_評価基準!$N$4</f>
        <v>STEP1</v>
      </c>
      <c r="RD8" s="216" t="str">
        <f>非表示_評価基準!$R$4</f>
        <v>STEP2</v>
      </c>
      <c r="RF8" s="216" t="str">
        <f>参考1_評価結果!$C$31</f>
        <v>①直近の排出量削減率</v>
      </c>
      <c r="RG8" s="216"/>
      <c r="RH8" s="216" t="str">
        <f>参考1_評価結果!$C$33</f>
        <v>②過去からの排出量削減率</v>
      </c>
      <c r="RI8" s="216"/>
      <c r="RJ8" s="216" t="str">
        <f>参考1_評価結果!$C$35</f>
        <v>③高い削減目標の設定</v>
      </c>
      <c r="RK8" s="216"/>
      <c r="RL8" s="216" t="str">
        <f>参考1_評価結果!$C$37</f>
        <v>エネルギー消費原単位の削減率</v>
      </c>
      <c r="RM8" s="216" t="str">
        <f>参考1_評価結果!$C$38</f>
        <v>乗用自動車におけるのEV・FCVの導入割合</v>
      </c>
      <c r="RN8" s="216" t="str">
        <f>参考1_評価結果!$C$39</f>
        <v>バス・貨物自動車におけるEV・FCVの導入状況</v>
      </c>
      <c r="RO8" s="216" t="str">
        <f>参考1_評価結果!$C$40</f>
        <v>2050年までの脱炭素化の表明</v>
      </c>
      <c r="RP8" s="216" t="str">
        <f>参考1_評価結果!$C$41</f>
        <v>2050年までの脱炭素化を前提とした中長期計画の策定等</v>
      </c>
      <c r="RQ8" s="216" t="str">
        <f>参考1_評価結果!$C$42</f>
        <v>SBT等イニシアティブに関する取組</v>
      </c>
      <c r="RR8" s="216"/>
      <c r="RS8" s="216"/>
      <c r="RT8" s="216"/>
      <c r="RU8" s="217" t="str">
        <f>参考1_評価結果!$C$46</f>
        <v>サプライチェーン全体での削減に向けた取組</v>
      </c>
      <c r="RV8" s="216" t="str">
        <f>非表示_評価基準!N4</f>
        <v>STEP1</v>
      </c>
      <c r="RW8" s="216" t="str">
        <f>非表示_評価基準!R4</f>
        <v>STEP2</v>
      </c>
      <c r="RX8" s="216"/>
      <c r="RY8" s="216" t="str">
        <f>参考1_評価結果!$C$10</f>
        <v>①直近の排出量削減率</v>
      </c>
      <c r="RZ8" s="216"/>
      <c r="SA8" s="216" t="str">
        <f>参考1_評価結果!$C$12</f>
        <v>②過去からの排出量削減率</v>
      </c>
      <c r="SB8" s="216"/>
      <c r="SC8" s="216" t="str">
        <f>参考1_評価結果!$C$14</f>
        <v>③高い削減目標の設定</v>
      </c>
      <c r="SD8" s="216"/>
      <c r="SE8" s="216" t="str">
        <f>参考1_評価結果!$C$16</f>
        <v>エネルギー消費原単位の削減率</v>
      </c>
      <c r="SF8" s="216" t="str">
        <f>参考1_評価結果!$C$17</f>
        <v>使用電力の再エネ電源比率</v>
      </c>
      <c r="SG8" s="216" t="str">
        <f>参考1_評価結果!$C$18</f>
        <v>2050年までの脱炭素化の表明</v>
      </c>
      <c r="SH8" s="216" t="str">
        <f>参考1_評価結果!$C$19</f>
        <v>2050年までの脱炭素化を前提とした中長期計画の策定等</v>
      </c>
      <c r="SI8" s="216" t="str">
        <f>参考1_評価結果!$C$20</f>
        <v>SBT等イニシアティブに関する取組</v>
      </c>
      <c r="SJ8" s="216"/>
      <c r="SK8" s="216"/>
      <c r="SL8" s="216"/>
      <c r="SM8" s="216" t="str">
        <f>参考1_評価結果!$C$24</f>
        <v>サプライチェーン全体での削減の取組</v>
      </c>
      <c r="SN8" s="216" t="str">
        <f>参考1_評価結果!$C$10</f>
        <v>①直近の排出量削減率</v>
      </c>
      <c r="SO8" s="216"/>
      <c r="SP8" s="216" t="str">
        <f>参考1_評価結果!$C$12</f>
        <v>②過去からの排出量削減率</v>
      </c>
      <c r="SQ8" s="216"/>
      <c r="SR8" s="216" t="str">
        <f>参考1_評価結果!$C$14</f>
        <v>③高い削減目標の設定</v>
      </c>
      <c r="SS8" s="216"/>
      <c r="ST8" s="216" t="str">
        <f>参考1_評価結果!$C$16</f>
        <v>エネルギー消費原単位の削減率</v>
      </c>
      <c r="SU8" s="216" t="str">
        <f>参考1_評価結果!$C$17</f>
        <v>使用電力の再エネ電源比率</v>
      </c>
      <c r="SV8" s="216" t="str">
        <f>参考1_評価結果!$C$18</f>
        <v>2050年までの脱炭素化の表明</v>
      </c>
      <c r="SW8" s="216" t="str">
        <f>参考1_評価結果!$C$19</f>
        <v>2050年までの脱炭素化を前提とした中長期計画の策定等</v>
      </c>
      <c r="SX8" s="216" t="str">
        <f>参考1_評価結果!$C$20</f>
        <v>SBT等イニシアティブに関する取組</v>
      </c>
      <c r="SY8" s="216"/>
      <c r="SZ8" s="216"/>
      <c r="TA8" s="216"/>
      <c r="TB8" s="217" t="str">
        <f>参考1_評価結果!$C$24</f>
        <v>サプライチェーン全体での削減の取組</v>
      </c>
      <c r="TC8" s="216" t="str">
        <f>非表示_評価基準!$N$4</f>
        <v>STEP1</v>
      </c>
      <c r="TD8" s="216" t="str">
        <f>非表示_評価基準!$R$4</f>
        <v>STEP2</v>
      </c>
      <c r="TF8" s="216" t="str">
        <f>参考1_評価結果!$C$31</f>
        <v>①直近の排出量削減率</v>
      </c>
      <c r="TG8" s="216"/>
      <c r="TH8" s="216" t="str">
        <f>参考1_評価結果!$C$33</f>
        <v>②過去からの排出量削減率</v>
      </c>
      <c r="TI8" s="216"/>
      <c r="TJ8" s="216" t="str">
        <f>参考1_評価結果!$C$35</f>
        <v>③高い削減目標の設定</v>
      </c>
      <c r="TK8" s="216"/>
      <c r="TL8" s="216" t="str">
        <f>参考1_評価結果!$C$37</f>
        <v>エネルギー消費原単位の削減率</v>
      </c>
      <c r="TM8" s="216" t="str">
        <f>参考1_評価結果!$C$38</f>
        <v>乗用自動車におけるのEV・FCVの導入割合</v>
      </c>
      <c r="TN8" s="216" t="str">
        <f>参考1_評価結果!$C$39</f>
        <v>バス・貨物自動車におけるEV・FCVの導入状況</v>
      </c>
      <c r="TO8" s="216" t="str">
        <f>参考1_評価結果!$C$40</f>
        <v>2050年までの脱炭素化の表明</v>
      </c>
      <c r="TP8" s="216" t="str">
        <f>参考1_評価結果!$C$41</f>
        <v>2050年までの脱炭素化を前提とした中長期計画の策定等</v>
      </c>
      <c r="TQ8" s="216" t="str">
        <f>参考1_評価結果!$C$42</f>
        <v>SBT等イニシアティブに関する取組</v>
      </c>
      <c r="TR8" s="216"/>
      <c r="TS8" s="216"/>
      <c r="TT8" s="216"/>
      <c r="TU8" s="217" t="str">
        <f>参考1_評価結果!$C$46</f>
        <v>サプライチェーン全体での削減に向けた取組</v>
      </c>
      <c r="TV8" s="216" t="str">
        <f>非表示_評価基準!$N$4</f>
        <v>STEP1</v>
      </c>
      <c r="TW8" s="216" t="str">
        <f>非表示_評価基準!$R$4</f>
        <v>STEP2</v>
      </c>
      <c r="TY8" s="216" t="str">
        <f>参考1_評価結果!$C$10</f>
        <v>①直近の排出量削減率</v>
      </c>
      <c r="TZ8" s="216"/>
      <c r="UA8" s="216" t="str">
        <f>参考1_評価結果!$C$12</f>
        <v>②過去からの排出量削減率</v>
      </c>
      <c r="UB8" s="216"/>
      <c r="UC8" s="216" t="str">
        <f>参考1_評価結果!$C$14</f>
        <v>③高い削減目標の設定</v>
      </c>
      <c r="UD8" s="216"/>
      <c r="UE8" s="216" t="str">
        <f>参考1_評価結果!$C$16</f>
        <v>エネルギー消費原単位の削減率</v>
      </c>
      <c r="UF8" s="216" t="str">
        <f>参考1_評価結果!$C$17</f>
        <v>使用電力の再エネ電源比率</v>
      </c>
      <c r="UG8" s="216" t="str">
        <f>参考1_評価結果!$C$18</f>
        <v>2050年までの脱炭素化の表明</v>
      </c>
      <c r="UH8" s="216" t="str">
        <f>参考1_評価結果!$C$19</f>
        <v>2050年までの脱炭素化を前提とした中長期計画の策定等</v>
      </c>
      <c r="UI8" s="216" t="str">
        <f>参考1_評価結果!$C$20</f>
        <v>SBT等イニシアティブに関する取組</v>
      </c>
      <c r="UJ8" s="216"/>
      <c r="UK8" s="216"/>
      <c r="UL8" s="216"/>
      <c r="UM8" s="216" t="str">
        <f>参考1_評価結果!$C$24</f>
        <v>サプライチェーン全体での削減の取組</v>
      </c>
      <c r="UN8" s="216" t="str">
        <f>参考1_評価結果!$C$10</f>
        <v>①直近の排出量削減率</v>
      </c>
      <c r="UO8" s="216"/>
      <c r="UP8" s="216" t="str">
        <f>参考1_評価結果!$C$12</f>
        <v>②過去からの排出量削減率</v>
      </c>
      <c r="UQ8" s="216"/>
      <c r="UR8" s="216" t="str">
        <f>参考1_評価結果!$C$14</f>
        <v>③高い削減目標の設定</v>
      </c>
      <c r="US8" s="216"/>
      <c r="UT8" s="216" t="str">
        <f>参考1_評価結果!$C$16</f>
        <v>エネルギー消費原単位の削減率</v>
      </c>
      <c r="UU8" s="216" t="str">
        <f>参考1_評価結果!$C$17</f>
        <v>使用電力の再エネ電源比率</v>
      </c>
      <c r="UV8" s="216" t="str">
        <f>参考1_評価結果!$C$18</f>
        <v>2050年までの脱炭素化の表明</v>
      </c>
      <c r="UW8" s="216" t="str">
        <f>参考1_評価結果!$C$19</f>
        <v>2050年までの脱炭素化を前提とした中長期計画の策定等</v>
      </c>
      <c r="UX8" s="216" t="str">
        <f>参考1_評価結果!$C$20</f>
        <v>SBT等イニシアティブに関する取組</v>
      </c>
      <c r="UY8" s="216"/>
      <c r="UZ8" s="216"/>
      <c r="VA8" s="216"/>
      <c r="VB8" s="217" t="str">
        <f>参考1_評価結果!$C$24</f>
        <v>サプライチェーン全体での削減の取組</v>
      </c>
      <c r="VC8" s="216" t="str">
        <f>非表示_評価基準!$N$4</f>
        <v>STEP1</v>
      </c>
      <c r="VD8" s="216" t="str">
        <f>非表示_評価基準!$R$4</f>
        <v>STEP2</v>
      </c>
      <c r="VF8" s="216" t="str">
        <f>参考1_評価結果!$C$31</f>
        <v>①直近の排出量削減率</v>
      </c>
      <c r="VG8" s="216"/>
      <c r="VH8" s="216" t="str">
        <f>参考1_評価結果!$C$33</f>
        <v>②過去からの排出量削減率</v>
      </c>
      <c r="VI8" s="216"/>
      <c r="VJ8" s="216" t="str">
        <f>参考1_評価結果!$C$35</f>
        <v>③高い削減目標の設定</v>
      </c>
      <c r="VK8" s="216"/>
      <c r="VL8" s="216" t="str">
        <f>参考1_評価結果!$C$37</f>
        <v>エネルギー消費原単位の削減率</v>
      </c>
      <c r="VM8" s="216" t="str">
        <f>参考1_評価結果!$C$38</f>
        <v>乗用自動車におけるのEV・FCVの導入割合</v>
      </c>
      <c r="VN8" s="216" t="str">
        <f>参考1_評価結果!$C$39</f>
        <v>バス・貨物自動車におけるEV・FCVの導入状況</v>
      </c>
      <c r="VO8" s="216" t="str">
        <f>参考1_評価結果!$C$40</f>
        <v>2050年までの脱炭素化の表明</v>
      </c>
      <c r="VP8" s="216" t="str">
        <f>参考1_評価結果!$C$41</f>
        <v>2050年までの脱炭素化を前提とした中長期計画の策定等</v>
      </c>
      <c r="VQ8" s="216" t="str">
        <f>参考1_評価結果!$C$42</f>
        <v>SBT等イニシアティブに関する取組</v>
      </c>
      <c r="VR8" s="216"/>
      <c r="VS8" s="216"/>
      <c r="VT8" s="216"/>
      <c r="VU8" s="217" t="str">
        <f>参考1_評価結果!$C$46</f>
        <v>サプライチェーン全体での削減に向けた取組</v>
      </c>
      <c r="VV8" s="216" t="str">
        <f>非表示_評価基準!$N$4</f>
        <v>STEP1</v>
      </c>
      <c r="VW8" s="216" t="str">
        <f>非表示_評価基準!$R$4</f>
        <v>STEP2</v>
      </c>
    </row>
    <row r="9" spans="2:596" ht="18" customHeight="1">
      <c r="B9" s="217" t="s">
        <v>167</v>
      </c>
      <c r="C9" s="217"/>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t="str">
        <f>'B2.入力_第2~4面'!$E$20</f>
        <v>(基)</v>
      </c>
      <c r="CT9" s="216" t="str">
        <f>'B2.入力_第2~4面'!$E$21</f>
        <v>(調)</v>
      </c>
      <c r="CU9" s="216" t="str">
        <f>'B2.入力_第2~4面'!$E$20</f>
        <v>(基)</v>
      </c>
      <c r="CV9" s="216" t="str">
        <f>'B2.入力_第2~4面'!$E$21</f>
        <v>(調)</v>
      </c>
      <c r="CW9" s="216" t="str">
        <f>'B2.入力_第2~4面'!$E$20</f>
        <v>(基)</v>
      </c>
      <c r="CX9" s="216" t="str">
        <f>'B2.入力_第2~4面'!$E$21</f>
        <v>(調)</v>
      </c>
      <c r="CY9" s="216" t="str">
        <f>'B2.入力_第2~4面'!$E$20</f>
        <v>(基)</v>
      </c>
      <c r="CZ9" s="216" t="str">
        <f>'B2.入力_第2~4面'!$E$21</f>
        <v>(調)</v>
      </c>
      <c r="DA9" s="216" t="str">
        <f>'B2.入力_第2~4面'!$E$20</f>
        <v>(基)</v>
      </c>
      <c r="DB9" s="216" t="str">
        <f>'B2.入力_第2~4面'!$E$21</f>
        <v>(調)</v>
      </c>
      <c r="DC9" s="216" t="str">
        <f>'B2.入力_第2~4面'!$E$22</f>
        <v>(基)</v>
      </c>
      <c r="DD9" s="216" t="str">
        <f>'B2.入力_第2~4面'!$E$23</f>
        <v>(調)</v>
      </c>
      <c r="DE9" s="216" t="str">
        <f>'B2.入力_第2~4面'!$E$22</f>
        <v>(基)</v>
      </c>
      <c r="DF9" s="216" t="str">
        <f>'B2.入力_第2~4面'!$E$23</f>
        <v>(調)</v>
      </c>
      <c r="DG9" s="216" t="str">
        <f>'B2.入力_第2~4面'!$E$22</f>
        <v>(基)</v>
      </c>
      <c r="DH9" s="216" t="str">
        <f>'B2.入力_第2~4面'!$E$23</f>
        <v>(調)</v>
      </c>
      <c r="DI9" s="216" t="str">
        <f>'B2.入力_第2~4面'!$E$22</f>
        <v>(基)</v>
      </c>
      <c r="DJ9" s="216" t="str">
        <f>'B2.入力_第2~4面'!$E$23</f>
        <v>(調)</v>
      </c>
      <c r="DK9" s="216" t="str">
        <f>'B2.入力_第2~4面'!$E$22</f>
        <v>(基)</v>
      </c>
      <c r="DL9" s="216" t="str">
        <f>'B2.入力_第2~4面'!$E$23</f>
        <v>(調)</v>
      </c>
      <c r="DM9" s="216" t="str">
        <f>'B2.入力_第2~4面'!$E$24</f>
        <v>(基)</v>
      </c>
      <c r="DN9" s="216" t="str">
        <f>'B2.入力_第2~4面'!$E$25</f>
        <v>(調)</v>
      </c>
      <c r="DO9" s="216" t="str">
        <f>'B2.入力_第2~4面'!$E$24</f>
        <v>(基)</v>
      </c>
      <c r="DP9" s="216" t="str">
        <f>'B2.入力_第2~4面'!$E$25</f>
        <v>(調)</v>
      </c>
      <c r="DQ9" s="216" t="str">
        <f>'B2.入力_第2~4面'!$E$24</f>
        <v>(基)</v>
      </c>
      <c r="DR9" s="216" t="str">
        <f>'B2.入力_第2~4面'!$E$25</f>
        <v>(調)</v>
      </c>
      <c r="DS9" s="216" t="str">
        <f>'B2.入力_第2~4面'!$E$24</f>
        <v>(基)</v>
      </c>
      <c r="DT9" s="216" t="str">
        <f>'B2.入力_第2~4面'!$E$25</f>
        <v>(調)</v>
      </c>
      <c r="DU9" s="216" t="str">
        <f>'B2.入力_第2~4面'!$E$24</f>
        <v>(基)</v>
      </c>
      <c r="DV9" s="216" t="str">
        <f>'B2.入力_第2~4面'!$E$25</f>
        <v>(調)</v>
      </c>
      <c r="DW9" s="216" t="str">
        <f>'B2.入力_第2~4面'!$E$26</f>
        <v>(基)</v>
      </c>
      <c r="DX9" s="216" t="str">
        <f>'B2.入力_第2~4面'!$E$27</f>
        <v>(調)</v>
      </c>
      <c r="DY9" s="216" t="str">
        <f>'B2.入力_第2~4面'!$E$26</f>
        <v>(基)</v>
      </c>
      <c r="DZ9" s="216" t="str">
        <f>'B2.入力_第2~4面'!$E$27</f>
        <v>(調)</v>
      </c>
      <c r="EA9" s="216" t="str">
        <f>'B2.入力_第2~4面'!$E$26</f>
        <v>(基)</v>
      </c>
      <c r="EB9" s="216" t="str">
        <f>'B2.入力_第2~4面'!$E$27</f>
        <v>(調)</v>
      </c>
      <c r="EC9" s="216" t="str">
        <f>'B2.入力_第2~4面'!$E$26</f>
        <v>(基)</v>
      </c>
      <c r="ED9" s="216" t="str">
        <f>'B2.入力_第2~4面'!$E$27</f>
        <v>(調)</v>
      </c>
      <c r="EE9" s="216" t="str">
        <f>'B2.入力_第2~4面'!$E$26</f>
        <v>(基)</v>
      </c>
      <c r="EF9" s="216" t="str">
        <f>'B2.入力_第2~4面'!$E$27</f>
        <v>(調)</v>
      </c>
      <c r="EG9" s="216"/>
      <c r="EH9" s="216"/>
      <c r="EI9" s="216" t="str">
        <f>'B2.入力_第2~4面'!$L$31</f>
        <v>第１年度</v>
      </c>
      <c r="EJ9" s="216" t="str">
        <f>'B2.入力_第2~4面'!$O$31</f>
        <v>第２年度</v>
      </c>
      <c r="EK9" s="216" t="str">
        <f>'B2.入力_第2~4面'!$R$31</f>
        <v>第３年度</v>
      </c>
      <c r="EL9" s="216"/>
      <c r="EM9" s="216"/>
      <c r="EN9" s="216" t="str">
        <f>'B2.入力_第2~4面'!$L$31</f>
        <v>第１年度</v>
      </c>
      <c r="EO9" s="216" t="str">
        <f>'B2.入力_第2~4面'!$O$31</f>
        <v>第２年度</v>
      </c>
      <c r="EP9" s="216" t="str">
        <f>'B2.入力_第2~4面'!$R$31</f>
        <v>第３年度</v>
      </c>
      <c r="EQ9" s="216"/>
      <c r="ER9" s="216"/>
      <c r="ES9" s="216" t="str">
        <f>'B2.入力_第2~4面'!$L$31</f>
        <v>第１年度</v>
      </c>
      <c r="ET9" s="216" t="str">
        <f>'B2.入力_第2~4面'!$O$31</f>
        <v>第２年度</v>
      </c>
      <c r="EU9" s="216" t="str">
        <f>'B2.入力_第2~4面'!$R$31</f>
        <v>第３年度</v>
      </c>
      <c r="EV9" s="216"/>
      <c r="EW9" s="216"/>
      <c r="EX9" s="216" t="str">
        <f>'B2.入力_第2~4面'!$L$31</f>
        <v>第１年度</v>
      </c>
      <c r="EY9" s="216" t="str">
        <f>'B2.入力_第2~4面'!$O$31</f>
        <v>第２年度</v>
      </c>
      <c r="EZ9" s="216" t="str">
        <f>'B2.入力_第2~4面'!$R$31</f>
        <v>第３年度</v>
      </c>
      <c r="FA9" s="216"/>
      <c r="FB9" s="216"/>
      <c r="FC9" s="216" t="str">
        <f>'B2.入力_第2~4面'!$L$31</f>
        <v>第１年度</v>
      </c>
      <c r="FD9" s="216" t="str">
        <f>'B2.入力_第2~4面'!$O$31</f>
        <v>第２年度</v>
      </c>
      <c r="FE9" s="216" t="str">
        <f>'B2.入力_第2~4面'!$R$31</f>
        <v>第３年度</v>
      </c>
      <c r="FF9" s="216"/>
      <c r="FG9" s="216"/>
      <c r="FH9" s="216" t="str">
        <f>'B2.入力_第2~4面'!$I$40</f>
        <v>基準年度</v>
      </c>
      <c r="FI9" s="216" t="str">
        <f>'B2.入力_第2~4面'!$L$40</f>
        <v>第１年度</v>
      </c>
      <c r="FJ9" s="216" t="str">
        <f>'B2.入力_第2~4面'!$O$40</f>
        <v>第２年度</v>
      </c>
      <c r="FK9" s="216" t="str">
        <f>'B2.入力_第2~4面'!$R$40</f>
        <v>第３年度</v>
      </c>
      <c r="FL9" s="216"/>
      <c r="FM9" s="216"/>
      <c r="FN9" s="216" t="str">
        <f>'B2.入力_第2~4面'!$I$40</f>
        <v>基準年度</v>
      </c>
      <c r="FO9" s="216" t="str">
        <f>'B2.入力_第2~4面'!$L$40</f>
        <v>第１年度</v>
      </c>
      <c r="FP9" s="216" t="str">
        <f>'B2.入力_第2~4面'!$O$40</f>
        <v>第２年度</v>
      </c>
      <c r="FQ9" s="216" t="str">
        <f>'B2.入力_第2~4面'!$R$40</f>
        <v>第３年度</v>
      </c>
      <c r="FR9" s="216"/>
      <c r="FS9" s="216"/>
      <c r="FT9" s="216" t="str">
        <f>'B2.入力_第2~4面'!$I$40</f>
        <v>基準年度</v>
      </c>
      <c r="FU9" s="216" t="str">
        <f>'B2.入力_第2~4面'!$L$40</f>
        <v>第１年度</v>
      </c>
      <c r="FV9" s="216" t="str">
        <f>'B2.入力_第2~4面'!$O$40</f>
        <v>第２年度</v>
      </c>
      <c r="FW9" s="216" t="str">
        <f>'B2.入力_第2~4面'!$R$40</f>
        <v>第３年度</v>
      </c>
      <c r="FX9" s="216"/>
      <c r="FY9" s="216"/>
      <c r="FZ9" s="216" t="str">
        <f>'B2.入力_第2~4面'!$I$40</f>
        <v>基準年度</v>
      </c>
      <c r="GA9" s="216" t="str">
        <f>'B2.入力_第2~4面'!$L$40</f>
        <v>第１年度</v>
      </c>
      <c r="GB9" s="216" t="str">
        <f>'B2.入力_第2~4面'!$O$40</f>
        <v>第２年度</v>
      </c>
      <c r="GC9" s="216" t="str">
        <f>'B2.入力_第2~4面'!$R$40</f>
        <v>第３年度</v>
      </c>
      <c r="GD9" s="216"/>
      <c r="GE9" s="216"/>
      <c r="GF9" s="216" t="str">
        <f>'B2.入力_第2~4面'!$I$40</f>
        <v>基準年度</v>
      </c>
      <c r="GG9" s="216" t="str">
        <f>'B2.入力_第2~4面'!$L$40</f>
        <v>第１年度</v>
      </c>
      <c r="GH9" s="216" t="str">
        <f>'B2.入力_第2~4面'!$O$40</f>
        <v>第２年度</v>
      </c>
      <c r="GI9" s="216" t="str">
        <f>'B2.入力_第2~4面'!$R$40</f>
        <v>第３年度</v>
      </c>
      <c r="GJ9" s="216"/>
      <c r="GK9" s="216"/>
      <c r="GL9" s="216" t="str">
        <f>'B2.入力_第2~4面'!$I$40</f>
        <v>基準年度</v>
      </c>
      <c r="GM9" s="216" t="str">
        <f>'B2.入力_第2~4面'!$L$40</f>
        <v>第１年度</v>
      </c>
      <c r="GN9" s="216" t="str">
        <f>'B2.入力_第2~4面'!$O$40</f>
        <v>第２年度</v>
      </c>
      <c r="GO9" s="216" t="str">
        <f>'B2.入力_第2~4面'!$R$40</f>
        <v>第３年度</v>
      </c>
      <c r="GP9" s="216"/>
      <c r="GQ9" s="216"/>
      <c r="GR9" s="216" t="str">
        <f>'B2.入力_第2~4面'!$I$40</f>
        <v>基準年度</v>
      </c>
      <c r="GS9" s="216" t="str">
        <f>'B2.入力_第2~4面'!$L$40</f>
        <v>第１年度</v>
      </c>
      <c r="GT9" s="216" t="str">
        <f>'B2.入力_第2~4面'!$O$40</f>
        <v>第２年度</v>
      </c>
      <c r="GU9" s="216" t="str">
        <f>'B2.入力_第2~4面'!$R$40</f>
        <v>第３年度</v>
      </c>
      <c r="GV9" s="216"/>
      <c r="GW9" s="216"/>
      <c r="GX9" s="216" t="str">
        <f>'B2.入力_第2~4面'!$I$40</f>
        <v>基準年度</v>
      </c>
      <c r="GY9" s="216" t="str">
        <f>'B2.入力_第2~4面'!$L$40</f>
        <v>第１年度</v>
      </c>
      <c r="GZ9" s="216" t="str">
        <f>'B2.入力_第2~4面'!$O$40</f>
        <v>第２年度</v>
      </c>
      <c r="HA9" s="216" t="str">
        <f>'B2.入力_第2~4面'!$R$40</f>
        <v>第３年度</v>
      </c>
      <c r="HB9" s="216"/>
      <c r="HC9" s="216"/>
      <c r="HD9" s="216" t="str">
        <f>'B2.入力_第2~4面'!$I$40</f>
        <v>基準年度</v>
      </c>
      <c r="HE9" s="216" t="str">
        <f>'B2.入力_第2~4面'!$L$40</f>
        <v>第１年度</v>
      </c>
      <c r="HF9" s="216" t="str">
        <f>'B2.入力_第2~4面'!$O$40</f>
        <v>第２年度</v>
      </c>
      <c r="HG9" s="216" t="str">
        <f>'B2.入力_第2~4面'!$R$40</f>
        <v>第３年度</v>
      </c>
      <c r="HH9" s="216"/>
      <c r="HI9" s="216"/>
      <c r="HJ9" s="216" t="str">
        <f>'B2.入力_第2~4面'!$I$40</f>
        <v>基準年度</v>
      </c>
      <c r="HK9" s="216" t="str">
        <f>'B2.入力_第2~4面'!$L$40</f>
        <v>第１年度</v>
      </c>
      <c r="HL9" s="216" t="str">
        <f>'B2.入力_第2~4面'!$O$40</f>
        <v>第２年度</v>
      </c>
      <c r="HM9" s="216" t="str">
        <f>'B2.入力_第2~4面'!$R$40</f>
        <v>第３年度</v>
      </c>
      <c r="HN9" s="216"/>
      <c r="HO9" s="216"/>
      <c r="HP9" s="216"/>
      <c r="HQ9" s="216"/>
      <c r="HR9" s="216"/>
      <c r="HS9" s="216"/>
      <c r="HT9" s="216"/>
      <c r="HU9" s="216"/>
      <c r="HV9" s="216"/>
      <c r="HW9" s="216" t="str">
        <f>'B2.入力_第2~4面'!$E$66</f>
        <v>(基)</v>
      </c>
      <c r="HX9" s="216" t="str">
        <f>'B2.入力_第2~4面'!$E$67</f>
        <v>(調)</v>
      </c>
      <c r="HY9" s="216" t="str">
        <f>'B2.入力_第2~4面'!$E$66</f>
        <v>(基)</v>
      </c>
      <c r="HZ9" s="216" t="str">
        <f>'B2.入力_第2~4面'!$E$67</f>
        <v>(調)</v>
      </c>
      <c r="IA9" s="216" t="str">
        <f>'B2.入力_第2~4面'!$E$66</f>
        <v>(基)</v>
      </c>
      <c r="IB9" s="216" t="str">
        <f>'B2.入力_第2~4面'!$E$67</f>
        <v>(調)</v>
      </c>
      <c r="IC9" s="216" t="str">
        <f>'B2.入力_第2~4面'!$E$66</f>
        <v>(基)</v>
      </c>
      <c r="ID9" s="216" t="str">
        <f>'B2.入力_第2~4面'!$E$67</f>
        <v>(調)</v>
      </c>
      <c r="IE9" s="216" t="str">
        <f>'B2.入力_第2~4面'!$E$66</f>
        <v>(基)</v>
      </c>
      <c r="IF9" s="216" t="str">
        <f>'B2.入力_第2~4面'!$E$67</f>
        <v>(調)</v>
      </c>
      <c r="IG9" s="216" t="str">
        <f>'B2.入力_第2~4面'!$E$68</f>
        <v>(基)</v>
      </c>
      <c r="IH9" s="216" t="str">
        <f>'B2.入力_第2~4面'!$E$69</f>
        <v>(調)</v>
      </c>
      <c r="II9" s="216" t="str">
        <f>'B2.入力_第2~4面'!$E$68</f>
        <v>(基)</v>
      </c>
      <c r="IJ9" s="216" t="str">
        <f>'B2.入力_第2~4面'!$E$69</f>
        <v>(調)</v>
      </c>
      <c r="IK9" s="216" t="str">
        <f>'B2.入力_第2~4面'!$E$68</f>
        <v>(基)</v>
      </c>
      <c r="IL9" s="216" t="str">
        <f>'B2.入力_第2~4面'!$E$69</f>
        <v>(調)</v>
      </c>
      <c r="IM9" s="216" t="str">
        <f>'B2.入力_第2~4面'!$E$68</f>
        <v>(基)</v>
      </c>
      <c r="IN9" s="216" t="str">
        <f>'B2.入力_第2~4面'!$E$69</f>
        <v>(調)</v>
      </c>
      <c r="IO9" s="216" t="str">
        <f>'B2.入力_第2~4面'!$E$68</f>
        <v>(基)</v>
      </c>
      <c r="IP9" s="216" t="str">
        <f>'B2.入力_第2~4面'!$E$69</f>
        <v>(調)</v>
      </c>
      <c r="IQ9" s="216" t="str">
        <f>'B2.入力_第2~4面'!$E$70</f>
        <v>(基)</v>
      </c>
      <c r="IR9" s="216" t="str">
        <f>'B2.入力_第2~4面'!$E$71</f>
        <v>(調)</v>
      </c>
      <c r="IS9" s="216" t="str">
        <f>'B2.入力_第2~4面'!$E$70</f>
        <v>(基)</v>
      </c>
      <c r="IT9" s="216" t="str">
        <f>'B2.入力_第2~4面'!$E$71</f>
        <v>(調)</v>
      </c>
      <c r="IU9" s="216" t="str">
        <f>'B2.入力_第2~4面'!$E$70</f>
        <v>(基)</v>
      </c>
      <c r="IV9" s="216" t="str">
        <f>'B2.入力_第2~4面'!$E$71</f>
        <v>(調)</v>
      </c>
      <c r="IW9" s="216" t="str">
        <f>'B2.入力_第2~4面'!$E$70</f>
        <v>(基)</v>
      </c>
      <c r="IX9" s="216" t="str">
        <f>'B2.入力_第2~4面'!$E$71</f>
        <v>(調)</v>
      </c>
      <c r="IY9" s="216" t="str">
        <f>'B2.入力_第2~4面'!$E$70</f>
        <v>(基)</v>
      </c>
      <c r="IZ9" s="216" t="str">
        <f>'B2.入力_第2~4面'!$E$71</f>
        <v>(調)</v>
      </c>
      <c r="JA9" s="216" t="str">
        <f>'B2.入力_第2~4面'!$E$72</f>
        <v>(基)</v>
      </c>
      <c r="JB9" s="216" t="str">
        <f>'B2.入力_第2~4面'!$E$73</f>
        <v>(調)</v>
      </c>
      <c r="JC9" s="216" t="str">
        <f>'B2.入力_第2~4面'!$E$72</f>
        <v>(基)</v>
      </c>
      <c r="JD9" s="216" t="str">
        <f>'B2.入力_第2~4面'!$E$73</f>
        <v>(調)</v>
      </c>
      <c r="JE9" s="216" t="str">
        <f>'B2.入力_第2~4面'!$E$72</f>
        <v>(基)</v>
      </c>
      <c r="JF9" s="216" t="str">
        <f>'B2.入力_第2~4面'!$E$73</f>
        <v>(調)</v>
      </c>
      <c r="JG9" s="216" t="str">
        <f>'B2.入力_第2~4面'!$E$72</f>
        <v>(基)</v>
      </c>
      <c r="JH9" s="216" t="str">
        <f>'B2.入力_第2~4面'!$E$73</f>
        <v>(調)</v>
      </c>
      <c r="JI9" s="216" t="str">
        <f>'B2.入力_第2~4面'!$E$72</f>
        <v>(基)</v>
      </c>
      <c r="JJ9" s="216" t="str">
        <f>'B2.入力_第2~4面'!$E$73</f>
        <v>(調)</v>
      </c>
      <c r="JK9" s="216"/>
      <c r="JL9" s="216"/>
      <c r="JM9" s="216" t="str">
        <f>'B2.入力_第2~4面'!$L$77</f>
        <v>第１年度</v>
      </c>
      <c r="JN9" s="216" t="str">
        <f>'B2.入力_第2~4面'!$O$77</f>
        <v>第２年度</v>
      </c>
      <c r="JO9" s="216" t="str">
        <f>'B2.入力_第2~4面'!$R$77</f>
        <v>第３年度</v>
      </c>
      <c r="JP9" s="216"/>
      <c r="JQ9" s="216"/>
      <c r="JR9" s="216" t="str">
        <f>'B2.入力_第2~4面'!$L$77</f>
        <v>第１年度</v>
      </c>
      <c r="JS9" s="216" t="str">
        <f>'B2.入力_第2~4面'!$O$77</f>
        <v>第２年度</v>
      </c>
      <c r="JT9" s="216" t="str">
        <f>'B2.入力_第2~4面'!$R$77</f>
        <v>第３年度</v>
      </c>
      <c r="JU9" s="216"/>
      <c r="JV9" s="216"/>
      <c r="JW9" s="216" t="str">
        <f>'B2.入力_第2~4面'!$L$77</f>
        <v>第１年度</v>
      </c>
      <c r="JX9" s="216" t="str">
        <f>'B2.入力_第2~4面'!$O$77</f>
        <v>第２年度</v>
      </c>
      <c r="JY9" s="216" t="str">
        <f>'B2.入力_第2~4面'!$R$77</f>
        <v>第３年度</v>
      </c>
      <c r="JZ9" s="216"/>
      <c r="KA9" s="216"/>
      <c r="KB9" s="216" t="str">
        <f>'B2.入力_第2~4面'!$L$77</f>
        <v>第１年度</v>
      </c>
      <c r="KC9" s="216" t="str">
        <f>'B2.入力_第2~4面'!$O$77</f>
        <v>第２年度</v>
      </c>
      <c r="KD9" s="216" t="str">
        <f>'B2.入力_第2~4面'!$R$77</f>
        <v>第３年度</v>
      </c>
      <c r="KE9" s="216"/>
      <c r="KF9" s="216"/>
      <c r="KG9" s="216" t="str">
        <f>'B2.入力_第2~4面'!$L$77</f>
        <v>第１年度</v>
      </c>
      <c r="KH9" s="216" t="str">
        <f>'B2.入力_第2~4面'!$O$77</f>
        <v>第２年度</v>
      </c>
      <c r="KI9" s="216" t="str">
        <f>'B2.入力_第2~4面'!$R$77</f>
        <v>第３年度</v>
      </c>
      <c r="KJ9" s="216"/>
      <c r="KK9" s="216"/>
      <c r="KL9" s="216"/>
      <c r="KM9" s="216"/>
      <c r="KN9" s="216"/>
      <c r="KO9" s="216"/>
      <c r="KP9" s="216"/>
      <c r="KQ9" s="216"/>
      <c r="KR9" s="216"/>
      <c r="KS9" s="216"/>
      <c r="KT9" s="216"/>
      <c r="KU9" s="216"/>
      <c r="KV9" s="216"/>
      <c r="KW9" s="216"/>
      <c r="KX9" s="216"/>
      <c r="KY9" s="216"/>
      <c r="KZ9" s="216"/>
      <c r="LA9" s="216"/>
      <c r="LB9" s="216"/>
      <c r="LC9" s="216"/>
      <c r="LD9" s="216"/>
      <c r="LE9" s="216"/>
      <c r="LF9" s="216"/>
      <c r="LG9" s="216"/>
      <c r="LH9" s="216"/>
      <c r="LI9" s="216"/>
      <c r="LJ9" s="216"/>
      <c r="LK9" s="216"/>
      <c r="LL9" s="216"/>
      <c r="LM9" s="216"/>
      <c r="LN9" s="216"/>
      <c r="LO9" s="216"/>
      <c r="LP9" s="216"/>
      <c r="LQ9" s="216"/>
      <c r="LR9" s="216"/>
      <c r="LS9" s="216"/>
      <c r="LT9" s="216"/>
      <c r="LU9" s="216"/>
      <c r="LV9" s="216"/>
      <c r="LW9" s="216"/>
      <c r="LX9" s="216"/>
      <c r="LY9" s="216"/>
      <c r="LZ9" s="216"/>
      <c r="MA9" s="216"/>
      <c r="MB9" s="216"/>
      <c r="MC9" s="216"/>
      <c r="MD9" s="216"/>
      <c r="ME9" s="216"/>
      <c r="MF9" s="216"/>
      <c r="MG9" s="216"/>
      <c r="MH9" s="216"/>
      <c r="MI9" s="216"/>
      <c r="MJ9" s="216"/>
      <c r="MK9" s="216"/>
      <c r="ML9" s="216"/>
      <c r="MM9" s="216"/>
      <c r="MN9" s="216"/>
      <c r="MO9" s="216"/>
      <c r="MP9" s="216"/>
      <c r="MQ9" s="216"/>
      <c r="MR9" s="216"/>
      <c r="MS9" s="216"/>
      <c r="MT9" s="216"/>
      <c r="MU9" s="216"/>
      <c r="MV9" s="216"/>
      <c r="MW9" s="216"/>
      <c r="MX9" s="216"/>
      <c r="MY9" s="216"/>
      <c r="MZ9" s="216"/>
      <c r="NA9" s="216"/>
      <c r="NB9" s="216"/>
      <c r="NC9" s="216"/>
      <c r="ND9" s="216"/>
      <c r="NE9" s="216"/>
      <c r="NF9" s="216"/>
      <c r="NG9" s="216"/>
      <c r="NH9" s="216"/>
      <c r="NI9" s="216"/>
      <c r="NJ9" s="216"/>
      <c r="NK9" s="216"/>
      <c r="NL9" s="216"/>
      <c r="NM9" s="216"/>
      <c r="NN9" s="216"/>
      <c r="NO9" s="216"/>
      <c r="NP9" s="216"/>
      <c r="NQ9" s="216"/>
      <c r="NR9" s="216"/>
      <c r="NS9" s="216"/>
      <c r="NT9" s="216"/>
      <c r="NU9" s="216"/>
      <c r="NV9" s="216"/>
      <c r="NW9" s="216"/>
      <c r="NX9" s="216" t="str">
        <f>'B2.入力_第2~4面'!$F$154</f>
        <v>基準年度</v>
      </c>
      <c r="NY9" s="216" t="str">
        <f>'B2.入力_第2~4面'!$F$154</f>
        <v>基準年度</v>
      </c>
      <c r="NZ9" s="216"/>
      <c r="OA9" s="216"/>
      <c r="OB9" s="216"/>
      <c r="OC9" s="216"/>
      <c r="OD9" s="216"/>
      <c r="OE9" s="216"/>
      <c r="OF9" s="216"/>
      <c r="OG9" s="216"/>
      <c r="OH9" s="216"/>
      <c r="OI9" s="216"/>
      <c r="OJ9" s="216"/>
      <c r="OK9" s="216"/>
      <c r="OL9" s="216"/>
      <c r="OM9" s="216"/>
      <c r="ON9" s="216"/>
      <c r="OO9" s="216"/>
      <c r="OP9" s="216"/>
      <c r="OQ9" s="216"/>
      <c r="OR9" s="216"/>
      <c r="OS9" s="216"/>
      <c r="OT9" s="216"/>
      <c r="OU9" s="216"/>
      <c r="OV9" s="216"/>
      <c r="OW9" s="216"/>
      <c r="OX9" s="216"/>
      <c r="OY9" s="216"/>
      <c r="OZ9" s="216"/>
      <c r="PA9" s="216"/>
      <c r="PB9" s="216"/>
      <c r="PC9" s="216"/>
      <c r="PD9" s="216"/>
      <c r="PE9" s="216"/>
      <c r="PF9" s="216"/>
      <c r="PG9" s="216"/>
      <c r="PH9" s="216"/>
      <c r="PI9" s="216"/>
      <c r="PJ9" s="216" t="str">
        <f>'B2.入力_第2~4面'!$F$171</f>
        <v>基準年度</v>
      </c>
      <c r="PK9" s="216" t="str">
        <f>'B2.入力_第2~4面'!$I$171</f>
        <v>目標年度</v>
      </c>
      <c r="PL9" s="216" t="str">
        <f>'B2.入力_第2~4面'!$L$171</f>
        <v>第１年度</v>
      </c>
      <c r="PM9" s="216" t="str">
        <f>'B2.入力_第2~4面'!$O$171</f>
        <v>第２年度</v>
      </c>
      <c r="PN9" s="216" t="str">
        <f>'B2.入力_第2~4面'!$R$171</f>
        <v>第３年度</v>
      </c>
      <c r="PO9" s="216"/>
      <c r="PP9" s="216"/>
      <c r="PQ9" s="216"/>
      <c r="PR9" s="216"/>
      <c r="PS9" s="216"/>
      <c r="PT9" s="216"/>
      <c r="PU9" s="216"/>
      <c r="PV9" s="216"/>
      <c r="PW9" s="216"/>
      <c r="PX9" s="216"/>
      <c r="PY9" s="217" t="str">
        <f>参考1_評価結果!$D$10</f>
        <v>基礎</v>
      </c>
      <c r="PZ9" s="216" t="str">
        <f>参考1_評価結果!$D$11</f>
        <v>調整後</v>
      </c>
      <c r="QA9" s="217" t="str">
        <f>参考1_評価結果!$D$12</f>
        <v>基礎</v>
      </c>
      <c r="QB9" s="216" t="str">
        <f>参考1_評価結果!$D$13</f>
        <v>調整後</v>
      </c>
      <c r="QC9" s="216" t="str">
        <f>参考1_評価結果!$D$14</f>
        <v>基礎</v>
      </c>
      <c r="QD9" s="216" t="str">
        <f>参考1_評価結果!$D$15</f>
        <v>調整後</v>
      </c>
      <c r="QE9" s="216"/>
      <c r="QF9" s="216"/>
      <c r="QH9" s="216"/>
      <c r="QI9" s="216" t="str">
        <f>参考1_評価結果!$D$20</f>
        <v>SBT</v>
      </c>
      <c r="QJ9" s="216" t="str">
        <f>参考1_評価結果!$D$21</f>
        <v>TCFD</v>
      </c>
      <c r="QK9" s="216" t="str">
        <f>参考1_評価結果!$D$22</f>
        <v>RE100</v>
      </c>
      <c r="QL9" s="216" t="str">
        <f>参考1_評価結果!$D$23</f>
        <v>RE Action</v>
      </c>
      <c r="QM9" s="216"/>
      <c r="QN9" s="217" t="str">
        <f>参考1_評価結果!$D$10</f>
        <v>基礎</v>
      </c>
      <c r="QO9" s="216" t="str">
        <f>参考1_評価結果!$D$11</f>
        <v>調整後</v>
      </c>
      <c r="QP9" s="217" t="str">
        <f>参考1_評価結果!$D$12</f>
        <v>基礎</v>
      </c>
      <c r="QQ9" s="216" t="str">
        <f>参考1_評価結果!$D$13</f>
        <v>調整後</v>
      </c>
      <c r="QR9" s="216" t="str">
        <f>参考1_評価結果!$D$14</f>
        <v>基礎</v>
      </c>
      <c r="QS9" s="216" t="str">
        <f>参考1_評価結果!$D$15</f>
        <v>調整後</v>
      </c>
      <c r="QT9" s="216"/>
      <c r="QU9" s="216"/>
      <c r="QW9" s="216"/>
      <c r="QX9" s="216" t="str">
        <f>参考1_評価結果!$D$20</f>
        <v>SBT</v>
      </c>
      <c r="QY9" s="216" t="str">
        <f>参考1_評価結果!$D$21</f>
        <v>TCFD</v>
      </c>
      <c r="QZ9" s="216" t="str">
        <f>参考1_評価結果!$D$22</f>
        <v>RE100</v>
      </c>
      <c r="RA9" s="216" t="str">
        <f>参考1_評価結果!$D$23</f>
        <v>RE Action</v>
      </c>
      <c r="RB9" s="216"/>
      <c r="RC9" s="216"/>
      <c r="RD9" s="216"/>
      <c r="RE9" s="216"/>
      <c r="RF9" s="216" t="str">
        <f>参考1_評価結果!$D$31</f>
        <v>基礎</v>
      </c>
      <c r="RG9" s="216" t="str">
        <f>参考1_評価結果!$D$32</f>
        <v>調整後</v>
      </c>
      <c r="RH9" s="216" t="str">
        <f>参考1_評価結果!$D$33</f>
        <v>基礎</v>
      </c>
      <c r="RI9" s="216" t="str">
        <f>参考1_評価結果!$D$34</f>
        <v>調整後</v>
      </c>
      <c r="RJ9" s="216" t="str">
        <f>参考1_評価結果!$D$35</f>
        <v>基礎</v>
      </c>
      <c r="RK9" s="216" t="str">
        <f>参考1_評価結果!$D$36</f>
        <v>調整後</v>
      </c>
      <c r="RL9" s="216"/>
      <c r="RM9" s="216"/>
      <c r="RN9" s="216"/>
      <c r="RO9" s="216"/>
      <c r="RQ9" s="216" t="str">
        <f>参考1_評価結果!$D$42</f>
        <v>SBT</v>
      </c>
      <c r="RR9" s="216" t="str">
        <f>参考1_評価結果!$D$43</f>
        <v>TCFD</v>
      </c>
      <c r="RS9" s="216" t="str">
        <f>参考1_評価結果!$D$44</f>
        <v>RE100</v>
      </c>
      <c r="RT9" s="216" t="str">
        <f>参考1_評価結果!$D$45</f>
        <v>RE Action</v>
      </c>
      <c r="RU9" s="216"/>
      <c r="RV9" s="216"/>
      <c r="RW9" s="216"/>
      <c r="RX9" s="216"/>
      <c r="RY9" s="217" t="str">
        <f>参考1_評価結果!$D$10</f>
        <v>基礎</v>
      </c>
      <c r="RZ9" s="216" t="str">
        <f>参考1_評価結果!$D$11</f>
        <v>調整後</v>
      </c>
      <c r="SA9" s="217" t="str">
        <f>参考1_評価結果!$D$12</f>
        <v>基礎</v>
      </c>
      <c r="SB9" s="216" t="str">
        <f>参考1_評価結果!$D$13</f>
        <v>調整後</v>
      </c>
      <c r="SC9" s="216" t="str">
        <f>参考1_評価結果!$D$14</f>
        <v>基礎</v>
      </c>
      <c r="SD9" s="216" t="str">
        <f>参考1_評価結果!$D$15</f>
        <v>調整後</v>
      </c>
      <c r="SE9" s="216"/>
      <c r="SF9" s="216"/>
      <c r="SH9" s="216"/>
      <c r="SI9" s="216" t="str">
        <f>参考1_評価結果!$D$20</f>
        <v>SBT</v>
      </c>
      <c r="SJ9" s="216" t="str">
        <f>参考1_評価結果!$D$21</f>
        <v>TCFD</v>
      </c>
      <c r="SK9" s="216" t="str">
        <f>参考1_評価結果!$D$22</f>
        <v>RE100</v>
      </c>
      <c r="SL9" s="216" t="str">
        <f>参考1_評価結果!$D$23</f>
        <v>RE Action</v>
      </c>
      <c r="SM9" s="216"/>
      <c r="SN9" s="217" t="str">
        <f>参考1_評価結果!$D$10</f>
        <v>基礎</v>
      </c>
      <c r="SO9" s="216" t="str">
        <f>参考1_評価結果!$D$11</f>
        <v>調整後</v>
      </c>
      <c r="SP9" s="217" t="str">
        <f>参考1_評価結果!$D$12</f>
        <v>基礎</v>
      </c>
      <c r="SQ9" s="216" t="str">
        <f>参考1_評価結果!$D$13</f>
        <v>調整後</v>
      </c>
      <c r="SR9" s="216" t="str">
        <f>参考1_評価結果!$D$14</f>
        <v>基礎</v>
      </c>
      <c r="SS9" s="216" t="str">
        <f>参考1_評価結果!$D$15</f>
        <v>調整後</v>
      </c>
      <c r="ST9" s="216"/>
      <c r="SU9" s="216"/>
      <c r="SW9" s="216"/>
      <c r="SX9" s="216" t="str">
        <f>参考1_評価結果!$D$20</f>
        <v>SBT</v>
      </c>
      <c r="SY9" s="216" t="str">
        <f>参考1_評価結果!$D$21</f>
        <v>TCFD</v>
      </c>
      <c r="SZ9" s="216" t="str">
        <f>参考1_評価結果!$D$22</f>
        <v>RE100</v>
      </c>
      <c r="TA9" s="216" t="str">
        <f>参考1_評価結果!$D$23</f>
        <v>RE Action</v>
      </c>
      <c r="TB9" s="216"/>
      <c r="TC9" s="216"/>
      <c r="TD9" s="216"/>
      <c r="TE9" s="216"/>
      <c r="TF9" s="216" t="str">
        <f>参考1_評価結果!$D$31</f>
        <v>基礎</v>
      </c>
      <c r="TG9" s="216" t="str">
        <f>参考1_評価結果!$D$32</f>
        <v>調整後</v>
      </c>
      <c r="TH9" s="216" t="str">
        <f>参考1_評価結果!$D$33</f>
        <v>基礎</v>
      </c>
      <c r="TI9" s="216" t="str">
        <f>参考1_評価結果!$D$34</f>
        <v>調整後</v>
      </c>
      <c r="TJ9" s="216" t="str">
        <f>参考1_評価結果!$D$35</f>
        <v>基礎</v>
      </c>
      <c r="TK9" s="216" t="str">
        <f>参考1_評価結果!$D$36</f>
        <v>調整後</v>
      </c>
      <c r="TL9" s="216"/>
      <c r="TM9" s="216"/>
      <c r="TN9" s="216"/>
      <c r="TO9" s="216"/>
      <c r="TQ9" s="216" t="str">
        <f>参考1_評価結果!$D$42</f>
        <v>SBT</v>
      </c>
      <c r="TR9" s="216" t="str">
        <f>参考1_評価結果!$D$43</f>
        <v>TCFD</v>
      </c>
      <c r="TS9" s="216" t="str">
        <f>参考1_評価結果!$D$44</f>
        <v>RE100</v>
      </c>
      <c r="TT9" s="216" t="str">
        <f>参考1_評価結果!$D$45</f>
        <v>RE Action</v>
      </c>
      <c r="TU9" s="216"/>
      <c r="TV9" s="216"/>
      <c r="TW9" s="216"/>
      <c r="TX9" s="216"/>
      <c r="TY9" s="217" t="str">
        <f>参考1_評価結果!$D$10</f>
        <v>基礎</v>
      </c>
      <c r="TZ9" s="216" t="str">
        <f>参考1_評価結果!$D$11</f>
        <v>調整後</v>
      </c>
      <c r="UA9" s="217" t="str">
        <f>参考1_評価結果!$D$12</f>
        <v>基礎</v>
      </c>
      <c r="UB9" s="216" t="str">
        <f>参考1_評価結果!$D$13</f>
        <v>調整後</v>
      </c>
      <c r="UC9" s="216" t="str">
        <f>参考1_評価結果!$D$14</f>
        <v>基礎</v>
      </c>
      <c r="UD9" s="216" t="str">
        <f>参考1_評価結果!$D$15</f>
        <v>調整後</v>
      </c>
      <c r="UE9" s="216"/>
      <c r="UF9" s="216"/>
      <c r="UH9" s="216"/>
      <c r="UI9" s="216" t="str">
        <f>参考1_評価結果!$D$20</f>
        <v>SBT</v>
      </c>
      <c r="UJ9" s="216" t="str">
        <f>参考1_評価結果!$D$21</f>
        <v>TCFD</v>
      </c>
      <c r="UK9" s="216" t="str">
        <f>参考1_評価結果!$D$22</f>
        <v>RE100</v>
      </c>
      <c r="UL9" s="216" t="str">
        <f>参考1_評価結果!$D$23</f>
        <v>RE Action</v>
      </c>
      <c r="UM9" s="216"/>
      <c r="UN9" s="217" t="str">
        <f>参考1_評価結果!$D$10</f>
        <v>基礎</v>
      </c>
      <c r="UO9" s="216" t="str">
        <f>参考1_評価結果!$D$11</f>
        <v>調整後</v>
      </c>
      <c r="UP9" s="217" t="str">
        <f>参考1_評価結果!$D$12</f>
        <v>基礎</v>
      </c>
      <c r="UQ9" s="216" t="str">
        <f>参考1_評価結果!$D$13</f>
        <v>調整後</v>
      </c>
      <c r="UR9" s="216" t="str">
        <f>参考1_評価結果!$D$14</f>
        <v>基礎</v>
      </c>
      <c r="US9" s="216" t="str">
        <f>参考1_評価結果!$D$15</f>
        <v>調整後</v>
      </c>
      <c r="UT9" s="216"/>
      <c r="UU9" s="216"/>
      <c r="UV9" s="216"/>
      <c r="UW9" s="216"/>
      <c r="UX9" s="216" t="str">
        <f>参考1_評価結果!$D$20</f>
        <v>SBT</v>
      </c>
      <c r="UY9" s="216" t="str">
        <f>参考1_評価結果!$D$21</f>
        <v>TCFD</v>
      </c>
      <c r="UZ9" s="216" t="str">
        <f>参考1_評価結果!$D$22</f>
        <v>RE100</v>
      </c>
      <c r="VA9" s="216" t="str">
        <f>参考1_評価結果!$D$23</f>
        <v>RE Action</v>
      </c>
      <c r="VB9" s="216"/>
      <c r="VC9" s="216"/>
      <c r="VD9" s="216"/>
      <c r="VE9" s="216"/>
      <c r="VF9" s="216" t="str">
        <f>参考1_評価結果!$D$31</f>
        <v>基礎</v>
      </c>
      <c r="VG9" s="216" t="str">
        <f>参考1_評価結果!$D$32</f>
        <v>調整後</v>
      </c>
      <c r="VH9" s="216" t="str">
        <f>参考1_評価結果!$D$33</f>
        <v>基礎</v>
      </c>
      <c r="VI9" s="216" t="str">
        <f>参考1_評価結果!$D$34</f>
        <v>調整後</v>
      </c>
      <c r="VJ9" s="216" t="str">
        <f>参考1_評価結果!$D$35</f>
        <v>基礎</v>
      </c>
      <c r="VK9" s="216" t="str">
        <f>参考1_評価結果!$D$36</f>
        <v>調整後</v>
      </c>
      <c r="VL9" s="216"/>
      <c r="VM9" s="216"/>
      <c r="VN9" s="216"/>
      <c r="VO9" s="216"/>
      <c r="VP9" s="216"/>
      <c r="VQ9" s="216" t="str">
        <f>参考1_評価結果!$D$42</f>
        <v>SBT</v>
      </c>
      <c r="VR9" s="216" t="str">
        <f>参考1_評価結果!$D$43</f>
        <v>TCFD</v>
      </c>
      <c r="VS9" s="216" t="str">
        <f>参考1_評価結果!$D$44</f>
        <v>RE100</v>
      </c>
      <c r="VT9" s="216" t="str">
        <f>参考1_評価結果!$D$45</f>
        <v>RE Action</v>
      </c>
      <c r="VU9" s="216"/>
      <c r="VV9" s="216"/>
      <c r="VW9" s="216"/>
      <c r="VX9" s="216"/>
    </row>
    <row r="10" spans="2:596" s="222" customFormat="1" ht="36" customHeight="1">
      <c r="B10" s="219" t="s">
        <v>1552</v>
      </c>
      <c r="C10" s="219" t="str">
        <f ca="1">'B1.入力_第1面'!I4</f>
        <v/>
      </c>
      <c r="D10" s="219">
        <f ca="1">'B1.入力_第1面'!E20</f>
        <v>0</v>
      </c>
      <c r="E10" s="219">
        <f ca="1">'B1.入力_第1面'!R20</f>
        <v>0</v>
      </c>
      <c r="F10" s="219">
        <f ca="1">'B1.入力_第1面'!AB20</f>
        <v>0</v>
      </c>
      <c r="G10" s="219">
        <f ca="1">'B1.入力_第1面'!AL20</f>
        <v>0</v>
      </c>
      <c r="H10" s="219">
        <f ca="1">'B1.入力_第1面'!E21</f>
        <v>0</v>
      </c>
      <c r="I10" s="219">
        <f ca="1">'B1.入力_第1面'!R21</f>
        <v>0</v>
      </c>
      <c r="J10" s="219">
        <f ca="1">'B1.入力_第1面'!AB21</f>
        <v>0</v>
      </c>
      <c r="K10" s="219">
        <f ca="1">'B1.入力_第1面'!AL21</f>
        <v>0</v>
      </c>
      <c r="L10" s="219">
        <f ca="1">'B1.入力_第1面'!H21</f>
        <v>0</v>
      </c>
      <c r="M10" s="219">
        <f ca="1">'B1.入力_第1面'!U21</f>
        <v>0</v>
      </c>
      <c r="N10" s="219">
        <f ca="1">'B1.入力_第1面'!AE21</f>
        <v>0</v>
      </c>
      <c r="O10" s="219">
        <f ca="1">'B1.入力_第1面'!AO21</f>
        <v>0</v>
      </c>
      <c r="P10" s="219">
        <f ca="1">'B1.入力_第1面'!E22</f>
        <v>0</v>
      </c>
      <c r="Q10" s="219">
        <f ca="1">'B1.入力_第1面'!R22</f>
        <v>0</v>
      </c>
      <c r="R10" s="219">
        <f ca="1">'B1.入力_第1面'!AB22</f>
        <v>0</v>
      </c>
      <c r="S10" s="219">
        <f ca="1">'B1.入力_第1面'!AL22</f>
        <v>0</v>
      </c>
      <c r="T10" s="219" t="str">
        <f ca="1">IF('B1.入力_第1面'!I23=0,"",'B1.入力_第1面'!I23)</f>
        <v/>
      </c>
      <c r="U10" s="219" t="str">
        <f ca="1">IF('B1.入力_第1面'!V23=0,"",'B1.入力_第1面'!V23)</f>
        <v/>
      </c>
      <c r="V10" s="219" t="str">
        <f ca="1">IF('B1.入力_第1面'!AF23=0,"",'B1.入力_第1面'!AF23)</f>
        <v/>
      </c>
      <c r="W10" s="219" t="str">
        <f>IF('B1.入力_第1面'!AP23=0,"",'B1.入力_第1面'!AP23)</f>
        <v>産業</v>
      </c>
      <c r="X10" s="219">
        <f>'B1.入力_第1面'!I24</f>
        <v>0</v>
      </c>
      <c r="Y10" s="219">
        <f>'B1.入力_第1面'!V24</f>
        <v>0</v>
      </c>
      <c r="Z10" s="219">
        <f>'B1.入力_第1面'!AF24</f>
        <v>0</v>
      </c>
      <c r="AA10" s="219">
        <f>'B1.入力_第1面'!AP24</f>
        <v>0</v>
      </c>
      <c r="AB10" s="219" t="str">
        <f ca="1">'B1.入力_第1面'!I25</f>
        <v/>
      </c>
      <c r="AC10" s="219" t="str">
        <f ca="1">'B1.入力_第1面'!V25</f>
        <v/>
      </c>
      <c r="AD10" s="219" t="str">
        <f ca="1">'B1.入力_第1面'!AF25</f>
        <v/>
      </c>
      <c r="AE10" s="219" t="str">
        <f>'B1.入力_第1面'!AP25</f>
        <v>運輸</v>
      </c>
      <c r="AF10" s="219">
        <f>'B1.入力_第1面'!E26</f>
        <v>0</v>
      </c>
      <c r="AG10" s="219">
        <f>'B1.入力_第1面'!R26</f>
        <v>0</v>
      </c>
      <c r="AH10" s="219">
        <f>'B1.入力_第1面'!AB26</f>
        <v>0</v>
      </c>
      <c r="AI10" s="219">
        <f>'B1.入力_第1面'!AL26</f>
        <v>0</v>
      </c>
      <c r="AJ10" s="219">
        <f>'B1.入力_第1面'!E27</f>
        <v>0</v>
      </c>
      <c r="AK10" s="219">
        <f>'B1.入力_第1面'!R27</f>
        <v>0</v>
      </c>
      <c r="AL10" s="219">
        <f>'B1.入力_第1面'!AB27</f>
        <v>0</v>
      </c>
      <c r="AM10" s="219">
        <f>'B1.入力_第1面'!AL27</f>
        <v>0</v>
      </c>
      <c r="AN10" s="298">
        <f ca="1">'B1.入力_第1面'!G32</f>
        <v>0</v>
      </c>
      <c r="AO10" s="298">
        <f ca="1">'B1.入力_第1面'!T32</f>
        <v>0</v>
      </c>
      <c r="AP10" s="298">
        <f ca="1">'B1.入力_第1面'!AD32</f>
        <v>0</v>
      </c>
      <c r="AQ10" s="298">
        <f ca="1">'B1.入力_第1面'!AN32</f>
        <v>0</v>
      </c>
      <c r="AR10" s="219" t="str">
        <f>'B1.入力_第1面'!I32</f>
        <v>■</v>
      </c>
      <c r="AS10" s="219" t="str">
        <f>'B1.入力_第1面'!V32</f>
        <v>■</v>
      </c>
      <c r="AT10" s="219" t="str">
        <f>'B1.入力_第1面'!AF32</f>
        <v>■</v>
      </c>
      <c r="AU10" s="219" t="str">
        <f>'B1.入力_第1面'!AP32</f>
        <v>■</v>
      </c>
      <c r="AV10" s="298">
        <f ca="1">'B1.入力_第1面'!G33</f>
        <v>0</v>
      </c>
      <c r="AW10" s="298">
        <f ca="1">'B1.入力_第1面'!T33</f>
        <v>0</v>
      </c>
      <c r="AX10" s="298">
        <f ca="1">'B1.入力_第1面'!AD33</f>
        <v>0</v>
      </c>
      <c r="AY10" s="298">
        <f ca="1">'B1.入力_第1面'!AN33</f>
        <v>0</v>
      </c>
      <c r="AZ10" s="219" t="str">
        <f>'B1.入力_第1面'!I33</f>
        <v>□</v>
      </c>
      <c r="BA10" s="219" t="str">
        <f>'B1.入力_第1面'!V33</f>
        <v>□</v>
      </c>
      <c r="BB10" s="219" t="str">
        <f>'B1.入力_第1面'!AF33</f>
        <v>□</v>
      </c>
      <c r="BC10" s="219" t="str">
        <f>'B1.入力_第1面'!AP33</f>
        <v>□</v>
      </c>
      <c r="BD10" s="299">
        <f ca="1">'B1.入力_第1面'!G34</f>
        <v>0</v>
      </c>
      <c r="BE10" s="299">
        <f ca="1">'B1.入力_第1面'!T34</f>
        <v>0</v>
      </c>
      <c r="BF10" s="299">
        <f ca="1">'B1.入力_第1面'!AD34</f>
        <v>0</v>
      </c>
      <c r="BG10" s="299">
        <f ca="1">'B1.入力_第1面'!AN34</f>
        <v>0</v>
      </c>
      <c r="BH10" s="219" t="str">
        <f>'B1.入力_第1面'!I34</f>
        <v>■</v>
      </c>
      <c r="BI10" s="219" t="str">
        <f>'B1.入力_第1面'!V34</f>
        <v>■</v>
      </c>
      <c r="BJ10" s="219" t="str">
        <f>'B1.入力_第1面'!AF34</f>
        <v>■</v>
      </c>
      <c r="BK10" s="219" t="str">
        <f>'B1.入力_第1面'!AP34</f>
        <v>■</v>
      </c>
      <c r="BL10" s="299">
        <f ca="1">'B1.入力_第1面'!G35</f>
        <v>0</v>
      </c>
      <c r="BM10" s="299">
        <f ca="1">'B1.入力_第1面'!T35</f>
        <v>0</v>
      </c>
      <c r="BN10" s="299">
        <f ca="1">'B1.入力_第1面'!AD35</f>
        <v>0</v>
      </c>
      <c r="BO10" s="299">
        <f ca="1">'B1.入力_第1面'!AN35</f>
        <v>0</v>
      </c>
      <c r="BP10" s="219" t="str">
        <f>'B1.入力_第1面'!I35</f>
        <v>□</v>
      </c>
      <c r="BQ10" s="219" t="str">
        <f>'B1.入力_第1面'!V35</f>
        <v>□</v>
      </c>
      <c r="BR10" s="219" t="str">
        <f>'B1.入力_第1面'!AF35</f>
        <v>□</v>
      </c>
      <c r="BS10" s="219" t="str">
        <f>'B1.入力_第1面'!AP35</f>
        <v>□</v>
      </c>
      <c r="BT10" s="219">
        <f ca="1">'B1.入力_第1面'!C39</f>
        <v>2025</v>
      </c>
      <c r="BU10" s="219">
        <f ca="1">'B1.入力_第1面'!P39</f>
        <v>2025</v>
      </c>
      <c r="BV10" s="219">
        <f ca="1">'B1.入力_第1面'!Z39</f>
        <v>2025</v>
      </c>
      <c r="BW10" s="219">
        <f ca="1">'B1.入力_第1面'!AJ39</f>
        <v>2025</v>
      </c>
      <c r="BX10" s="219">
        <f>'B1.入力_第1面'!E39</f>
        <v>2027</v>
      </c>
      <c r="BY10" s="219">
        <f>'B1.入力_第1面'!R39</f>
        <v>2027</v>
      </c>
      <c r="BZ10" s="219">
        <f>'B1.入力_第1面'!AB39</f>
        <v>2027</v>
      </c>
      <c r="CA10" s="219">
        <f>'B1.入力_第1面'!AL39</f>
        <v>2027</v>
      </c>
      <c r="CB10" s="219">
        <f ca="1">'B1.入力_第1面'!H39</f>
        <v>2024</v>
      </c>
      <c r="CC10" s="219">
        <f ca="1">'B1.入力_第1面'!U39</f>
        <v>2024</v>
      </c>
      <c r="CD10" s="219">
        <f ca="1">'B1.入力_第1面'!AE39</f>
        <v>2024</v>
      </c>
      <c r="CE10" s="219">
        <f ca="1">'B1.入力_第1面'!AO39</f>
        <v>2024</v>
      </c>
      <c r="CF10" s="219">
        <f>'B1.入力_第1面'!B43</f>
        <v>0</v>
      </c>
      <c r="CG10" s="219">
        <f>'B1.入力_第1面'!P43</f>
        <v>2025</v>
      </c>
      <c r="CH10" s="219">
        <f>'B1.入力_第1面'!Z43</f>
        <v>2026</v>
      </c>
      <c r="CI10" s="219">
        <f>'B1.入力_第1面'!AJ43</f>
        <v>2027</v>
      </c>
      <c r="CJ10" s="219">
        <f>'B2.入力_第2~4面'!D11</f>
        <v>0</v>
      </c>
      <c r="CK10" s="298">
        <f>'B2.入力_第2~4面'!I10</f>
        <v>0</v>
      </c>
      <c r="CL10" s="298">
        <f>'B2.入力_第2~4面'!I11</f>
        <v>0</v>
      </c>
      <c r="CM10" s="219">
        <f ca="1">'B2.入力_第2~4面'!D13</f>
        <v>2022</v>
      </c>
      <c r="CN10" s="298" t="str">
        <f ca="1">'B2.入力_第2~4面'!I12</f>
        <v/>
      </c>
      <c r="CO10" s="298" t="str">
        <f ca="1">'B2.入力_第2~4面'!I13</f>
        <v/>
      </c>
      <c r="CP10" s="219">
        <f ca="1">'B2.入力_第2~4面'!D15</f>
        <v>2023</v>
      </c>
      <c r="CQ10" s="298" t="str">
        <f ca="1">'B2.入力_第2~4面'!I14</f>
        <v/>
      </c>
      <c r="CR10" s="298" t="str">
        <f ca="1">'B2.入力_第2~4面'!I15</f>
        <v/>
      </c>
      <c r="CS10" s="298">
        <f ca="1">'B2.入力_第2~4面'!$F$20</f>
        <v>0</v>
      </c>
      <c r="CT10" s="298">
        <f ca="1">'B2.入力_第2~4面'!$F$21</f>
        <v>0</v>
      </c>
      <c r="CU10" s="298">
        <f>'B2.入力_第2~4面'!$I$20</f>
        <v>0</v>
      </c>
      <c r="CV10" s="298">
        <f>'B2.入力_第2~4面'!$I$21</f>
        <v>0</v>
      </c>
      <c r="CW10" s="298" t="str">
        <f>'B2.入力_第2~4面'!$L$20</f>
        <v/>
      </c>
      <c r="CX10" s="298" t="str">
        <f>'B2.入力_第2~4面'!$L$21</f>
        <v/>
      </c>
      <c r="CY10" s="298" t="str">
        <f>'B2.入力_第2~4面'!$O$20</f>
        <v/>
      </c>
      <c r="CZ10" s="298" t="str">
        <f>'B2.入力_第2~4面'!$O$21</f>
        <v/>
      </c>
      <c r="DA10" s="298" t="str">
        <f>'B2.入力_第2~4面'!$R$20</f>
        <v/>
      </c>
      <c r="DB10" s="298" t="str">
        <f>'B2.入力_第2~4面'!$R$21</f>
        <v/>
      </c>
      <c r="DC10" s="301">
        <f>'B2.入力_第2~4面'!$F$22</f>
        <v>0</v>
      </c>
      <c r="DD10" s="301">
        <f>'B2.入力_第2~4面'!$F$23</f>
        <v>0</v>
      </c>
      <c r="DE10" s="301" t="str">
        <f ca="1">'B2.入力_第2~4面'!$I$22</f>
        <v/>
      </c>
      <c r="DF10" s="301" t="str">
        <f ca="1">'B2.入力_第2~4面'!$I$23</f>
        <v/>
      </c>
      <c r="DG10" s="302" t="str">
        <f ca="1">'B2.入力_第2~4面'!$L$22</f>
        <v/>
      </c>
      <c r="DH10" s="302" t="str">
        <f ca="1">'B2.入力_第2~4面'!$L$23</f>
        <v/>
      </c>
      <c r="DI10" s="302" t="str">
        <f ca="1">'B2.入力_第2~4面'!$O$22</f>
        <v/>
      </c>
      <c r="DJ10" s="302" t="str">
        <f ca="1">'B2.入力_第2~4面'!$O$23</f>
        <v/>
      </c>
      <c r="DK10" s="302" t="str">
        <f ca="1">'B2.入力_第2~4面'!$R$22</f>
        <v/>
      </c>
      <c r="DL10" s="302" t="str">
        <f ca="1">'B2.入力_第2~4面'!$R$23</f>
        <v/>
      </c>
      <c r="DM10" s="302">
        <f>'B2.入力_第2~4面'!$F$24</f>
        <v>0</v>
      </c>
      <c r="DN10" s="302">
        <f>'B2.入力_第2~4面'!$F$25</f>
        <v>0</v>
      </c>
      <c r="DO10" s="301" t="str">
        <f ca="1">'B2.入力_第2~4面'!$I$24</f>
        <v/>
      </c>
      <c r="DP10" s="301" t="str">
        <f ca="1">'B2.入力_第2~4面'!$I$25</f>
        <v/>
      </c>
      <c r="DQ10" s="302" t="str">
        <f ca="1">'B2.入力_第2~4面'!$L$24</f>
        <v/>
      </c>
      <c r="DR10" s="302" t="str">
        <f ca="1">'B2.入力_第2~4面'!$L$25</f>
        <v/>
      </c>
      <c r="DS10" s="302" t="str">
        <f ca="1">'B2.入力_第2~4面'!$O$24</f>
        <v/>
      </c>
      <c r="DT10" s="302" t="str">
        <f ca="1">'B2.入力_第2~4面'!$O$25</f>
        <v/>
      </c>
      <c r="DU10" s="302" t="str">
        <f>'B2.入力_第2~4面'!$R$24</f>
        <v/>
      </c>
      <c r="DV10" s="302" t="str">
        <f>'B2.入力_第2~4面'!$R$25</f>
        <v/>
      </c>
      <c r="DW10" s="220">
        <f>'B2.入力_第2~4面'!$F$26</f>
        <v>0</v>
      </c>
      <c r="DX10" s="220">
        <f>'B2.入力_第2~4面'!$F$27</f>
        <v>0</v>
      </c>
      <c r="DY10" s="219">
        <f>'B2.入力_第2~4面'!$I$26</f>
        <v>0</v>
      </c>
      <c r="DZ10" s="219">
        <f>'B2.入力_第2~4面'!$I$27</f>
        <v>0</v>
      </c>
      <c r="EA10" s="221" t="str">
        <f>'B2.入力_第2~4面'!$L$26</f>
        <v/>
      </c>
      <c r="EB10" s="221" t="str">
        <f>'B2.入力_第2~4面'!$L$27</f>
        <v/>
      </c>
      <c r="EC10" s="221" t="str">
        <f>'B2.入力_第2~4面'!$O$26</f>
        <v/>
      </c>
      <c r="ED10" s="221" t="str">
        <f>'B2.入力_第2~4面'!$O$27</f>
        <v/>
      </c>
      <c r="EE10" s="221" t="str">
        <f>'B2.入力_第2~4面'!$R$26</f>
        <v/>
      </c>
      <c r="EF10" s="221" t="str">
        <f>'B2.入力_第2~4面'!$R$27</f>
        <v/>
      </c>
      <c r="EG10" s="219">
        <f>'B2.入力_第2~4面'!$B$32</f>
        <v>0</v>
      </c>
      <c r="EH10" s="219">
        <f>'B2.入力_第2~4面'!$E$32</f>
        <v>0</v>
      </c>
      <c r="EI10" s="219">
        <f>'B2.入力_第2~4面'!$L$32</f>
        <v>0</v>
      </c>
      <c r="EJ10" s="219">
        <f>'B2.入力_第2~4面'!$O$32</f>
        <v>0</v>
      </c>
      <c r="EK10" s="219">
        <f>'B2.入力_第2~4面'!$R$32</f>
        <v>0</v>
      </c>
      <c r="EL10" s="219">
        <f>'B2.入力_第2~4面'!$B$33</f>
        <v>0</v>
      </c>
      <c r="EM10" s="219">
        <f>'B2.入力_第2~4面'!$E$33</f>
        <v>0</v>
      </c>
      <c r="EN10" s="219">
        <f>'B2.入力_第2~4面'!$L$33</f>
        <v>0</v>
      </c>
      <c r="EO10" s="219">
        <f>'B2.入力_第2~4面'!$O$33</f>
        <v>0</v>
      </c>
      <c r="EP10" s="219">
        <f>'B2.入力_第2~4面'!$R$33</f>
        <v>0</v>
      </c>
      <c r="EQ10" s="219">
        <f>'B2.入力_第2~4面'!$B$34</f>
        <v>0</v>
      </c>
      <c r="ER10" s="219">
        <f>'B2.入力_第2~4面'!$E$34</f>
        <v>0</v>
      </c>
      <c r="ES10" s="219">
        <f>'B2.入力_第2~4面'!$L$34</f>
        <v>0</v>
      </c>
      <c r="ET10" s="219">
        <f>'B2.入力_第2~4面'!$O$34</f>
        <v>0</v>
      </c>
      <c r="EU10" s="219">
        <f>'B2.入力_第2~4面'!$R$34</f>
        <v>0</v>
      </c>
      <c r="EV10" s="219">
        <f>'B2.入力_第2~4面'!$B$35</f>
        <v>0</v>
      </c>
      <c r="EW10" s="219">
        <f>'B2.入力_第2~4面'!$E$35</f>
        <v>0</v>
      </c>
      <c r="EX10" s="219">
        <f>'B2.入力_第2~4面'!$L$35</f>
        <v>0</v>
      </c>
      <c r="EY10" s="219">
        <f>'B2.入力_第2~4面'!$O$35</f>
        <v>0</v>
      </c>
      <c r="EZ10" s="219">
        <f>'B2.入力_第2~4面'!$R$35</f>
        <v>0</v>
      </c>
      <c r="FA10" s="219">
        <f>'B2.入力_第2~4面'!$B$36</f>
        <v>0</v>
      </c>
      <c r="FB10" s="219">
        <f>'B2.入力_第2~4面'!$E$36</f>
        <v>0</v>
      </c>
      <c r="FC10" s="219">
        <f>'B2.入力_第2~4面'!$L$36</f>
        <v>0</v>
      </c>
      <c r="FD10" s="219">
        <f>'B2.入力_第2~4面'!$O$36</f>
        <v>0</v>
      </c>
      <c r="FE10" s="219">
        <f>'B2.入力_第2~4面'!$R$36</f>
        <v>0</v>
      </c>
      <c r="FF10" s="219">
        <f>'B2.入力_第2~4面'!$B$41</f>
        <v>0</v>
      </c>
      <c r="FG10" s="219">
        <f>'B2.入力_第2~4面'!$E$41</f>
        <v>0</v>
      </c>
      <c r="FH10" s="220">
        <f>'B2.入力_第2~4面'!$I$41</f>
        <v>0</v>
      </c>
      <c r="FI10" s="220">
        <f>'B2.入力_第2~4面'!$L$41</f>
        <v>0</v>
      </c>
      <c r="FJ10" s="220">
        <f>'B2.入力_第2~4面'!$O$41</f>
        <v>0</v>
      </c>
      <c r="FK10" s="220">
        <f>'B2.入力_第2~4面'!$R$41</f>
        <v>0</v>
      </c>
      <c r="FL10" s="219">
        <f>'B2.入力_第2~4面'!$B$42</f>
        <v>0</v>
      </c>
      <c r="FM10" s="219">
        <f>'B2.入力_第2~4面'!$E$42</f>
        <v>0</v>
      </c>
      <c r="FN10" s="220">
        <f>'B2.入力_第2~4面'!$I$42</f>
        <v>0</v>
      </c>
      <c r="FO10" s="220">
        <f>'B2.入力_第2~4面'!$L$42</f>
        <v>0</v>
      </c>
      <c r="FP10" s="220">
        <f>'B2.入力_第2~4面'!$O$42</f>
        <v>0</v>
      </c>
      <c r="FQ10" s="220">
        <f>'B2.入力_第2~4面'!$R$42</f>
        <v>0</v>
      </c>
      <c r="FR10" s="219">
        <f>'B2.入力_第2~4面'!$B$43</f>
        <v>0</v>
      </c>
      <c r="FS10" s="219">
        <f>'B2.入力_第2~4面'!$E$43</f>
        <v>0</v>
      </c>
      <c r="FT10" s="220">
        <f>'B2.入力_第2~4面'!$I$43</f>
        <v>0</v>
      </c>
      <c r="FU10" s="220">
        <f>'B2.入力_第2~4面'!$L$43</f>
        <v>0</v>
      </c>
      <c r="FV10" s="220">
        <f>'B2.入力_第2~4面'!$O$43</f>
        <v>0</v>
      </c>
      <c r="FW10" s="220">
        <f>'B2.入力_第2~4面'!$R$43</f>
        <v>0</v>
      </c>
      <c r="FX10" s="219">
        <f>'B2.入力_第2~4面'!$B$44</f>
        <v>0</v>
      </c>
      <c r="FY10" s="219">
        <f>'B2.入力_第2~4面'!$E$44</f>
        <v>0</v>
      </c>
      <c r="FZ10" s="220">
        <f>'B2.入力_第2~4面'!$I$44</f>
        <v>0</v>
      </c>
      <c r="GA10" s="220">
        <f>'B2.入力_第2~4面'!$L$44</f>
        <v>0</v>
      </c>
      <c r="GB10" s="220">
        <f>'B2.入力_第2~4面'!$O$44</f>
        <v>0</v>
      </c>
      <c r="GC10" s="220">
        <f>'B2.入力_第2~4面'!$R$44</f>
        <v>0</v>
      </c>
      <c r="GD10" s="219">
        <f>'B2.入力_第2~4面'!$B$45</f>
        <v>0</v>
      </c>
      <c r="GE10" s="219">
        <f>'B2.入力_第2~4面'!$E$45</f>
        <v>0</v>
      </c>
      <c r="GF10" s="220">
        <f>'B2.入力_第2~4面'!$I$45</f>
        <v>0</v>
      </c>
      <c r="GG10" s="220">
        <f>'B2.入力_第2~4面'!$L$45</f>
        <v>0</v>
      </c>
      <c r="GH10" s="220">
        <f>'B2.入力_第2~4面'!$O$45</f>
        <v>0</v>
      </c>
      <c r="GI10" s="220">
        <f>'B2.入力_第2~4面'!$R$45</f>
        <v>0</v>
      </c>
      <c r="GJ10" s="219">
        <f>'B2.入力_第2~4面'!$B$46</f>
        <v>0</v>
      </c>
      <c r="GK10" s="219">
        <f>'B2.入力_第2~4面'!$E$46</f>
        <v>0</v>
      </c>
      <c r="GL10" s="220">
        <f>'B2.入力_第2~4面'!$I$46</f>
        <v>0</v>
      </c>
      <c r="GM10" s="220">
        <f>'B2.入力_第2~4面'!$L$46</f>
        <v>0</v>
      </c>
      <c r="GN10" s="220">
        <f>'B2.入力_第2~4面'!$O$46</f>
        <v>0</v>
      </c>
      <c r="GO10" s="220">
        <f>'B2.入力_第2~4面'!$R$46</f>
        <v>0</v>
      </c>
      <c r="GP10" s="219">
        <f>'B2.入力_第2~4面'!$B$47</f>
        <v>0</v>
      </c>
      <c r="GQ10" s="219">
        <f>'B2.入力_第2~4面'!$E$47</f>
        <v>0</v>
      </c>
      <c r="GR10" s="220">
        <f>'B2.入力_第2~4面'!$I$47</f>
        <v>0</v>
      </c>
      <c r="GS10" s="220">
        <f>'B2.入力_第2~4面'!$L$47</f>
        <v>0</v>
      </c>
      <c r="GT10" s="220">
        <f>'B2.入力_第2~4面'!$O$47</f>
        <v>0</v>
      </c>
      <c r="GU10" s="220">
        <f>'B2.入力_第2~4面'!$R$47</f>
        <v>0</v>
      </c>
      <c r="GV10" s="219">
        <f>'B2.入力_第2~4面'!$B$48</f>
        <v>0</v>
      </c>
      <c r="GW10" s="219">
        <f>'B2.入力_第2~4面'!$E$48</f>
        <v>0</v>
      </c>
      <c r="GX10" s="220">
        <f>'B2.入力_第2~4面'!$I$48</f>
        <v>0</v>
      </c>
      <c r="GY10" s="220">
        <f>'B2.入力_第2~4面'!$L$48</f>
        <v>0</v>
      </c>
      <c r="GZ10" s="220">
        <f>'B2.入力_第2~4面'!$O$48</f>
        <v>0</v>
      </c>
      <c r="HA10" s="220">
        <f>'B2.入力_第2~4面'!$R$48</f>
        <v>0</v>
      </c>
      <c r="HB10" s="219">
        <f>'B2.入力_第2~4面'!$B$49</f>
        <v>0</v>
      </c>
      <c r="HC10" s="219">
        <f>'B2.入力_第2~4面'!$E$49</f>
        <v>0</v>
      </c>
      <c r="HD10" s="220">
        <f>'B2.入力_第2~4面'!$I$49</f>
        <v>0</v>
      </c>
      <c r="HE10" s="220">
        <f>'B2.入力_第2~4面'!$L$49</f>
        <v>0</v>
      </c>
      <c r="HF10" s="220">
        <f>'B2.入力_第2~4面'!$O$49</f>
        <v>0</v>
      </c>
      <c r="HG10" s="220">
        <f>'B2.入力_第2~4面'!$R$49</f>
        <v>0</v>
      </c>
      <c r="HH10" s="219">
        <f>'B2.入力_第2~4面'!$B$50</f>
        <v>0</v>
      </c>
      <c r="HI10" s="219">
        <f>'B2.入力_第2~4面'!$E$50</f>
        <v>0</v>
      </c>
      <c r="HJ10" s="220">
        <f>'B2.入力_第2~4面'!$I$50</f>
        <v>0</v>
      </c>
      <c r="HK10" s="220">
        <f>'B2.入力_第2~4面'!$L$50</f>
        <v>0</v>
      </c>
      <c r="HL10" s="220">
        <f>'B2.入力_第2~4面'!$O$50</f>
        <v>0</v>
      </c>
      <c r="HM10" s="220">
        <f>'B2.入力_第2~4面'!$R$50</f>
        <v>0</v>
      </c>
      <c r="HN10" s="219">
        <f>'B2.入力_第2~4面'!$D$57</f>
        <v>0</v>
      </c>
      <c r="HO10" s="298">
        <f>'B2.入力_第2~4面'!$I$56</f>
        <v>0</v>
      </c>
      <c r="HP10" s="298">
        <f>'B2.入力_第2~4面'!$I$57</f>
        <v>0</v>
      </c>
      <c r="HQ10" s="219">
        <f ca="1">'B2.入力_第2~4面'!$D$59</f>
        <v>2022</v>
      </c>
      <c r="HR10" s="298" t="str">
        <f ca="1">'B2.入力_第2~4面'!$I$58</f>
        <v/>
      </c>
      <c r="HS10" s="298" t="str">
        <f ca="1">'B2.入力_第2~4面'!$I$59</f>
        <v/>
      </c>
      <c r="HT10" s="219">
        <f ca="1">'B2.入力_第2~4面'!$D$61</f>
        <v>2023</v>
      </c>
      <c r="HU10" s="298" t="str">
        <f ca="1">'B2.入力_第2~4面'!$I$60</f>
        <v/>
      </c>
      <c r="HV10" s="298" t="str">
        <f ca="1">'B2.入力_第2~4面'!$I$61</f>
        <v/>
      </c>
      <c r="HW10" s="298">
        <f ca="1">'B2.入力_第2~4面'!$F$66</f>
        <v>0</v>
      </c>
      <c r="HX10" s="298">
        <f ca="1">'B2.入力_第2~4面'!$F$67</f>
        <v>0</v>
      </c>
      <c r="HY10" s="298">
        <f>'B2.入力_第2~4面'!$I$66</f>
        <v>0</v>
      </c>
      <c r="HZ10" s="298">
        <f>'B2.入力_第2~4面'!$I$67</f>
        <v>0</v>
      </c>
      <c r="IA10" s="298" t="str">
        <f>'B2.入力_第2~4面'!$L$66</f>
        <v/>
      </c>
      <c r="IB10" s="298" t="str">
        <f>'B2.入力_第2~4面'!$L$67</f>
        <v/>
      </c>
      <c r="IC10" s="298" t="str">
        <f>'B2.入力_第2~4面'!$O$66</f>
        <v/>
      </c>
      <c r="ID10" s="298" t="str">
        <f>'B2.入力_第2~4面'!$O$67</f>
        <v/>
      </c>
      <c r="IE10" s="298" t="str">
        <f>'B2.入力_第2~4面'!$R$66</f>
        <v/>
      </c>
      <c r="IF10" s="298" t="str">
        <f>'B2.入力_第2~4面'!$R$67</f>
        <v/>
      </c>
      <c r="IG10" s="301">
        <f>'B2.入力_第2~4面'!$F$68</f>
        <v>0</v>
      </c>
      <c r="IH10" s="301">
        <f>'B2.入力_第2~4面'!$F$69</f>
        <v>0</v>
      </c>
      <c r="II10" s="302" t="str">
        <f ca="1">'B2.入力_第2~4面'!$I$68</f>
        <v/>
      </c>
      <c r="IJ10" s="302" t="str">
        <f ca="1">'B2.入力_第2~4面'!$I$69</f>
        <v/>
      </c>
      <c r="IK10" s="302" t="str">
        <f ca="1">'B2.入力_第2~4面'!$L$68</f>
        <v/>
      </c>
      <c r="IL10" s="302" t="str">
        <f ca="1">'B2.入力_第2~4面'!$L$69</f>
        <v/>
      </c>
      <c r="IM10" s="302" t="str">
        <f ca="1">'B2.入力_第2~4面'!$O$68</f>
        <v/>
      </c>
      <c r="IN10" s="302" t="str">
        <f ca="1">'B2.入力_第2~4面'!$O$69</f>
        <v/>
      </c>
      <c r="IO10" s="302" t="str">
        <f ca="1">'B2.入力_第2~4面'!$R$68</f>
        <v/>
      </c>
      <c r="IP10" s="302" t="str">
        <f ca="1">'B2.入力_第2~4面'!$R$69</f>
        <v/>
      </c>
      <c r="IQ10" s="302">
        <f>'B2.入力_第2~4面'!$F$70</f>
        <v>0</v>
      </c>
      <c r="IR10" s="302">
        <f>'B2.入力_第2~4面'!$F$71</f>
        <v>0</v>
      </c>
      <c r="IS10" s="301" t="str">
        <f ca="1">'B2.入力_第2~4面'!$I$70</f>
        <v/>
      </c>
      <c r="IT10" s="301" t="str">
        <f ca="1">'B2.入力_第2~4面'!$I$71</f>
        <v/>
      </c>
      <c r="IU10" s="301" t="str">
        <f ca="1">'B2.入力_第2~4面'!$L$70</f>
        <v/>
      </c>
      <c r="IV10" s="301" t="str">
        <f ca="1">'B2.入力_第2~4面'!$L$71</f>
        <v/>
      </c>
      <c r="IW10" s="301" t="str">
        <f ca="1">'B2.入力_第2~4面'!$O$70</f>
        <v/>
      </c>
      <c r="IX10" s="301" t="str">
        <f ca="1">'B2.入力_第2~4面'!$O$71</f>
        <v/>
      </c>
      <c r="IY10" s="301" t="str">
        <f>'B2.入力_第2~4面'!$R$70</f>
        <v/>
      </c>
      <c r="IZ10" s="301" t="str">
        <f>'B2.入力_第2~4面'!$R$71</f>
        <v/>
      </c>
      <c r="JA10" s="302">
        <f>'B2.入力_第2~4面'!$F$72</f>
        <v>0</v>
      </c>
      <c r="JB10" s="302">
        <f>'B2.入力_第2~4面'!$F$73</f>
        <v>0</v>
      </c>
      <c r="JC10" s="302">
        <f>'B2.入力_第2~4面'!$I$72</f>
        <v>0</v>
      </c>
      <c r="JD10" s="302">
        <f>'B2.入力_第2~4面'!$I$73</f>
        <v>0</v>
      </c>
      <c r="JE10" s="302" t="str">
        <f>'B2.入力_第2~4面'!$L$72</f>
        <v/>
      </c>
      <c r="JF10" s="302" t="str">
        <f>'B2.入力_第2~4面'!$L$73</f>
        <v/>
      </c>
      <c r="JG10" s="302" t="str">
        <f>'B2.入力_第2~4面'!$O$72</f>
        <v/>
      </c>
      <c r="JH10" s="302" t="str">
        <f>'B2.入力_第2~4面'!$O$73</f>
        <v/>
      </c>
      <c r="JI10" s="302" t="str">
        <f>'B2.入力_第2~4面'!$R$72</f>
        <v/>
      </c>
      <c r="JJ10" s="302" t="str">
        <f>'B2.入力_第2~4面'!$R$73</f>
        <v/>
      </c>
      <c r="JK10" s="219">
        <f>'B2.入力_第2~4面'!$B$78</f>
        <v>0</v>
      </c>
      <c r="JL10" s="219">
        <f>'B2.入力_第2~4面'!$E$78</f>
        <v>0</v>
      </c>
      <c r="JM10" s="219">
        <f>'B2.入力_第2~4面'!$L$78</f>
        <v>0</v>
      </c>
      <c r="JN10" s="219">
        <f>'B2.入力_第2~4面'!$O$78</f>
        <v>0</v>
      </c>
      <c r="JO10" s="219">
        <f>'B2.入力_第2~4面'!$R$78</f>
        <v>0</v>
      </c>
      <c r="JP10" s="219">
        <f>'B2.入力_第2~4面'!$B$79</f>
        <v>0</v>
      </c>
      <c r="JQ10" s="219">
        <f>'B2.入力_第2~4面'!$E$79</f>
        <v>0</v>
      </c>
      <c r="JR10" s="219">
        <f>'B2.入力_第2~4面'!$L$79</f>
        <v>0</v>
      </c>
      <c r="JS10" s="219">
        <f>'B2.入力_第2~4面'!$O$79</f>
        <v>0</v>
      </c>
      <c r="JT10" s="219">
        <f>'B2.入力_第2~4面'!$R$79</f>
        <v>0</v>
      </c>
      <c r="JU10" s="219">
        <f>'B2.入力_第2~4面'!$B$80</f>
        <v>0</v>
      </c>
      <c r="JV10" s="219">
        <f>'B2.入力_第2~4面'!$E$80</f>
        <v>0</v>
      </c>
      <c r="JW10" s="219">
        <f>'B2.入力_第2~4面'!$L$80</f>
        <v>0</v>
      </c>
      <c r="JX10" s="219">
        <f>'B2.入力_第2~4面'!$O$80</f>
        <v>0</v>
      </c>
      <c r="JY10" s="219">
        <f>'B2.入力_第2~4面'!$R$80</f>
        <v>0</v>
      </c>
      <c r="JZ10" s="219">
        <f>'B2.入力_第2~4面'!$B$81</f>
        <v>0</v>
      </c>
      <c r="KA10" s="219">
        <f>'B2.入力_第2~4面'!$E$81</f>
        <v>0</v>
      </c>
      <c r="KB10" s="219">
        <f>'B2.入力_第2~4面'!$L$81</f>
        <v>0</v>
      </c>
      <c r="KC10" s="219">
        <f>'B2.入力_第2~4面'!$O$81</f>
        <v>0</v>
      </c>
      <c r="KD10" s="219">
        <f>'B2.入力_第2~4面'!$R$81</f>
        <v>0</v>
      </c>
      <c r="KE10" s="219">
        <f>'B2.入力_第2~4面'!$B$82</f>
        <v>0</v>
      </c>
      <c r="KF10" s="219">
        <f>'B2.入力_第2~4面'!$E$82</f>
        <v>0</v>
      </c>
      <c r="KG10" s="219">
        <f>'B2.入力_第2~4面'!$L$82</f>
        <v>0</v>
      </c>
      <c r="KH10" s="219">
        <f>'B2.入力_第2~4面'!$O$82</f>
        <v>0</v>
      </c>
      <c r="KI10" s="219">
        <f>'B2.入力_第2~4面'!$R$82</f>
        <v>0</v>
      </c>
      <c r="KJ10" s="219" t="str">
        <f ca="1">'B2.入力_第2~4面'!$F$88</f>
        <v/>
      </c>
      <c r="KK10" s="219" t="str">
        <f>IF('B2.入力_第2~4面'!F89=0,"",'B2.入力_第2~4面'!F89)</f>
        <v/>
      </c>
      <c r="KL10" s="219" t="str">
        <f ca="1">'B2.入力_第2~4面'!$F$90</f>
        <v>-</v>
      </c>
      <c r="KM10" s="302" t="str">
        <f ca="1">'B2.入力_第2~4面'!$F$95</f>
        <v/>
      </c>
      <c r="KN10" s="302" t="str">
        <f>'B2.入力_第2~4面'!$I$95</f>
        <v/>
      </c>
      <c r="KO10" s="302" t="str">
        <f ca="1">'B2.入力_第2~4面'!$L$95</f>
        <v/>
      </c>
      <c r="KP10" s="302" t="str">
        <f ca="1">'B2.入力_第2~4面'!$O$95</f>
        <v/>
      </c>
      <c r="KQ10" s="302" t="str">
        <f ca="1">'B2.入力_第2~4面'!$R$95</f>
        <v/>
      </c>
      <c r="KR10" s="301">
        <f>'B2.入力_第2~4面'!F97</f>
        <v>0</v>
      </c>
      <c r="KS10" s="301">
        <f>'B2.入力_第2~4面'!I97</f>
        <v>0</v>
      </c>
      <c r="KT10" s="301" t="str">
        <f ca="1">'B2.入力_第2~4面'!L97</f>
        <v/>
      </c>
      <c r="KU10" s="301" t="str">
        <f ca="1">'B2.入力_第2~4面'!O97</f>
        <v/>
      </c>
      <c r="KV10" s="301" t="str">
        <f ca="1">'B2.入力_第2~4面'!R97</f>
        <v/>
      </c>
      <c r="KW10" s="301">
        <f>'B2.入力_第2~4面'!F98</f>
        <v>0</v>
      </c>
      <c r="KX10" s="301" t="str">
        <f>'B2.入力_第2~4面'!I98</f>
        <v/>
      </c>
      <c r="KY10" s="301" t="str">
        <f ca="1">'B2.入力_第2~4面'!L98</f>
        <v/>
      </c>
      <c r="KZ10" s="301" t="str">
        <f ca="1">'B2.入力_第2~4面'!O98</f>
        <v/>
      </c>
      <c r="LA10" s="301" t="str">
        <f ca="1">'B2.入力_第2~4面'!R98</f>
        <v/>
      </c>
      <c r="LB10" s="219" t="str">
        <f ca="1">'B2.入力_第2~4面'!$F$103</f>
        <v/>
      </c>
      <c r="LC10" s="219" t="str">
        <f>IF('B2.入力_第2~4面'!F104=0,"",'B2.入力_第2~4面'!F104)</f>
        <v/>
      </c>
      <c r="LD10" s="219" t="str">
        <f ca="1">'B2.入力_第2~4面'!$F$105</f>
        <v/>
      </c>
      <c r="LE10" s="302" t="str">
        <f ca="1">'B2.入力_第2~4面'!$F$110</f>
        <v/>
      </c>
      <c r="LF10" s="302" t="str">
        <f>'B2.入力_第2~4面'!$I$110</f>
        <v/>
      </c>
      <c r="LG10" s="302" t="str">
        <f ca="1">'B2.入力_第2~4面'!$L$110</f>
        <v/>
      </c>
      <c r="LH10" s="302" t="str">
        <f ca="1">'B2.入力_第2~4面'!$O$110</f>
        <v/>
      </c>
      <c r="LI10" s="302" t="str">
        <f ca="1">'B2.入力_第2~4面'!$R$110</f>
        <v/>
      </c>
      <c r="LJ10" s="301">
        <f>'B2.入力_第2~4面'!F112</f>
        <v>0</v>
      </c>
      <c r="LK10" s="301">
        <f>'B2.入力_第2~4面'!I112</f>
        <v>0</v>
      </c>
      <c r="LL10" s="301" t="str">
        <f ca="1">'B2.入力_第2~4面'!L112</f>
        <v/>
      </c>
      <c r="LM10" s="301" t="str">
        <f ca="1">'B2.入力_第2~4面'!O112</f>
        <v/>
      </c>
      <c r="LN10" s="301" t="str">
        <f ca="1">'B2.入力_第2~4面'!R112</f>
        <v/>
      </c>
      <c r="LO10" s="301">
        <f>'B2.入力_第2~4面'!F113</f>
        <v>0</v>
      </c>
      <c r="LP10" s="301" t="str">
        <f>'B2.入力_第2~4面'!I113</f>
        <v/>
      </c>
      <c r="LQ10" s="301" t="str">
        <f ca="1">'B2.入力_第2~4面'!L113</f>
        <v/>
      </c>
      <c r="LR10" s="301" t="str">
        <f ca="1">'B2.入力_第2~4面'!O113</f>
        <v/>
      </c>
      <c r="LS10" s="301" t="str">
        <f ca="1">'B2.入力_第2~4面'!R113</f>
        <v/>
      </c>
      <c r="LT10" s="298" t="str">
        <f ca="1">'B2.入力_第2~4面'!$F$120</f>
        <v/>
      </c>
      <c r="LU10" s="322">
        <f>'B2.入力_第2~4面'!$I$120</f>
        <v>0</v>
      </c>
      <c r="LV10" s="298" t="str">
        <f ca="1">'B2.入力_第2~4面'!$L$120</f>
        <v/>
      </c>
      <c r="LW10" s="298" t="str">
        <f ca="1">'B2.入力_第2~4面'!$O$120</f>
        <v/>
      </c>
      <c r="LX10" s="298" t="str">
        <f ca="1">'B2.入力_第2~4面'!$R$120</f>
        <v/>
      </c>
      <c r="LY10" s="322">
        <f ca="1">'B2.入力_第2~4面'!$F$128</f>
        <v>0</v>
      </c>
      <c r="LZ10" s="322">
        <f>'B2.入力_第2~4面'!$I$128</f>
        <v>0</v>
      </c>
      <c r="MA10" s="322">
        <f ca="1">'B2.入力_第2~4面'!$L$128</f>
        <v>0</v>
      </c>
      <c r="MB10" s="322">
        <f ca="1">'B2.入力_第2~4面'!$O$128</f>
        <v>0</v>
      </c>
      <c r="MC10" s="322">
        <f ca="1">'B2.入力_第2~4面'!$R$128</f>
        <v>0</v>
      </c>
      <c r="MD10" s="322">
        <f ca="1">'B2.入力_第2~4面'!$F$129</f>
        <v>0</v>
      </c>
      <c r="ME10" s="322">
        <f>'B2.入力_第2~4面'!$I$129</f>
        <v>0</v>
      </c>
      <c r="MF10" s="322">
        <f ca="1">'B2.入力_第2~4面'!$L$129</f>
        <v>0</v>
      </c>
      <c r="MG10" s="322">
        <f ca="1">'B2.入力_第2~4面'!$O$129</f>
        <v>0</v>
      </c>
      <c r="MH10" s="322">
        <f ca="1">'B2.入力_第2~4面'!$R$129</f>
        <v>0</v>
      </c>
      <c r="MI10" s="322">
        <f ca="1">'B2.入力_第2~4面'!$F$130</f>
        <v>0</v>
      </c>
      <c r="MJ10" s="322">
        <f>'B2.入力_第2~4面'!$I$130</f>
        <v>0</v>
      </c>
      <c r="MK10" s="322">
        <f ca="1">'B2.入力_第2~4面'!$L$130</f>
        <v>0</v>
      </c>
      <c r="ML10" s="322">
        <f ca="1">'B2.入力_第2~4面'!$O$130</f>
        <v>0</v>
      </c>
      <c r="MM10" s="322">
        <f ca="1">'B2.入力_第2~4面'!$R$130</f>
        <v>0</v>
      </c>
      <c r="MN10" s="322">
        <f ca="1">'B2.入力_第2~4面'!$F$131</f>
        <v>0</v>
      </c>
      <c r="MO10" s="322">
        <f>'B2.入力_第2~4面'!$I$131</f>
        <v>0</v>
      </c>
      <c r="MP10" s="322">
        <f ca="1">'B2.入力_第2~4面'!$L$131</f>
        <v>0</v>
      </c>
      <c r="MQ10" s="322">
        <f ca="1">'B2.入力_第2~4面'!$O$131</f>
        <v>0</v>
      </c>
      <c r="MR10" s="322">
        <f ca="1">'B2.入力_第2~4面'!$R$131</f>
        <v>0</v>
      </c>
      <c r="MS10" s="299" t="str">
        <f ca="1">'B2.入力_第2~4面'!$F$132</f>
        <v>－</v>
      </c>
      <c r="MT10" s="299" t="str">
        <f>'B2.入力_第2~4面'!$I$132</f>
        <v>－</v>
      </c>
      <c r="MU10" s="299" t="str">
        <f ca="1">'B2.入力_第2~4面'!$L$132</f>
        <v>－</v>
      </c>
      <c r="MV10" s="299" t="str">
        <f ca="1">'B2.入力_第2~4面'!$O$132</f>
        <v>－</v>
      </c>
      <c r="MW10" s="299" t="str">
        <f ca="1">'B2.入力_第2~4面'!$R$132</f>
        <v>－</v>
      </c>
      <c r="MX10" s="299">
        <f ca="1">'B2.入力_第2~4面'!F137</f>
        <v>0</v>
      </c>
      <c r="MY10" s="299">
        <f>'B2.入力_第2~4面'!I137</f>
        <v>0</v>
      </c>
      <c r="MZ10" s="299">
        <f ca="1">'B2.入力_第2~4面'!L137</f>
        <v>0</v>
      </c>
      <c r="NA10" s="299">
        <f ca="1">'B2.入力_第2~4面'!O137</f>
        <v>0</v>
      </c>
      <c r="NB10" s="299">
        <f ca="1">'B2.入力_第2~4面'!R137</f>
        <v>0</v>
      </c>
      <c r="NC10" s="219">
        <f>'B2.入力_第2~4面'!$F$145</f>
        <v>0</v>
      </c>
      <c r="ND10" s="219">
        <f>'B2.入力_第2~4面'!$I$145</f>
        <v>0</v>
      </c>
      <c r="NE10" s="219">
        <f>'B2.入力_第2~4面'!$L$145</f>
        <v>0</v>
      </c>
      <c r="NF10" s="219">
        <f>'B2.入力_第2~4面'!$O$145</f>
        <v>0</v>
      </c>
      <c r="NG10" s="219">
        <f>'B2.入力_第2~4面'!$R$145</f>
        <v>0</v>
      </c>
      <c r="NH10" s="219">
        <f>'B2.入力_第2~4面'!$F$146</f>
        <v>0</v>
      </c>
      <c r="NI10" s="219">
        <f>'B2.入力_第2~4面'!$I$146</f>
        <v>0</v>
      </c>
      <c r="NJ10" s="219">
        <f>'B2.入力_第2~4面'!$L$146</f>
        <v>0</v>
      </c>
      <c r="NK10" s="219">
        <f>'B2.入力_第2~4面'!$O$146</f>
        <v>0</v>
      </c>
      <c r="NL10" s="219">
        <f>'B2.入力_第2~4面'!$R$146</f>
        <v>0</v>
      </c>
      <c r="NM10" s="219">
        <f>'B2.入力_第2~4面'!$F$147</f>
        <v>0</v>
      </c>
      <c r="NN10" s="219">
        <f>'B2.入力_第2~4面'!$F$148</f>
        <v>0</v>
      </c>
      <c r="NO10" s="219">
        <f>'B2.入力_第2~4面'!$F$149</f>
        <v>0</v>
      </c>
      <c r="NP10" s="219" t="str">
        <f>IF('B2.入力_第2~4面'!$F$150=0,"",'B2.入力_第2~4面'!$F$150)</f>
        <v/>
      </c>
      <c r="NQ10" s="219">
        <f>'B2.入力_第2~4面'!$F$155</f>
        <v>0</v>
      </c>
      <c r="NR10" s="219">
        <f>'B2.入力_第2~4面'!$I$155</f>
        <v>0</v>
      </c>
      <c r="NS10" s="219">
        <f>'B2.入力_第2~4面'!$L$155</f>
        <v>0</v>
      </c>
      <c r="NT10" s="219">
        <f>'B2.入力_第2~4面'!$O$155</f>
        <v>0</v>
      </c>
      <c r="NU10" s="219">
        <f>'B2.入力_第2~4面'!$R$155</f>
        <v>0</v>
      </c>
      <c r="NV10" s="219">
        <f>'B2.入力_第2~4面'!$F$156</f>
        <v>0</v>
      </c>
      <c r="NW10" s="219">
        <f>'B2.入力_第2~4面'!$F$157</f>
        <v>0</v>
      </c>
      <c r="NX10" s="219">
        <f>'B2.入力_第2~4面'!$F$158</f>
        <v>0</v>
      </c>
      <c r="NY10" s="219" t="str">
        <f>IF('B2.入力_第2~4面'!$F$159=0,"",'B2.入力_第2~4面'!$F$159)</f>
        <v/>
      </c>
      <c r="NZ10" s="219">
        <f>'B2.入力_第2~4面'!$F$164</f>
        <v>0</v>
      </c>
      <c r="OA10" s="219">
        <f>'B2.入力_第2~4面'!$I$164</f>
        <v>0</v>
      </c>
      <c r="OB10" s="219">
        <f>'B2.入力_第2~4面'!$L$164</f>
        <v>0</v>
      </c>
      <c r="OC10" s="219">
        <f>'B2.入力_第2~4面'!$O$164</f>
        <v>0</v>
      </c>
      <c r="OD10" s="219">
        <f>'B2.入力_第2~4面'!$R$164</f>
        <v>0</v>
      </c>
      <c r="OE10" s="219">
        <f>'B2.入力_第2~4面'!$F$165</f>
        <v>0</v>
      </c>
      <c r="OF10" s="219">
        <f>'B2.入力_第2~4面'!$I$165</f>
        <v>0</v>
      </c>
      <c r="OG10" s="219">
        <f>'B2.入力_第2~4面'!$L$165</f>
        <v>0</v>
      </c>
      <c r="OH10" s="219">
        <f>'B2.入力_第2~4面'!$O$165</f>
        <v>0</v>
      </c>
      <c r="OI10" s="219">
        <f>'B2.入力_第2~4面'!$R$165</f>
        <v>0</v>
      </c>
      <c r="OJ10" s="219">
        <f>'B2.入力_第2~4面'!$F$166</f>
        <v>0</v>
      </c>
      <c r="OK10" s="219">
        <f>'B2.入力_第2~4面'!$I$166</f>
        <v>0</v>
      </c>
      <c r="OL10" s="219">
        <f>'B2.入力_第2~4面'!$L$166</f>
        <v>0</v>
      </c>
      <c r="OM10" s="219">
        <f>'B2.入力_第2~4面'!$O$166</f>
        <v>0</v>
      </c>
      <c r="ON10" s="219">
        <f>'B2.入力_第2~4面'!$R$166</f>
        <v>0</v>
      </c>
      <c r="OO10" s="219">
        <f>'B2.入力_第2~4面'!$F$167</f>
        <v>0</v>
      </c>
      <c r="OP10" s="219">
        <f>'B2.入力_第2~4面'!$I$167</f>
        <v>0</v>
      </c>
      <c r="OQ10" s="219">
        <f>'B2.入力_第2~4面'!$L$167</f>
        <v>0</v>
      </c>
      <c r="OR10" s="219">
        <f>'B2.入力_第2~4面'!$O$167</f>
        <v>0</v>
      </c>
      <c r="OS10" s="219">
        <f>'B2.入力_第2~4面'!$R$167</f>
        <v>0</v>
      </c>
      <c r="OT10" s="219">
        <f>'B2.入力_第2~4面'!$F$172</f>
        <v>0</v>
      </c>
      <c r="OU10" s="219">
        <f>'B2.入力_第2~4面'!$I$172</f>
        <v>0</v>
      </c>
      <c r="OV10" s="219">
        <f>'B2.入力_第2~4面'!$L$172</f>
        <v>0</v>
      </c>
      <c r="OW10" s="219">
        <f>'B2.入力_第2~4面'!$O$172</f>
        <v>0</v>
      </c>
      <c r="OX10" s="219">
        <f>'B2.入力_第2~4面'!$R$172</f>
        <v>0</v>
      </c>
      <c r="OY10" s="219">
        <f>'B2.入力_第2~4面'!$F$173</f>
        <v>0</v>
      </c>
      <c r="OZ10" s="219">
        <f>'B2.入力_第2~4面'!$I$173</f>
        <v>0</v>
      </c>
      <c r="PA10" s="219">
        <f>'B2.入力_第2~4面'!$L$173</f>
        <v>0</v>
      </c>
      <c r="PB10" s="219">
        <f>'B2.入力_第2~4面'!$O$173</f>
        <v>0</v>
      </c>
      <c r="PC10" s="219">
        <f>'B2.入力_第2~4面'!$R$173</f>
        <v>0</v>
      </c>
      <c r="PD10" s="219">
        <f>'B2.入力_第2~4面'!$F$174</f>
        <v>0</v>
      </c>
      <c r="PE10" s="219">
        <f>'B2.入力_第2~4面'!$I$174</f>
        <v>0</v>
      </c>
      <c r="PF10" s="219">
        <f>'B2.入力_第2~4面'!$L$174</f>
        <v>0</v>
      </c>
      <c r="PG10" s="219">
        <f>'B2.入力_第2~4面'!$O$174</f>
        <v>0</v>
      </c>
      <c r="PH10" s="219">
        <f>'B2.入力_第2~4面'!$R$174</f>
        <v>0</v>
      </c>
      <c r="PI10" s="219">
        <f>'B2.入力_第2~4面'!C175</f>
        <v>0</v>
      </c>
      <c r="PJ10" s="219">
        <f>'B2.入力_第2~4面'!$F$175</f>
        <v>0</v>
      </c>
      <c r="PK10" s="219">
        <f>'B2.入力_第2~4面'!$I$175</f>
        <v>0</v>
      </c>
      <c r="PL10" s="219">
        <f>'B2.入力_第2~4面'!$L$175</f>
        <v>0</v>
      </c>
      <c r="PM10" s="219">
        <f>'B2.入力_第2~4面'!$O$175</f>
        <v>0</v>
      </c>
      <c r="PN10" s="219">
        <f>'B2.入力_第2~4面'!$R$175</f>
        <v>0</v>
      </c>
      <c r="PO10" s="219">
        <f>'B2.入力_第2~4面'!$F$183</f>
        <v>0</v>
      </c>
      <c r="PP10" s="219">
        <f>'B2.入力_第2~4面'!$I$183</f>
        <v>0</v>
      </c>
      <c r="PQ10" s="219">
        <f>'B2.入力_第2~4面'!$L$183</f>
        <v>0</v>
      </c>
      <c r="PR10" s="219">
        <f>'B2.入力_第2~4面'!$O$183</f>
        <v>0</v>
      </c>
      <c r="PS10" s="219">
        <f>'B2.入力_第2~4面'!$R$183</f>
        <v>0</v>
      </c>
      <c r="PT10" s="219">
        <f>'B2.入力_第2~4面'!$F$184</f>
        <v>0</v>
      </c>
      <c r="PU10" s="219">
        <f>'B2.入力_第2~4面'!$I$184</f>
        <v>0</v>
      </c>
      <c r="PV10" s="219">
        <f>'B2.入力_第2~4面'!$L$184</f>
        <v>0</v>
      </c>
      <c r="PW10" s="219">
        <f>'B2.入力_第2~4面'!$O$184</f>
        <v>0</v>
      </c>
      <c r="PX10" s="219">
        <f>'B2.入力_第2~4面'!$R$184</f>
        <v>0</v>
      </c>
      <c r="PY10" s="219" t="str">
        <f ca="1">参考1_評価結果!K10</f>
        <v>ー</v>
      </c>
      <c r="PZ10" s="219" t="str">
        <f ca="1">参考1_評価結果!K11</f>
        <v>ー</v>
      </c>
      <c r="QA10" s="219" t="str">
        <f>参考1_評価結果!K12</f>
        <v>ー</v>
      </c>
      <c r="QB10" s="219" t="str">
        <f>参考1_評価結果!K13</f>
        <v>ー</v>
      </c>
      <c r="QC10" s="219" t="str">
        <f ca="1">参考1_評価結果!K14</f>
        <v>ー</v>
      </c>
      <c r="QD10" s="219" t="str">
        <f ca="1">参考1_評価結果!K15</f>
        <v>ー</v>
      </c>
      <c r="QE10" s="219" t="str">
        <f ca="1">参考1_評価結果!K16</f>
        <v>ー</v>
      </c>
      <c r="QF10" s="219" t="str">
        <f ca="1">参考1_評価結果!K17</f>
        <v>ー</v>
      </c>
      <c r="QG10" s="219" t="str">
        <f ca="1">参考1_評価結果!K18</f>
        <v>ー</v>
      </c>
      <c r="QH10" s="219" t="str">
        <f>参考1_評価結果!K19</f>
        <v>ー</v>
      </c>
      <c r="QI10" s="219" t="str">
        <f>参考1_評価結果!K20</f>
        <v>ー</v>
      </c>
      <c r="QJ10" s="219" t="str">
        <f>参考1_評価結果!K21</f>
        <v>ー</v>
      </c>
      <c r="QK10" s="219" t="str">
        <f>参考1_評価結果!K22</f>
        <v>ー</v>
      </c>
      <c r="QL10" s="219" t="str">
        <f>参考1_評価結果!K23</f>
        <v>ー</v>
      </c>
      <c r="QM10" s="219" t="str">
        <f>参考1_評価結果!K24</f>
        <v>ー</v>
      </c>
      <c r="QN10" s="219" t="str">
        <f ca="1">参考1_評価結果!L10</f>
        <v>ー</v>
      </c>
      <c r="QO10" s="219" t="str">
        <f ca="1">参考1_評価結果!L11</f>
        <v>ー</v>
      </c>
      <c r="QP10" s="219" t="str">
        <f>参考1_評価結果!L12</f>
        <v>ー</v>
      </c>
      <c r="QQ10" s="219" t="str">
        <f>参考1_評価結果!L13</f>
        <v>ー</v>
      </c>
      <c r="QR10" s="219" t="str">
        <f ca="1">参考1_評価結果!L14</f>
        <v>ー</v>
      </c>
      <c r="QS10" s="219" t="str">
        <f ca="1">参考1_評価結果!L15</f>
        <v>ー</v>
      </c>
      <c r="QT10" s="219" t="str">
        <f ca="1">参考1_評価結果!L16</f>
        <v>ー</v>
      </c>
      <c r="QU10" s="219" t="str">
        <f ca="1">参考1_評価結果!L17</f>
        <v>ー</v>
      </c>
      <c r="QV10" s="219" t="str">
        <f ca="1">参考1_評価結果!L18</f>
        <v>ー</v>
      </c>
      <c r="QW10" s="219" t="str">
        <f>参考1_評価結果!L19</f>
        <v>ー</v>
      </c>
      <c r="QX10" s="219" t="str">
        <f>参考1_評価結果!L20</f>
        <v>ー</v>
      </c>
      <c r="QY10" s="219" t="str">
        <f>参考1_評価結果!L21</f>
        <v>ー</v>
      </c>
      <c r="QZ10" s="219" t="str">
        <f>参考1_評価結果!L22</f>
        <v>ー</v>
      </c>
      <c r="RA10" s="219" t="str">
        <f>参考1_評価結果!L23</f>
        <v>ー</v>
      </c>
      <c r="RB10" s="219" t="str">
        <f>参考1_評価結果!L24</f>
        <v>ー</v>
      </c>
      <c r="RC10" s="219" t="str">
        <f ca="1">参考1_評価結果!N10</f>
        <v/>
      </c>
      <c r="RD10" s="219">
        <f ca="1">参考1_評価結果!N16</f>
        <v>0</v>
      </c>
      <c r="RE10" s="219" t="str">
        <f ca="1">参考1_評価結果!O10</f>
        <v/>
      </c>
      <c r="RF10" s="219" t="str">
        <f ca="1">参考1_評価結果!K31</f>
        <v/>
      </c>
      <c r="RG10" s="219" t="str">
        <f ca="1">参考1_評価結果!K32</f>
        <v/>
      </c>
      <c r="RH10" s="219" t="str">
        <f>参考1_評価結果!K33</f>
        <v>ー</v>
      </c>
      <c r="RI10" s="219" t="str">
        <f>参考1_評価結果!K34</f>
        <v>ー</v>
      </c>
      <c r="RJ10" s="219" t="str">
        <f ca="1">参考1_評価結果!K35</f>
        <v/>
      </c>
      <c r="RK10" s="219" t="str">
        <f ca="1">参考1_評価結果!K36</f>
        <v/>
      </c>
      <c r="RL10" s="219" t="str">
        <f ca="1">参考1_評価結果!K37</f>
        <v/>
      </c>
      <c r="RM10" s="219" t="str">
        <f ca="1">参考1_評価結果!K38</f>
        <v/>
      </c>
      <c r="RN10" s="219" t="str">
        <f ca="1">参考1_評価結果!K39</f>
        <v/>
      </c>
      <c r="RO10" s="219" t="str">
        <f ca="1">参考1_評価結果!K40</f>
        <v/>
      </c>
      <c r="RP10" s="219" t="str">
        <f>参考1_評価結果!K42</f>
        <v>ー</v>
      </c>
      <c r="RQ10" s="219" t="str">
        <f>参考1_評価結果!K43</f>
        <v>ー</v>
      </c>
      <c r="RR10" s="219" t="str">
        <f>参考1_評価結果!K44</f>
        <v>ー</v>
      </c>
      <c r="RS10" s="219" t="str">
        <f>参考1_評価結果!K45</f>
        <v>ー</v>
      </c>
      <c r="RT10" s="219" t="str">
        <f>参考1_評価結果!K46</f>
        <v>ー</v>
      </c>
      <c r="RU10" s="219">
        <f>参考1_評価結果!K47</f>
        <v>0</v>
      </c>
      <c r="RV10" s="219" t="str">
        <f ca="1">参考1_評価結果!N31</f>
        <v/>
      </c>
      <c r="RW10" s="219">
        <f ca="1">参考1_評価結果!N37</f>
        <v>0</v>
      </c>
      <c r="RX10" s="219" t="str">
        <f ca="1">参考1_評価結果!O31</f>
        <v/>
      </c>
      <c r="RY10" s="219" t="str">
        <f ca="1">参考1_評価結果!$Q10</f>
        <v>ー</v>
      </c>
      <c r="RZ10" s="219" t="str">
        <f ca="1">参考1_評価結果!$Q11</f>
        <v>ー</v>
      </c>
      <c r="SA10" s="219" t="str">
        <f>参考1_評価結果!$Q12</f>
        <v>ー</v>
      </c>
      <c r="SB10" s="219" t="str">
        <f>参考1_評価結果!$Q13</f>
        <v>ー</v>
      </c>
      <c r="SC10" s="219" t="str">
        <f ca="1">参考1_評価結果!$Q14</f>
        <v>ー</v>
      </c>
      <c r="SD10" s="219" t="str">
        <f ca="1">参考1_評価結果!$Q15</f>
        <v>ー</v>
      </c>
      <c r="SE10" s="219" t="str">
        <f ca="1">参考1_評価結果!$Q16</f>
        <v>ー</v>
      </c>
      <c r="SF10" s="219" t="str">
        <f ca="1">参考1_評価結果!$Q17</f>
        <v>ー</v>
      </c>
      <c r="SG10" s="219" t="str">
        <f ca="1">参考1_評価結果!$Q18</f>
        <v>ー</v>
      </c>
      <c r="SH10" s="219" t="str">
        <f>参考1_評価結果!$Q19</f>
        <v>ー</v>
      </c>
      <c r="SI10" s="219" t="str">
        <f>参考1_評価結果!$Q20</f>
        <v>ー</v>
      </c>
      <c r="SJ10" s="219" t="str">
        <f>参考1_評価結果!$Q21</f>
        <v>ー</v>
      </c>
      <c r="SK10" s="219" t="str">
        <f>参考1_評価結果!$Q22</f>
        <v>ー</v>
      </c>
      <c r="SL10" s="219" t="str">
        <f>参考1_評価結果!$Q23</f>
        <v>ー</v>
      </c>
      <c r="SM10" s="219" t="str">
        <f>参考1_評価結果!$Q24</f>
        <v>ー</v>
      </c>
      <c r="SN10" s="219" t="str">
        <f ca="1">参考1_評価結果!$R10</f>
        <v>ー</v>
      </c>
      <c r="SO10" s="219" t="str">
        <f ca="1">参考1_評価結果!$R11</f>
        <v>ー</v>
      </c>
      <c r="SP10" s="219" t="str">
        <f>参考1_評価結果!$R12</f>
        <v>ー</v>
      </c>
      <c r="SQ10" s="219" t="str">
        <f>参考1_評価結果!$R13</f>
        <v>ー</v>
      </c>
      <c r="SR10" s="219" t="str">
        <f ca="1">参考1_評価結果!$R14</f>
        <v>ー</v>
      </c>
      <c r="SS10" s="219" t="str">
        <f ca="1">参考1_評価結果!$R15</f>
        <v>ー</v>
      </c>
      <c r="ST10" s="219" t="str">
        <f ca="1">参考1_評価結果!$R16</f>
        <v>ー</v>
      </c>
      <c r="SU10" s="219" t="str">
        <f ca="1">参考1_評価結果!$R17</f>
        <v>ー</v>
      </c>
      <c r="SV10" s="219" t="str">
        <f ca="1">参考1_評価結果!$R18</f>
        <v>ー</v>
      </c>
      <c r="SW10" s="219" t="str">
        <f>参考1_評価結果!$R19</f>
        <v>ー</v>
      </c>
      <c r="SX10" s="219" t="str">
        <f>参考1_評価結果!$R20</f>
        <v>ー</v>
      </c>
      <c r="SY10" s="219" t="str">
        <f>参考1_評価結果!$R21</f>
        <v>ー</v>
      </c>
      <c r="SZ10" s="219" t="str">
        <f>参考1_評価結果!$R22</f>
        <v>ー</v>
      </c>
      <c r="TA10" s="219" t="str">
        <f>参考1_評価結果!$R23</f>
        <v>ー</v>
      </c>
      <c r="TB10" s="219" t="str">
        <f>参考1_評価結果!$R24</f>
        <v>ー</v>
      </c>
      <c r="TC10" s="219" t="str">
        <f ca="1">参考1_評価結果!T10</f>
        <v/>
      </c>
      <c r="TD10" s="219">
        <f ca="1">参考1_評価結果!T16</f>
        <v>0</v>
      </c>
      <c r="TE10" s="219" t="str">
        <f ca="1">参考1_評価結果!U10</f>
        <v/>
      </c>
      <c r="TF10" s="219" t="str">
        <f ca="1">参考1_評価結果!$Q31</f>
        <v/>
      </c>
      <c r="TG10" s="219" t="str">
        <f ca="1">参考1_評価結果!$Q32</f>
        <v/>
      </c>
      <c r="TH10" s="219" t="str">
        <f>参考1_評価結果!$Q33</f>
        <v>ー</v>
      </c>
      <c r="TI10" s="219" t="str">
        <f>参考1_評価結果!$Q34</f>
        <v>ー</v>
      </c>
      <c r="TJ10" s="219" t="str">
        <f ca="1">参考1_評価結果!$Q35</f>
        <v/>
      </c>
      <c r="TK10" s="219" t="str">
        <f ca="1">参考1_評価結果!$Q36</f>
        <v/>
      </c>
      <c r="TL10" s="219" t="str">
        <f ca="1">参考1_評価結果!$Q37</f>
        <v/>
      </c>
      <c r="TM10" s="219" t="str">
        <f ca="1">参考1_評価結果!$Q38</f>
        <v/>
      </c>
      <c r="TN10" s="219" t="str">
        <f ca="1">参考1_評価結果!$Q39</f>
        <v/>
      </c>
      <c r="TO10" s="219" t="str">
        <f ca="1">参考1_評価結果!$Q40</f>
        <v/>
      </c>
      <c r="TP10" s="219" t="str">
        <f>参考1_評価結果!$Q41</f>
        <v>ー</v>
      </c>
      <c r="TQ10" s="219" t="str">
        <f>参考1_評価結果!$Q42</f>
        <v>ー</v>
      </c>
      <c r="TR10" s="219" t="str">
        <f>参考1_評価結果!$Q43</f>
        <v>ー</v>
      </c>
      <c r="TS10" s="219" t="str">
        <f>参考1_評価結果!$Q44</f>
        <v>ー</v>
      </c>
      <c r="TT10" s="219" t="str">
        <f>参考1_評価結果!$Q45</f>
        <v>ー</v>
      </c>
      <c r="TU10" s="219" t="str">
        <f>参考1_評価結果!$Q46</f>
        <v>ー</v>
      </c>
      <c r="TV10" s="219" t="str">
        <f ca="1">参考1_評価結果!T31</f>
        <v/>
      </c>
      <c r="TW10" s="219">
        <f ca="1">参考1_評価結果!T37</f>
        <v>0</v>
      </c>
      <c r="TX10" s="219" t="str">
        <f ca="1">参考1_評価結果!U31</f>
        <v/>
      </c>
      <c r="TY10" s="219" t="str">
        <f ca="1">参考1_評価結果!$W10</f>
        <v>ー</v>
      </c>
      <c r="TZ10" s="219" t="str">
        <f ca="1">参考1_評価結果!$W11</f>
        <v>ー</v>
      </c>
      <c r="UA10" s="219" t="str">
        <f>参考1_評価結果!$W12</f>
        <v>ー</v>
      </c>
      <c r="UB10" s="219" t="str">
        <f>参考1_評価結果!$W13</f>
        <v>ー</v>
      </c>
      <c r="UC10" s="219" t="str">
        <f ca="1">参考1_評価結果!$W14</f>
        <v>ー</v>
      </c>
      <c r="UD10" s="219" t="str">
        <f ca="1">参考1_評価結果!$W15</f>
        <v>ー</v>
      </c>
      <c r="UE10" s="219" t="str">
        <f ca="1">参考1_評価結果!$W16</f>
        <v>ー</v>
      </c>
      <c r="UF10" s="219" t="str">
        <f ca="1">参考1_評価結果!$W17</f>
        <v>ー</v>
      </c>
      <c r="UG10" s="219" t="str">
        <f ca="1">参考1_評価結果!$W18</f>
        <v>ー</v>
      </c>
      <c r="UH10" s="219" t="str">
        <f>参考1_評価結果!$W19</f>
        <v>ー</v>
      </c>
      <c r="UI10" s="219" t="str">
        <f>参考1_評価結果!$W20</f>
        <v>ー</v>
      </c>
      <c r="UJ10" s="219" t="str">
        <f>参考1_評価結果!$W21</f>
        <v>ー</v>
      </c>
      <c r="UK10" s="219" t="str">
        <f>参考1_評価結果!$W22</f>
        <v>ー</v>
      </c>
      <c r="UL10" s="219" t="str">
        <f>参考1_評価結果!$W23</f>
        <v>ー</v>
      </c>
      <c r="UM10" s="219" t="str">
        <f>参考1_評価結果!$W24</f>
        <v>ー</v>
      </c>
      <c r="UN10" s="222" t="str">
        <f ca="1">参考1_評価結果!$X10</f>
        <v>ー</v>
      </c>
      <c r="UO10" s="222" t="str">
        <f ca="1">参考1_評価結果!$X11</f>
        <v>ー</v>
      </c>
      <c r="UP10" s="222" t="str">
        <f>参考1_評価結果!$X12</f>
        <v>ー</v>
      </c>
      <c r="UQ10" s="222" t="str">
        <f>参考1_評価結果!$X13</f>
        <v>ー</v>
      </c>
      <c r="UR10" s="222" t="str">
        <f ca="1">参考1_評価結果!$X14</f>
        <v>ー</v>
      </c>
      <c r="US10" s="222" t="str">
        <f ca="1">参考1_評価結果!$X15</f>
        <v>ー</v>
      </c>
      <c r="UT10" s="222" t="str">
        <f ca="1">参考1_評価結果!$X16</f>
        <v>ー</v>
      </c>
      <c r="UU10" s="222" t="str">
        <f ca="1">参考1_評価結果!$X17</f>
        <v>ー</v>
      </c>
      <c r="UV10" s="222" t="str">
        <f ca="1">参考1_評価結果!$X18</f>
        <v>ー</v>
      </c>
      <c r="UW10" s="222" t="str">
        <f>参考1_評価結果!$X19</f>
        <v>ー</v>
      </c>
      <c r="UX10" s="222" t="str">
        <f>参考1_評価結果!$X20</f>
        <v>ー</v>
      </c>
      <c r="UY10" s="222" t="str">
        <f>参考1_評価結果!$X21</f>
        <v>ー</v>
      </c>
      <c r="UZ10" s="222" t="str">
        <f>参考1_評価結果!$X22</f>
        <v>ー</v>
      </c>
      <c r="VA10" s="222" t="str">
        <f>参考1_評価結果!$X23</f>
        <v>ー</v>
      </c>
      <c r="VB10" s="222" t="str">
        <f>参考1_評価結果!$X24</f>
        <v>ー</v>
      </c>
      <c r="VC10" s="222" t="str">
        <f>参考1_評価結果!Z10</f>
        <v/>
      </c>
      <c r="VD10" s="222">
        <f ca="1">参考1_評価結果!Z16</f>
        <v>0</v>
      </c>
      <c r="VE10" s="222" t="str">
        <f>参考1_評価結果!AA10</f>
        <v/>
      </c>
      <c r="VF10" s="222" t="str">
        <f ca="1">参考1_評価結果!$W31</f>
        <v/>
      </c>
      <c r="VG10" s="222" t="str">
        <f ca="1">参考1_評価結果!$W32</f>
        <v/>
      </c>
      <c r="VH10" s="222" t="str">
        <f>参考1_評価結果!$W33</f>
        <v>ー</v>
      </c>
      <c r="VI10" s="222" t="str">
        <f>参考1_評価結果!$W34</f>
        <v>ー</v>
      </c>
      <c r="VJ10" s="222" t="str">
        <f ca="1">参考1_評価結果!$W35</f>
        <v/>
      </c>
      <c r="VK10" s="222" t="str">
        <f ca="1">参考1_評価結果!$W36</f>
        <v/>
      </c>
      <c r="VL10" s="222" t="str">
        <f ca="1">参考1_評価結果!$W37</f>
        <v/>
      </c>
      <c r="VM10" s="222" t="str">
        <f ca="1">参考1_評価結果!$W38</f>
        <v/>
      </c>
      <c r="VN10" s="222" t="str">
        <f ca="1">参考1_評価結果!$W39</f>
        <v/>
      </c>
      <c r="VO10" s="222" t="str">
        <f ca="1">参考1_評価結果!$W40</f>
        <v/>
      </c>
      <c r="VP10" s="222" t="str">
        <f>参考1_評価結果!$W41</f>
        <v>ー</v>
      </c>
      <c r="VQ10" s="222" t="str">
        <f>参考1_評価結果!$W42</f>
        <v>ー</v>
      </c>
      <c r="VR10" s="222" t="str">
        <f>参考1_評価結果!$W43</f>
        <v>ー</v>
      </c>
      <c r="VS10" s="222" t="str">
        <f>参考1_評価結果!$W44</f>
        <v>ー</v>
      </c>
      <c r="VT10" s="222" t="str">
        <f>参考1_評価結果!$W45</f>
        <v>ー</v>
      </c>
      <c r="VU10" s="222" t="str">
        <f>参考1_評価結果!$W46</f>
        <v>ー</v>
      </c>
      <c r="VV10" s="222" t="str">
        <f>参考1_評価結果!Z31</f>
        <v/>
      </c>
      <c r="VW10" s="222">
        <f ca="1">参考1_評価結果!Z37</f>
        <v>0</v>
      </c>
      <c r="VX10" s="222" t="str">
        <f>参考1_評価結果!AA31</f>
        <v/>
      </c>
    </row>
    <row r="11" spans="2:596" ht="18" customHeight="1">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c r="FU11" s="216"/>
      <c r="FV11" s="216"/>
      <c r="FW11" s="216"/>
      <c r="FX11" s="216"/>
      <c r="FY11" s="216"/>
      <c r="FZ11" s="216"/>
      <c r="GA11" s="216"/>
      <c r="GB11" s="216"/>
      <c r="GC11" s="216"/>
      <c r="GD11" s="216"/>
      <c r="GE11" s="216"/>
      <c r="GF11" s="216"/>
      <c r="GG11" s="216"/>
      <c r="GH11" s="216"/>
      <c r="GI11" s="216"/>
      <c r="GJ11" s="216"/>
      <c r="GK11" s="216"/>
      <c r="GL11" s="216"/>
      <c r="GM11" s="216"/>
      <c r="GN11" s="216"/>
      <c r="GO11" s="216"/>
      <c r="GP11" s="216"/>
      <c r="GQ11" s="216"/>
      <c r="GR11" s="216"/>
      <c r="GS11" s="216"/>
      <c r="GT11" s="216"/>
      <c r="GU11" s="216"/>
      <c r="GV11" s="216"/>
      <c r="GW11" s="216"/>
      <c r="GX11" s="216"/>
      <c r="GY11" s="216"/>
      <c r="GZ11" s="216"/>
      <c r="HA11" s="216"/>
      <c r="HB11" s="216"/>
      <c r="HC11" s="216"/>
      <c r="HD11" s="216"/>
      <c r="HE11" s="216"/>
      <c r="HF11" s="216"/>
      <c r="HG11" s="216"/>
      <c r="HH11" s="216"/>
      <c r="HI11" s="216"/>
      <c r="HJ11" s="216"/>
      <c r="HK11" s="216"/>
      <c r="HL11" s="216"/>
      <c r="HM11" s="216"/>
      <c r="HN11" s="216"/>
      <c r="HO11" s="216"/>
      <c r="HP11" s="216"/>
      <c r="HQ11" s="216"/>
      <c r="HR11" s="216"/>
      <c r="HS11" s="216"/>
      <c r="HT11" s="216"/>
      <c r="HU11" s="216"/>
      <c r="HV11" s="216"/>
      <c r="HW11" s="216"/>
      <c r="HX11" s="216"/>
      <c r="HY11" s="216"/>
      <c r="HZ11" s="216"/>
      <c r="IA11" s="216"/>
      <c r="IB11" s="216"/>
      <c r="IC11" s="216"/>
      <c r="ID11" s="216"/>
      <c r="IE11" s="216"/>
      <c r="IF11" s="216"/>
      <c r="IG11" s="216"/>
      <c r="IH11" s="216"/>
      <c r="II11" s="216"/>
      <c r="IJ11" s="216"/>
      <c r="IK11" s="216"/>
      <c r="IL11" s="216"/>
      <c r="IM11" s="216"/>
      <c r="IN11" s="216"/>
      <c r="IO11" s="216"/>
      <c r="IP11" s="216"/>
      <c r="IQ11" s="216"/>
      <c r="IR11" s="216"/>
      <c r="IS11" s="216"/>
      <c r="IT11" s="216"/>
      <c r="IU11" s="216"/>
      <c r="IV11" s="216"/>
      <c r="IW11" s="216"/>
      <c r="IX11" s="216"/>
      <c r="IY11" s="216"/>
      <c r="IZ11" s="216"/>
      <c r="JA11" s="216"/>
      <c r="JB11" s="216"/>
      <c r="JC11" s="216"/>
      <c r="JD11" s="216"/>
      <c r="JE11" s="216"/>
      <c r="JF11" s="216"/>
      <c r="JG11" s="216"/>
      <c r="JH11" s="216"/>
      <c r="JI11" s="216"/>
      <c r="JJ11" s="216"/>
      <c r="JK11" s="216"/>
      <c r="JL11" s="216"/>
      <c r="JM11" s="216"/>
      <c r="JN11" s="216"/>
      <c r="JO11" s="216"/>
      <c r="JP11" s="216"/>
      <c r="JQ11" s="216"/>
      <c r="JR11" s="216"/>
      <c r="JS11" s="216"/>
      <c r="JT11" s="216"/>
      <c r="JU11" s="216"/>
      <c r="JV11" s="216"/>
      <c r="JW11" s="216"/>
      <c r="JX11" s="216"/>
      <c r="JY11" s="216"/>
      <c r="JZ11" s="216"/>
      <c r="KA11" s="216"/>
      <c r="KB11" s="216"/>
      <c r="KC11" s="216"/>
      <c r="KD11" s="216"/>
      <c r="KE11" s="216"/>
      <c r="KF11" s="216"/>
      <c r="KG11" s="216"/>
      <c r="KH11" s="216"/>
      <c r="KI11" s="216"/>
      <c r="KJ11" s="216"/>
      <c r="KK11" s="216"/>
      <c r="KL11" s="216"/>
      <c r="KM11" s="216"/>
      <c r="KN11" s="216"/>
      <c r="KO11" s="216"/>
      <c r="KP11" s="216"/>
      <c r="KQ11" s="216"/>
      <c r="KR11" s="216"/>
      <c r="KS11" s="216"/>
      <c r="KT11" s="216"/>
      <c r="KU11" s="216"/>
      <c r="KV11" s="216"/>
      <c r="KW11" s="216"/>
      <c r="KX11" s="216"/>
      <c r="KY11" s="216"/>
      <c r="KZ11" s="216"/>
      <c r="LA11" s="216"/>
      <c r="LB11" s="216"/>
      <c r="LC11" s="216"/>
      <c r="LD11" s="216"/>
      <c r="LE11" s="216"/>
      <c r="LF11" s="216"/>
      <c r="LG11" s="216"/>
      <c r="LH11" s="216"/>
      <c r="LI11" s="216"/>
      <c r="LJ11" s="216"/>
      <c r="LK11" s="216"/>
      <c r="LL11" s="216"/>
      <c r="LM11" s="216"/>
      <c r="LN11" s="216"/>
      <c r="LO11" s="216"/>
      <c r="LP11" s="216"/>
      <c r="LQ11" s="216"/>
      <c r="LR11" s="216"/>
      <c r="LS11" s="216"/>
      <c r="LT11" s="216"/>
      <c r="LU11" s="216"/>
      <c r="LV11" s="216"/>
      <c r="LW11" s="216"/>
      <c r="LX11" s="216"/>
      <c r="LY11" s="216"/>
      <c r="LZ11" s="216"/>
      <c r="MA11" s="216"/>
      <c r="MB11" s="216"/>
      <c r="MC11" s="216"/>
      <c r="MD11" s="216"/>
      <c r="ME11" s="216"/>
      <c r="MF11" s="216"/>
      <c r="MG11" s="216"/>
      <c r="MH11" s="216"/>
      <c r="MI11" s="216"/>
      <c r="MJ11" s="216"/>
      <c r="MK11" s="216"/>
      <c r="ML11" s="216"/>
      <c r="MM11" s="216"/>
      <c r="MN11" s="216"/>
      <c r="MO11" s="216"/>
      <c r="MP11" s="216"/>
      <c r="MQ11" s="216"/>
      <c r="MR11" s="216"/>
      <c r="MS11" s="216"/>
      <c r="MT11" s="216"/>
      <c r="MU11" s="216"/>
      <c r="MV11" s="216"/>
      <c r="MW11" s="216"/>
      <c r="MX11" s="216"/>
      <c r="MY11" s="216"/>
      <c r="MZ11" s="216"/>
      <c r="NA11" s="216"/>
      <c r="NB11" s="216"/>
      <c r="NC11" s="216"/>
      <c r="ND11" s="216"/>
      <c r="NE11" s="216"/>
      <c r="NF11" s="216"/>
      <c r="NG11" s="216"/>
      <c r="NH11" s="216"/>
      <c r="NI11" s="216"/>
      <c r="NJ11" s="216"/>
      <c r="NK11" s="216"/>
      <c r="NL11" s="216"/>
      <c r="NM11" s="216"/>
      <c r="NN11" s="216"/>
      <c r="NO11" s="216"/>
      <c r="NP11" s="216"/>
      <c r="NQ11" s="216"/>
      <c r="NR11" s="216"/>
      <c r="NS11" s="216"/>
      <c r="NT11" s="216"/>
      <c r="NU11" s="216"/>
      <c r="NV11" s="216"/>
      <c r="NW11" s="216"/>
      <c r="NX11" s="216"/>
      <c r="NY11" s="216"/>
      <c r="NZ11" s="216"/>
      <c r="OA11" s="216"/>
      <c r="OB11" s="216"/>
      <c r="OC11" s="216"/>
      <c r="OD11" s="216"/>
      <c r="OE11" s="216"/>
      <c r="OF11" s="216"/>
      <c r="OG11" s="216"/>
      <c r="OH11" s="216"/>
      <c r="OI11" s="216"/>
      <c r="OJ11" s="216"/>
      <c r="OK11" s="216"/>
      <c r="OL11" s="216"/>
      <c r="OM11" s="216"/>
      <c r="ON11" s="216"/>
      <c r="OO11" s="216"/>
      <c r="OP11" s="216"/>
      <c r="OQ11" s="216"/>
      <c r="OR11" s="216"/>
      <c r="OS11" s="216"/>
      <c r="OT11" s="216"/>
      <c r="OU11" s="216"/>
      <c r="OV11" s="216"/>
      <c r="OW11" s="216"/>
      <c r="OX11" s="216"/>
      <c r="OY11" s="216"/>
      <c r="OZ11" s="216"/>
      <c r="PA11" s="216"/>
      <c r="PB11" s="216"/>
      <c r="PC11" s="216"/>
      <c r="PD11" s="216"/>
      <c r="PE11" s="216"/>
      <c r="PF11" s="216"/>
      <c r="PG11" s="216"/>
      <c r="PH11" s="216"/>
      <c r="PI11" s="216"/>
      <c r="PJ11" s="216"/>
      <c r="PK11" s="216"/>
      <c r="PL11" s="216"/>
      <c r="PM11" s="216"/>
      <c r="PN11" s="216"/>
      <c r="PO11" s="216"/>
      <c r="PP11" s="216"/>
      <c r="PQ11" s="216"/>
      <c r="PR11" s="216"/>
      <c r="PS11" s="216"/>
      <c r="PT11" s="216"/>
      <c r="PU11" s="216"/>
      <c r="PV11" s="216"/>
      <c r="PW11" s="216"/>
      <c r="PX11" s="216"/>
      <c r="PY11" s="216"/>
      <c r="PZ11" s="216"/>
      <c r="QA11" s="216"/>
      <c r="QB11" s="216"/>
      <c r="QC11" s="216"/>
      <c r="QD11" s="216"/>
      <c r="QE11" s="216"/>
      <c r="QF11" s="216"/>
      <c r="QG11" s="216"/>
      <c r="QH11" s="216"/>
      <c r="QI11" s="216"/>
      <c r="QJ11" s="216"/>
      <c r="QK11" s="216"/>
      <c r="QL11" s="216"/>
      <c r="QM11" s="216"/>
      <c r="QN11" s="216"/>
      <c r="QO11" s="216"/>
      <c r="QP11" s="216"/>
      <c r="QQ11" s="216"/>
      <c r="QR11" s="216"/>
      <c r="QS11" s="216"/>
      <c r="QT11" s="216"/>
      <c r="QU11" s="216"/>
      <c r="QV11" s="216"/>
      <c r="QW11" s="216"/>
      <c r="QX11" s="216"/>
      <c r="QY11" s="216"/>
      <c r="QZ11" s="216"/>
      <c r="RA11" s="216"/>
      <c r="RB11" s="216"/>
      <c r="RC11" s="216"/>
      <c r="RD11" s="216"/>
      <c r="RE11" s="216"/>
      <c r="RF11" s="216"/>
      <c r="RG11" s="216"/>
      <c r="RH11" s="216"/>
      <c r="RI11" s="216"/>
      <c r="RJ11" s="216"/>
      <c r="RK11" s="216"/>
      <c r="RL11" s="216"/>
      <c r="RM11" s="216"/>
      <c r="RN11" s="216"/>
      <c r="RO11" s="216"/>
      <c r="RP11" s="216"/>
      <c r="RQ11" s="216"/>
      <c r="RR11" s="216"/>
      <c r="RS11" s="216"/>
      <c r="RT11" s="216"/>
      <c r="RU11" s="216"/>
      <c r="RV11" s="216"/>
      <c r="RW11" s="216"/>
      <c r="RX11" s="216"/>
      <c r="RY11" s="216"/>
      <c r="RZ11" s="216"/>
      <c r="SA11" s="216"/>
      <c r="SB11" s="216"/>
      <c r="SC11" s="216"/>
      <c r="SD11" s="216"/>
      <c r="SE11" s="216"/>
      <c r="SF11" s="216"/>
      <c r="SG11" s="216"/>
      <c r="SH11" s="216"/>
      <c r="SI11" s="216"/>
      <c r="SJ11" s="216"/>
      <c r="SK11" s="216"/>
      <c r="SL11" s="216"/>
      <c r="SM11" s="216"/>
      <c r="SN11" s="216"/>
      <c r="SO11" s="216"/>
      <c r="SP11" s="216"/>
      <c r="SQ11" s="216"/>
      <c r="SR11" s="216"/>
      <c r="SS11" s="216"/>
      <c r="ST11" s="216"/>
      <c r="SU11" s="216"/>
      <c r="SV11" s="216"/>
      <c r="SW11" s="216"/>
      <c r="SX11" s="216"/>
      <c r="SY11" s="216"/>
      <c r="SZ11" s="216"/>
      <c r="TA11" s="216"/>
      <c r="TB11" s="216"/>
      <c r="TC11" s="216"/>
      <c r="TD11" s="216"/>
      <c r="TE11" s="216"/>
      <c r="TF11" s="216"/>
      <c r="TG11" s="216"/>
      <c r="TH11" s="216"/>
      <c r="TI11" s="216"/>
      <c r="TJ11" s="216"/>
      <c r="TK11" s="216"/>
      <c r="TL11" s="216"/>
      <c r="TM11" s="216"/>
      <c r="TN11" s="216"/>
      <c r="TO11" s="216"/>
      <c r="TP11" s="216"/>
      <c r="TQ11" s="216"/>
      <c r="TR11" s="216"/>
      <c r="TS11" s="216"/>
      <c r="TT11" s="216"/>
      <c r="TU11" s="216"/>
      <c r="TV11" s="216"/>
      <c r="TW11" s="216"/>
      <c r="TX11" s="216"/>
      <c r="TY11" s="216"/>
      <c r="TZ11" s="216"/>
      <c r="UA11" s="216"/>
      <c r="UB11" s="216"/>
      <c r="UC11" s="216"/>
      <c r="UD11" s="216"/>
      <c r="UE11" s="216"/>
      <c r="UF11" s="216"/>
      <c r="UG11" s="216"/>
      <c r="UH11" s="216"/>
      <c r="UI11" s="216"/>
      <c r="UJ11" s="216"/>
      <c r="UK11" s="216"/>
      <c r="UL11" s="216"/>
      <c r="UM11" s="216"/>
      <c r="UN11" s="216"/>
      <c r="UO11" s="216"/>
      <c r="UP11" s="216"/>
      <c r="UQ11" s="216"/>
      <c r="UR11" s="216"/>
      <c r="US11" s="216"/>
      <c r="UT11" s="216"/>
      <c r="UU11" s="216"/>
      <c r="UV11" s="216"/>
      <c r="UW11" s="216"/>
      <c r="UX11" s="216"/>
      <c r="UY11" s="216"/>
      <c r="UZ11" s="216"/>
      <c r="VA11" s="216"/>
      <c r="VB11" s="216"/>
      <c r="VC11" s="216"/>
      <c r="VD11" s="216"/>
      <c r="VE11" s="216"/>
      <c r="VF11" s="216"/>
      <c r="VG11" s="216"/>
      <c r="VH11" s="216"/>
      <c r="VI11" s="216"/>
      <c r="VJ11" s="216"/>
      <c r="VK11" s="216"/>
      <c r="VL11" s="216"/>
      <c r="VM11" s="216"/>
      <c r="VN11" s="216"/>
      <c r="VO11" s="216"/>
      <c r="VP11" s="216"/>
      <c r="VQ11" s="216"/>
      <c r="VR11" s="216"/>
      <c r="VS11" s="216"/>
      <c r="VT11" s="216"/>
      <c r="VU11" s="216"/>
      <c r="VV11" s="216"/>
      <c r="VW11" s="216"/>
      <c r="VX11" s="216"/>
    </row>
    <row r="12" spans="2:596" ht="18" customHeight="1">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c r="IY12" s="216"/>
      <c r="IZ12" s="216"/>
      <c r="JA12" s="216"/>
      <c r="JB12" s="216"/>
      <c r="JC12" s="216"/>
      <c r="JD12" s="216"/>
      <c r="JE12" s="216"/>
      <c r="JF12" s="216"/>
      <c r="JG12" s="216"/>
      <c r="JH12" s="216"/>
      <c r="JI12" s="216"/>
      <c r="JJ12" s="216"/>
      <c r="JK12" s="216"/>
      <c r="JL12" s="216"/>
      <c r="JM12" s="216"/>
      <c r="JN12" s="216"/>
      <c r="JO12" s="216"/>
      <c r="JP12" s="216"/>
      <c r="JQ12" s="216"/>
      <c r="JR12" s="216"/>
      <c r="JS12" s="216"/>
      <c r="JT12" s="216"/>
      <c r="JU12" s="216"/>
      <c r="JV12" s="216"/>
      <c r="JW12" s="216"/>
      <c r="JX12" s="216"/>
      <c r="JY12" s="216"/>
      <c r="JZ12" s="216"/>
      <c r="KA12" s="216"/>
      <c r="KB12" s="216"/>
      <c r="KC12" s="216"/>
      <c r="KD12" s="216"/>
      <c r="KE12" s="216"/>
      <c r="KF12" s="216"/>
      <c r="KG12" s="216"/>
      <c r="KH12" s="216"/>
      <c r="KI12" s="216"/>
      <c r="KJ12" s="216"/>
      <c r="KK12" s="216"/>
      <c r="KL12" s="216"/>
      <c r="KM12" s="216"/>
      <c r="KN12" s="216"/>
      <c r="KO12" s="216"/>
      <c r="KP12" s="216"/>
      <c r="KQ12" s="216"/>
      <c r="KR12" s="216"/>
      <c r="KS12" s="216"/>
      <c r="KT12" s="216"/>
      <c r="KU12" s="216"/>
      <c r="KV12" s="216"/>
      <c r="KW12" s="216"/>
      <c r="KX12" s="216"/>
      <c r="KY12" s="216"/>
      <c r="KZ12" s="216"/>
      <c r="LA12" s="216"/>
      <c r="LB12" s="216"/>
      <c r="LC12" s="216"/>
      <c r="LD12" s="216"/>
      <c r="LE12" s="216"/>
      <c r="LF12" s="216"/>
      <c r="LG12" s="216"/>
      <c r="LH12" s="216"/>
      <c r="LI12" s="216"/>
      <c r="LJ12" s="216"/>
      <c r="LK12" s="216"/>
      <c r="LL12" s="216"/>
      <c r="LM12" s="216"/>
      <c r="LN12" s="216"/>
      <c r="LO12" s="216"/>
      <c r="LP12" s="216"/>
      <c r="LQ12" s="216"/>
      <c r="LR12" s="216"/>
      <c r="LS12" s="216"/>
      <c r="LT12" s="216"/>
      <c r="LU12" s="216"/>
      <c r="LV12" s="216"/>
      <c r="LW12" s="216"/>
      <c r="LX12" s="216"/>
      <c r="LY12" s="216"/>
      <c r="LZ12" s="216"/>
      <c r="MA12" s="216"/>
      <c r="MB12" s="216"/>
      <c r="MC12" s="216"/>
      <c r="MD12" s="216"/>
      <c r="ME12" s="216"/>
      <c r="MF12" s="216"/>
      <c r="MG12" s="216"/>
      <c r="MH12" s="216"/>
      <c r="MI12" s="216"/>
      <c r="MJ12" s="216"/>
      <c r="MK12" s="216"/>
      <c r="ML12" s="216"/>
      <c r="MM12" s="216"/>
      <c r="MN12" s="216"/>
      <c r="MO12" s="216"/>
      <c r="MP12" s="216"/>
      <c r="MQ12" s="216"/>
      <c r="MR12" s="216"/>
      <c r="MS12" s="216"/>
      <c r="MT12" s="216"/>
      <c r="MU12" s="216"/>
      <c r="MV12" s="216"/>
      <c r="MW12" s="216"/>
      <c r="MX12" s="216"/>
      <c r="MY12" s="216"/>
      <c r="MZ12" s="216"/>
      <c r="NA12" s="216"/>
      <c r="NB12" s="216"/>
      <c r="NC12" s="216"/>
      <c r="ND12" s="216"/>
      <c r="NE12" s="216"/>
      <c r="NF12" s="216"/>
      <c r="NG12" s="216"/>
      <c r="NH12" s="216"/>
      <c r="NI12" s="216"/>
      <c r="NJ12" s="216"/>
      <c r="NK12" s="216"/>
      <c r="NL12" s="216"/>
      <c r="NM12" s="216"/>
      <c r="NN12" s="216"/>
      <c r="NO12" s="216"/>
      <c r="NP12" s="216"/>
      <c r="NQ12" s="216"/>
      <c r="NR12" s="216"/>
      <c r="NS12" s="216"/>
      <c r="NT12" s="216"/>
      <c r="NU12" s="216"/>
      <c r="NV12" s="216"/>
      <c r="NW12" s="216"/>
      <c r="NX12" s="216"/>
      <c r="NY12" s="216"/>
      <c r="NZ12" s="216"/>
      <c r="OA12" s="216"/>
      <c r="OB12" s="216"/>
      <c r="OC12" s="216"/>
      <c r="OD12" s="216"/>
      <c r="OE12" s="216"/>
      <c r="OF12" s="216"/>
      <c r="OG12" s="216"/>
      <c r="OH12" s="216"/>
      <c r="OI12" s="216"/>
      <c r="OJ12" s="216"/>
      <c r="OK12" s="216"/>
      <c r="OL12" s="216"/>
      <c r="OM12" s="216"/>
      <c r="ON12" s="216"/>
      <c r="OO12" s="216"/>
      <c r="OP12" s="216"/>
      <c r="OQ12" s="216"/>
      <c r="OR12" s="216"/>
      <c r="OS12" s="216"/>
      <c r="OT12" s="216"/>
      <c r="OU12" s="216"/>
      <c r="OV12" s="216"/>
      <c r="OW12" s="216"/>
      <c r="OX12" s="216"/>
      <c r="OY12" s="216"/>
      <c r="OZ12" s="216"/>
      <c r="PA12" s="216"/>
      <c r="PB12" s="216"/>
      <c r="PC12" s="216"/>
      <c r="PD12" s="216"/>
      <c r="PE12" s="216"/>
      <c r="PF12" s="216"/>
      <c r="PG12" s="216"/>
      <c r="PH12" s="216"/>
      <c r="PI12" s="216"/>
      <c r="PJ12" s="216"/>
      <c r="PK12" s="216"/>
      <c r="PL12" s="216"/>
      <c r="PM12" s="216"/>
      <c r="PN12" s="216"/>
      <c r="PO12" s="216"/>
      <c r="PP12" s="216"/>
      <c r="PQ12" s="216"/>
      <c r="PR12" s="216"/>
      <c r="PS12" s="216"/>
      <c r="PT12" s="216"/>
      <c r="PU12" s="216"/>
      <c r="PV12" s="216"/>
      <c r="PW12" s="216"/>
      <c r="PX12" s="216"/>
      <c r="PY12" s="216"/>
      <c r="PZ12" s="216"/>
      <c r="QA12" s="216"/>
      <c r="QB12" s="216"/>
      <c r="QC12" s="216"/>
      <c r="QD12" s="216"/>
      <c r="QE12" s="216"/>
      <c r="QF12" s="216"/>
      <c r="QG12" s="216"/>
      <c r="QH12" s="216"/>
      <c r="QI12" s="216"/>
      <c r="QJ12" s="216"/>
      <c r="QK12" s="216"/>
      <c r="QL12" s="216"/>
      <c r="QM12" s="216"/>
      <c r="QN12" s="216"/>
      <c r="QO12" s="216"/>
      <c r="QP12" s="216"/>
      <c r="QQ12" s="216"/>
      <c r="QR12" s="216"/>
      <c r="QS12" s="216"/>
      <c r="QT12" s="216"/>
      <c r="QU12" s="216"/>
      <c r="QV12" s="216"/>
      <c r="QW12" s="216"/>
      <c r="QX12" s="216"/>
      <c r="QY12" s="216"/>
      <c r="QZ12" s="216"/>
      <c r="RA12" s="216"/>
      <c r="RB12" s="216"/>
      <c r="RC12" s="216"/>
      <c r="RD12" s="216"/>
      <c r="RE12" s="216"/>
      <c r="RF12" s="216"/>
      <c r="RG12" s="216"/>
      <c r="RH12" s="216"/>
      <c r="RI12" s="216"/>
      <c r="RJ12" s="216"/>
      <c r="RK12" s="216"/>
      <c r="RL12" s="216"/>
      <c r="RM12" s="216"/>
      <c r="RN12" s="216"/>
      <c r="RO12" s="216"/>
      <c r="RP12" s="216"/>
      <c r="RQ12" s="216"/>
      <c r="RR12" s="216"/>
      <c r="RS12" s="216"/>
      <c r="RT12" s="216"/>
      <c r="RU12" s="216"/>
      <c r="RV12" s="216"/>
      <c r="RW12" s="216"/>
      <c r="RX12" s="216"/>
      <c r="RY12" s="216"/>
      <c r="RZ12" s="216"/>
      <c r="SA12" s="216"/>
      <c r="SB12" s="216"/>
      <c r="SC12" s="216"/>
      <c r="SD12" s="216"/>
      <c r="SE12" s="216"/>
      <c r="SF12" s="216"/>
      <c r="SG12" s="216"/>
      <c r="SH12" s="216"/>
      <c r="SI12" s="216"/>
      <c r="SJ12" s="216"/>
      <c r="SK12" s="216"/>
      <c r="SL12" s="216"/>
      <c r="SM12" s="216"/>
      <c r="SN12" s="216"/>
      <c r="SO12" s="216"/>
      <c r="SP12" s="216"/>
      <c r="SQ12" s="216"/>
      <c r="SR12" s="216"/>
      <c r="SS12" s="216"/>
      <c r="ST12" s="216"/>
      <c r="SU12" s="216"/>
      <c r="SV12" s="216"/>
      <c r="SW12" s="216"/>
      <c r="SX12" s="216"/>
      <c r="SY12" s="216"/>
      <c r="SZ12" s="216"/>
      <c r="TA12" s="216"/>
      <c r="TB12" s="216"/>
      <c r="TC12" s="216"/>
      <c r="TD12" s="216"/>
      <c r="TE12" s="216"/>
      <c r="TF12" s="216"/>
      <c r="TG12" s="216"/>
      <c r="TH12" s="216"/>
      <c r="TI12" s="216"/>
      <c r="TJ12" s="216"/>
      <c r="TK12" s="216"/>
      <c r="TL12" s="216"/>
      <c r="TM12" s="216"/>
      <c r="TN12" s="216"/>
      <c r="TO12" s="216"/>
      <c r="TP12" s="216"/>
      <c r="TQ12" s="216"/>
      <c r="TR12" s="216"/>
      <c r="TS12" s="216"/>
      <c r="TT12" s="216"/>
      <c r="TU12" s="216"/>
      <c r="TV12" s="216"/>
      <c r="TW12" s="216"/>
      <c r="TX12" s="216"/>
      <c r="TY12" s="216"/>
      <c r="TZ12" s="216"/>
      <c r="UA12" s="216"/>
      <c r="UB12" s="216"/>
      <c r="UC12" s="216"/>
      <c r="UD12" s="216"/>
      <c r="UE12" s="216"/>
      <c r="UF12" s="216"/>
      <c r="UG12" s="216"/>
      <c r="UH12" s="216"/>
      <c r="UI12" s="216"/>
      <c r="UJ12" s="216"/>
      <c r="UK12" s="216"/>
      <c r="UL12" s="216"/>
      <c r="UM12" s="216"/>
      <c r="UN12" s="216"/>
      <c r="UO12" s="216"/>
      <c r="UP12" s="216"/>
      <c r="UQ12" s="216"/>
      <c r="UR12" s="216"/>
      <c r="US12" s="216"/>
      <c r="UT12" s="216"/>
      <c r="UU12" s="216"/>
      <c r="UV12" s="216"/>
      <c r="UW12" s="216"/>
      <c r="UX12" s="216"/>
      <c r="UY12" s="216"/>
      <c r="UZ12" s="216"/>
      <c r="VA12" s="216"/>
      <c r="VB12" s="216"/>
      <c r="VC12" s="216"/>
      <c r="VD12" s="216"/>
      <c r="VE12" s="216"/>
      <c r="VF12" s="216"/>
      <c r="VG12" s="216"/>
      <c r="VH12" s="216"/>
      <c r="VI12" s="216"/>
      <c r="VJ12" s="216"/>
      <c r="VK12" s="216"/>
      <c r="VL12" s="216"/>
      <c r="VM12" s="216"/>
      <c r="VN12" s="216"/>
      <c r="VO12" s="216"/>
      <c r="VP12" s="216"/>
      <c r="VQ12" s="216"/>
      <c r="VR12" s="216"/>
      <c r="VS12" s="216"/>
      <c r="VT12" s="216"/>
      <c r="VU12" s="216"/>
      <c r="VV12" s="216"/>
      <c r="VW12" s="216"/>
      <c r="VX12" s="216"/>
    </row>
    <row r="13" spans="2:596" ht="18" customHeight="1">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6"/>
      <c r="IX13" s="216"/>
      <c r="IY13" s="216"/>
      <c r="IZ13" s="216"/>
      <c r="JA13" s="216"/>
      <c r="JB13" s="216"/>
      <c r="JC13" s="216"/>
      <c r="JD13" s="216"/>
      <c r="JE13" s="216"/>
      <c r="JF13" s="216"/>
      <c r="JG13" s="216"/>
      <c r="JH13" s="216"/>
      <c r="JI13" s="216"/>
      <c r="JJ13" s="216"/>
      <c r="JK13" s="216"/>
      <c r="JL13" s="216"/>
      <c r="JM13" s="216"/>
      <c r="JN13" s="216"/>
      <c r="JO13" s="216"/>
      <c r="JP13" s="216"/>
      <c r="JQ13" s="216"/>
      <c r="JR13" s="216"/>
      <c r="JS13" s="216"/>
      <c r="JT13" s="216"/>
      <c r="JU13" s="216"/>
      <c r="JV13" s="216"/>
      <c r="JW13" s="216"/>
      <c r="JX13" s="216"/>
      <c r="JY13" s="216"/>
      <c r="JZ13" s="216"/>
      <c r="KA13" s="216"/>
      <c r="KB13" s="216"/>
      <c r="KC13" s="216"/>
      <c r="KD13" s="216"/>
      <c r="KE13" s="216"/>
      <c r="KF13" s="216"/>
      <c r="KG13" s="216"/>
      <c r="KH13" s="216"/>
      <c r="KI13" s="216"/>
      <c r="KJ13" s="216"/>
      <c r="KK13" s="216"/>
      <c r="KL13" s="216"/>
      <c r="KM13" s="216"/>
      <c r="KN13" s="216"/>
      <c r="KO13" s="216"/>
      <c r="KP13" s="216"/>
      <c r="KQ13" s="216"/>
      <c r="KR13" s="216"/>
      <c r="KS13" s="216"/>
      <c r="KT13" s="216"/>
      <c r="KU13" s="216"/>
      <c r="KV13" s="216"/>
      <c r="KW13" s="216"/>
      <c r="KX13" s="216"/>
      <c r="KY13" s="216"/>
      <c r="KZ13" s="216"/>
      <c r="LA13" s="216"/>
      <c r="LB13" s="216"/>
      <c r="LC13" s="216"/>
      <c r="LD13" s="216"/>
      <c r="LE13" s="216"/>
      <c r="LF13" s="216"/>
      <c r="LG13" s="216"/>
      <c r="LH13" s="216"/>
      <c r="LI13" s="216"/>
      <c r="LJ13" s="216"/>
      <c r="LK13" s="216"/>
      <c r="LL13" s="216"/>
      <c r="LM13" s="216"/>
      <c r="LN13" s="216"/>
      <c r="LO13" s="216"/>
      <c r="LP13" s="216"/>
      <c r="LQ13" s="216"/>
      <c r="LR13" s="216"/>
      <c r="LS13" s="216"/>
      <c r="LT13" s="216"/>
      <c r="LU13" s="216"/>
      <c r="LV13" s="216"/>
      <c r="LW13" s="216"/>
      <c r="LX13" s="216"/>
      <c r="LY13" s="216"/>
      <c r="LZ13" s="216"/>
      <c r="MA13" s="216"/>
      <c r="MB13" s="216"/>
      <c r="MC13" s="216"/>
      <c r="MD13" s="216"/>
      <c r="ME13" s="216"/>
      <c r="MF13" s="216"/>
      <c r="MG13" s="216"/>
      <c r="MH13" s="216"/>
      <c r="MI13" s="216"/>
      <c r="MJ13" s="216"/>
      <c r="MK13" s="216"/>
      <c r="ML13" s="216"/>
      <c r="MM13" s="216"/>
      <c r="MN13" s="216"/>
      <c r="MO13" s="216"/>
      <c r="MP13" s="216"/>
      <c r="MQ13" s="216"/>
      <c r="MR13" s="216"/>
      <c r="MS13" s="216"/>
      <c r="MT13" s="216"/>
      <c r="MU13" s="216"/>
      <c r="MV13" s="216"/>
      <c r="MW13" s="216"/>
      <c r="MX13" s="216"/>
      <c r="MY13" s="216"/>
      <c r="MZ13" s="216"/>
      <c r="NA13" s="216"/>
      <c r="NB13" s="216"/>
      <c r="NC13" s="216"/>
      <c r="ND13" s="216"/>
      <c r="NE13" s="216"/>
      <c r="NF13" s="216"/>
      <c r="NG13" s="216"/>
      <c r="NH13" s="216"/>
      <c r="NI13" s="216"/>
      <c r="NJ13" s="216"/>
      <c r="NK13" s="216"/>
      <c r="NL13" s="216"/>
      <c r="NM13" s="216"/>
      <c r="NN13" s="216"/>
      <c r="NO13" s="216"/>
      <c r="NP13" s="216"/>
      <c r="NQ13" s="216"/>
      <c r="NR13" s="216"/>
      <c r="NS13" s="216"/>
      <c r="NT13" s="216"/>
      <c r="NU13" s="216"/>
      <c r="NV13" s="216"/>
      <c r="NW13" s="216"/>
      <c r="NX13" s="216"/>
      <c r="NY13" s="216"/>
      <c r="NZ13" s="216"/>
      <c r="OA13" s="216"/>
      <c r="OB13" s="216"/>
      <c r="OC13" s="216"/>
      <c r="OD13" s="216"/>
      <c r="OE13" s="216"/>
      <c r="OF13" s="216"/>
      <c r="OG13" s="216"/>
      <c r="OH13" s="216"/>
      <c r="OI13" s="216"/>
      <c r="OJ13" s="216"/>
      <c r="OK13" s="216"/>
      <c r="OL13" s="216"/>
      <c r="OM13" s="216"/>
      <c r="ON13" s="216"/>
      <c r="OO13" s="216"/>
      <c r="OP13" s="216"/>
      <c r="OQ13" s="216"/>
      <c r="OR13" s="216"/>
      <c r="OS13" s="216"/>
      <c r="OT13" s="216"/>
      <c r="OU13" s="216"/>
      <c r="OV13" s="216"/>
      <c r="OW13" s="216"/>
      <c r="OX13" s="216"/>
      <c r="OY13" s="216"/>
      <c r="OZ13" s="216"/>
      <c r="PA13" s="216"/>
      <c r="PB13" s="216"/>
      <c r="PC13" s="216"/>
      <c r="PD13" s="216"/>
      <c r="PE13" s="216"/>
      <c r="PF13" s="216"/>
      <c r="PG13" s="216"/>
      <c r="PH13" s="216"/>
      <c r="PI13" s="216"/>
      <c r="PJ13" s="216"/>
      <c r="PK13" s="216"/>
      <c r="PL13" s="216"/>
      <c r="PM13" s="216"/>
      <c r="PN13" s="216"/>
      <c r="PO13" s="216"/>
      <c r="PP13" s="216"/>
      <c r="PQ13" s="216"/>
      <c r="PR13" s="216"/>
      <c r="PS13" s="216"/>
      <c r="PT13" s="216"/>
      <c r="PU13" s="216"/>
      <c r="PV13" s="216"/>
      <c r="PW13" s="216"/>
      <c r="PX13" s="216"/>
      <c r="PY13" s="216"/>
      <c r="PZ13" s="216"/>
      <c r="QA13" s="216"/>
      <c r="QB13" s="216"/>
      <c r="QC13" s="216"/>
      <c r="QD13" s="216"/>
      <c r="QE13" s="216"/>
      <c r="QF13" s="216"/>
      <c r="QG13" s="216"/>
      <c r="QH13" s="216"/>
      <c r="QI13" s="216"/>
      <c r="QJ13" s="216"/>
      <c r="QK13" s="216"/>
      <c r="QL13" s="216"/>
      <c r="QM13" s="216"/>
      <c r="QN13" s="216"/>
      <c r="QO13" s="216"/>
      <c r="QP13" s="216"/>
      <c r="QQ13" s="216"/>
      <c r="QR13" s="216"/>
      <c r="QS13" s="216"/>
      <c r="QT13" s="216"/>
      <c r="QU13" s="216"/>
      <c r="QV13" s="216"/>
      <c r="QW13" s="216"/>
      <c r="QX13" s="216"/>
      <c r="QY13" s="216"/>
      <c r="QZ13" s="216"/>
      <c r="RA13" s="216"/>
      <c r="RB13" s="216"/>
      <c r="RC13" s="216"/>
      <c r="RD13" s="216"/>
      <c r="RE13" s="216"/>
      <c r="RF13" s="216"/>
      <c r="RG13" s="216"/>
      <c r="RH13" s="216"/>
      <c r="RI13" s="216"/>
      <c r="RJ13" s="216"/>
      <c r="RK13" s="216"/>
      <c r="RL13" s="216"/>
      <c r="RM13" s="216"/>
      <c r="RN13" s="216"/>
      <c r="RO13" s="216"/>
      <c r="RP13" s="216"/>
      <c r="RQ13" s="216"/>
      <c r="RR13" s="216"/>
      <c r="RS13" s="216"/>
      <c r="RT13" s="216"/>
      <c r="RU13" s="216"/>
      <c r="RV13" s="216"/>
      <c r="RW13" s="216"/>
      <c r="RX13" s="216"/>
      <c r="RY13" s="216"/>
      <c r="RZ13" s="216"/>
      <c r="SA13" s="216"/>
      <c r="SB13" s="216"/>
      <c r="SC13" s="216"/>
      <c r="SD13" s="216"/>
      <c r="SE13" s="216"/>
      <c r="SF13" s="216"/>
      <c r="SG13" s="216"/>
      <c r="SH13" s="216"/>
      <c r="SI13" s="216"/>
      <c r="SJ13" s="216"/>
      <c r="SK13" s="216"/>
      <c r="SL13" s="216"/>
      <c r="SM13" s="216"/>
      <c r="SN13" s="216"/>
      <c r="SO13" s="216"/>
      <c r="SP13" s="216"/>
      <c r="SQ13" s="216"/>
      <c r="SR13" s="216"/>
      <c r="SS13" s="216"/>
      <c r="ST13" s="216"/>
      <c r="SU13" s="216"/>
      <c r="SV13" s="216"/>
      <c r="SW13" s="216"/>
      <c r="SX13" s="216"/>
      <c r="SY13" s="216"/>
      <c r="SZ13" s="216"/>
      <c r="TA13" s="216"/>
      <c r="TB13" s="216"/>
      <c r="TC13" s="216"/>
      <c r="TD13" s="216"/>
      <c r="TE13" s="216"/>
      <c r="TF13" s="216"/>
      <c r="TG13" s="216"/>
      <c r="TH13" s="216"/>
      <c r="TI13" s="216"/>
      <c r="TJ13" s="216"/>
      <c r="TK13" s="216"/>
      <c r="TL13" s="216"/>
      <c r="TM13" s="216"/>
      <c r="TN13" s="216"/>
      <c r="TO13" s="216"/>
      <c r="TP13" s="216"/>
      <c r="TQ13" s="216"/>
      <c r="TR13" s="216"/>
      <c r="TS13" s="216"/>
      <c r="TT13" s="216"/>
      <c r="TU13" s="216"/>
      <c r="TV13" s="216"/>
      <c r="TW13" s="216"/>
      <c r="TX13" s="216"/>
      <c r="TY13" s="216"/>
      <c r="TZ13" s="216"/>
      <c r="UA13" s="216"/>
      <c r="UB13" s="216"/>
      <c r="UC13" s="216"/>
      <c r="UD13" s="216"/>
      <c r="UE13" s="216"/>
      <c r="UF13" s="216"/>
      <c r="UG13" s="216"/>
      <c r="UH13" s="216"/>
      <c r="UI13" s="216"/>
      <c r="UJ13" s="216"/>
      <c r="UK13" s="216"/>
      <c r="UL13" s="216"/>
      <c r="UM13" s="216"/>
      <c r="UN13" s="216"/>
      <c r="UO13" s="216"/>
      <c r="UP13" s="216"/>
      <c r="UQ13" s="216"/>
      <c r="UR13" s="216"/>
      <c r="US13" s="216"/>
      <c r="UT13" s="216"/>
      <c r="UU13" s="216"/>
      <c r="UV13" s="216"/>
      <c r="UW13" s="216"/>
      <c r="UX13" s="216"/>
      <c r="UY13" s="216"/>
      <c r="UZ13" s="216"/>
      <c r="VA13" s="216"/>
      <c r="VB13" s="216"/>
      <c r="VC13" s="216"/>
      <c r="VD13" s="216"/>
      <c r="VE13" s="216"/>
      <c r="VF13" s="216"/>
      <c r="VG13" s="216"/>
      <c r="VH13" s="216"/>
      <c r="VI13" s="216"/>
      <c r="VJ13" s="216"/>
      <c r="VK13" s="216"/>
      <c r="VL13" s="216"/>
      <c r="VM13" s="216"/>
      <c r="VN13" s="216"/>
      <c r="VO13" s="216"/>
      <c r="VP13" s="216"/>
      <c r="VQ13" s="216"/>
      <c r="VR13" s="216"/>
      <c r="VS13" s="216"/>
      <c r="VT13" s="216"/>
      <c r="VU13" s="216"/>
      <c r="VV13" s="216"/>
      <c r="VW13" s="216"/>
      <c r="VX13" s="216"/>
    </row>
    <row r="14" spans="2:596" ht="18" customHeight="1">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c r="FU14" s="216"/>
      <c r="FV14" s="216"/>
      <c r="FW14" s="216"/>
      <c r="FX14" s="216"/>
      <c r="FY14" s="216"/>
      <c r="FZ14" s="216"/>
      <c r="GA14" s="216"/>
      <c r="GB14" s="216"/>
      <c r="GC14" s="216"/>
      <c r="GD14" s="216"/>
      <c r="GE14" s="216"/>
      <c r="GF14" s="216"/>
      <c r="GG14" s="216"/>
      <c r="GH14" s="216"/>
      <c r="GI14" s="216"/>
      <c r="GJ14" s="216"/>
      <c r="GK14" s="216"/>
      <c r="GL14" s="216"/>
      <c r="GM14" s="216"/>
      <c r="GN14" s="216"/>
      <c r="GO14" s="216"/>
      <c r="GP14" s="216"/>
      <c r="GQ14" s="216"/>
      <c r="GR14" s="216"/>
      <c r="GS14" s="216"/>
      <c r="GT14" s="216"/>
      <c r="GU14" s="216"/>
      <c r="GV14" s="216"/>
      <c r="GW14" s="216"/>
      <c r="GX14" s="216"/>
      <c r="GY14" s="216"/>
      <c r="GZ14" s="216"/>
      <c r="HA14" s="216"/>
      <c r="HB14" s="216"/>
      <c r="HC14" s="216"/>
      <c r="HD14" s="216"/>
      <c r="HE14" s="216"/>
      <c r="HF14" s="216"/>
      <c r="HG14" s="216"/>
      <c r="HH14" s="216"/>
      <c r="HI14" s="216"/>
      <c r="HJ14" s="216"/>
      <c r="HK14" s="216"/>
      <c r="HL14" s="216"/>
      <c r="HM14" s="216"/>
      <c r="HN14" s="216"/>
      <c r="HO14" s="216"/>
      <c r="HP14" s="216"/>
      <c r="HQ14" s="216"/>
      <c r="HR14" s="216"/>
      <c r="HS14" s="216"/>
      <c r="HT14" s="216"/>
      <c r="HU14" s="216"/>
      <c r="HV14" s="216"/>
      <c r="HW14" s="216"/>
      <c r="HX14" s="216"/>
      <c r="HY14" s="216"/>
      <c r="HZ14" s="216"/>
      <c r="IA14" s="216"/>
      <c r="IB14" s="216"/>
      <c r="IC14" s="216"/>
      <c r="ID14" s="216"/>
      <c r="IE14" s="216"/>
      <c r="IF14" s="216"/>
      <c r="IG14" s="216"/>
      <c r="IH14" s="216"/>
      <c r="II14" s="216"/>
      <c r="IJ14" s="216"/>
      <c r="IK14" s="216"/>
      <c r="IL14" s="216"/>
      <c r="IM14" s="216"/>
      <c r="IN14" s="216"/>
      <c r="IO14" s="216"/>
      <c r="IP14" s="216"/>
      <c r="IQ14" s="216"/>
      <c r="IR14" s="216"/>
      <c r="IS14" s="216"/>
      <c r="IT14" s="216"/>
      <c r="IU14" s="216"/>
      <c r="IV14" s="216"/>
      <c r="IW14" s="216"/>
      <c r="IX14" s="216"/>
      <c r="IY14" s="216"/>
      <c r="IZ14" s="216"/>
      <c r="JA14" s="216"/>
      <c r="JB14" s="216"/>
      <c r="JC14" s="216"/>
      <c r="JD14" s="216"/>
      <c r="JE14" s="216"/>
      <c r="JF14" s="216"/>
      <c r="JG14" s="216"/>
      <c r="JH14" s="216"/>
      <c r="JI14" s="216"/>
      <c r="JJ14" s="216"/>
      <c r="JK14" s="216"/>
      <c r="JL14" s="216"/>
      <c r="JM14" s="216"/>
      <c r="JN14" s="216"/>
      <c r="JO14" s="216"/>
      <c r="JP14" s="216"/>
      <c r="JQ14" s="216"/>
      <c r="JR14" s="216"/>
      <c r="JS14" s="216"/>
      <c r="JT14" s="216"/>
      <c r="JU14" s="216"/>
      <c r="JV14" s="216"/>
      <c r="JW14" s="216"/>
      <c r="JX14" s="216"/>
      <c r="JY14" s="216"/>
      <c r="JZ14" s="216"/>
      <c r="KA14" s="216"/>
      <c r="KB14" s="216"/>
      <c r="KC14" s="216"/>
      <c r="KD14" s="216"/>
      <c r="KE14" s="216"/>
      <c r="KF14" s="216"/>
      <c r="KG14" s="216"/>
      <c r="KH14" s="216"/>
      <c r="KI14" s="216"/>
      <c r="KJ14" s="216"/>
      <c r="KK14" s="216"/>
      <c r="KL14" s="216"/>
      <c r="KM14" s="216"/>
      <c r="KN14" s="216"/>
      <c r="KO14" s="216"/>
      <c r="KP14" s="216"/>
      <c r="KQ14" s="216"/>
      <c r="KR14" s="216"/>
      <c r="KS14" s="216"/>
      <c r="KT14" s="216"/>
      <c r="KU14" s="216"/>
      <c r="KV14" s="216"/>
      <c r="KW14" s="216"/>
      <c r="KX14" s="216"/>
      <c r="KY14" s="216"/>
      <c r="KZ14" s="216"/>
      <c r="LA14" s="216"/>
      <c r="LB14" s="216"/>
      <c r="LC14" s="216"/>
      <c r="LD14" s="216"/>
      <c r="LE14" s="216"/>
      <c r="LF14" s="216"/>
      <c r="LG14" s="216"/>
      <c r="LH14" s="216"/>
      <c r="LI14" s="216"/>
      <c r="LJ14" s="216"/>
      <c r="LK14" s="216"/>
      <c r="LL14" s="216"/>
      <c r="LM14" s="216"/>
      <c r="LN14" s="216"/>
      <c r="LO14" s="216"/>
      <c r="LP14" s="216"/>
      <c r="LQ14" s="216"/>
      <c r="LR14" s="216"/>
      <c r="LS14" s="216"/>
      <c r="LT14" s="216"/>
      <c r="LU14" s="216"/>
      <c r="LV14" s="216"/>
      <c r="LW14" s="216"/>
      <c r="LX14" s="216"/>
      <c r="LY14" s="216"/>
      <c r="LZ14" s="216"/>
      <c r="MA14" s="216"/>
      <c r="MB14" s="216"/>
      <c r="MC14" s="216"/>
      <c r="MD14" s="216"/>
      <c r="ME14" s="216"/>
      <c r="MF14" s="216"/>
      <c r="MG14" s="216"/>
      <c r="MH14" s="216"/>
      <c r="MI14" s="216"/>
      <c r="MJ14" s="216"/>
      <c r="MK14" s="216"/>
      <c r="ML14" s="216"/>
      <c r="MM14" s="216"/>
      <c r="MN14" s="216"/>
      <c r="MO14" s="216"/>
      <c r="MP14" s="216"/>
      <c r="MQ14" s="216"/>
      <c r="MR14" s="216"/>
      <c r="MS14" s="216"/>
      <c r="MT14" s="216"/>
      <c r="MU14" s="216"/>
      <c r="MV14" s="216"/>
      <c r="MW14" s="216"/>
      <c r="MX14" s="216"/>
      <c r="MY14" s="216"/>
      <c r="MZ14" s="216"/>
      <c r="NA14" s="216"/>
      <c r="NB14" s="216"/>
      <c r="NC14" s="216"/>
      <c r="ND14" s="216"/>
      <c r="NE14" s="216"/>
      <c r="NF14" s="216"/>
      <c r="NG14" s="216"/>
      <c r="NH14" s="216"/>
      <c r="NI14" s="216"/>
      <c r="NJ14" s="216"/>
      <c r="NK14" s="216"/>
      <c r="NL14" s="216"/>
      <c r="NM14" s="216"/>
      <c r="NN14" s="216"/>
      <c r="NO14" s="216"/>
      <c r="NP14" s="216"/>
      <c r="NQ14" s="216"/>
      <c r="NR14" s="216"/>
      <c r="NS14" s="216"/>
      <c r="NT14" s="216"/>
      <c r="NU14" s="216"/>
      <c r="NV14" s="216"/>
      <c r="NW14" s="216"/>
      <c r="NX14" s="216"/>
      <c r="NY14" s="216"/>
      <c r="NZ14" s="216"/>
      <c r="OA14" s="216"/>
      <c r="OB14" s="216"/>
      <c r="OC14" s="216"/>
      <c r="OD14" s="216"/>
      <c r="OE14" s="216"/>
      <c r="OF14" s="216"/>
      <c r="OG14" s="216"/>
      <c r="OH14" s="216"/>
      <c r="OI14" s="216"/>
      <c r="OJ14" s="216"/>
      <c r="OK14" s="216"/>
      <c r="OL14" s="216"/>
      <c r="OM14" s="216"/>
      <c r="ON14" s="216"/>
      <c r="OO14" s="216"/>
      <c r="OP14" s="216"/>
      <c r="OQ14" s="216"/>
      <c r="OR14" s="216"/>
      <c r="OS14" s="216"/>
      <c r="OT14" s="216"/>
      <c r="OU14" s="216"/>
      <c r="OV14" s="216"/>
      <c r="OW14" s="216"/>
      <c r="OX14" s="216"/>
      <c r="OY14" s="216"/>
      <c r="OZ14" s="216"/>
      <c r="PA14" s="216"/>
      <c r="PB14" s="216"/>
      <c r="PC14" s="216"/>
      <c r="PD14" s="216"/>
      <c r="PE14" s="216"/>
      <c r="PF14" s="216"/>
      <c r="PG14" s="216"/>
      <c r="PH14" s="216"/>
      <c r="PI14" s="216"/>
      <c r="PJ14" s="216"/>
      <c r="PK14" s="216"/>
      <c r="PL14" s="216"/>
      <c r="PM14" s="216"/>
      <c r="PN14" s="216"/>
      <c r="PO14" s="216"/>
      <c r="PP14" s="216"/>
      <c r="PQ14" s="216"/>
      <c r="PR14" s="216"/>
      <c r="PS14" s="216"/>
      <c r="PT14" s="216"/>
      <c r="PU14" s="216"/>
      <c r="PV14" s="216"/>
      <c r="PW14" s="216"/>
      <c r="PX14" s="216"/>
      <c r="PY14" s="216"/>
      <c r="PZ14" s="216"/>
      <c r="QA14" s="216"/>
      <c r="QB14" s="216"/>
      <c r="QC14" s="216"/>
      <c r="QD14" s="216"/>
      <c r="QE14" s="216"/>
      <c r="QF14" s="216"/>
      <c r="QG14" s="216"/>
      <c r="QH14" s="216"/>
      <c r="QI14" s="216"/>
      <c r="QJ14" s="216"/>
      <c r="QK14" s="216"/>
      <c r="QL14" s="216"/>
      <c r="QM14" s="216"/>
      <c r="QN14" s="216"/>
      <c r="QO14" s="216"/>
      <c r="QP14" s="216"/>
      <c r="QQ14" s="216"/>
      <c r="QR14" s="216"/>
      <c r="QS14" s="216"/>
      <c r="QT14" s="216"/>
      <c r="QU14" s="216"/>
      <c r="QV14" s="216"/>
      <c r="QW14" s="216"/>
      <c r="QX14" s="216"/>
      <c r="QY14" s="216"/>
      <c r="QZ14" s="216"/>
      <c r="RA14" s="216"/>
      <c r="RB14" s="216"/>
      <c r="RC14" s="216"/>
      <c r="RD14" s="216"/>
      <c r="RE14" s="216"/>
      <c r="RF14" s="216"/>
      <c r="RG14" s="216"/>
      <c r="RH14" s="216"/>
      <c r="RI14" s="216"/>
      <c r="RJ14" s="216"/>
      <c r="RK14" s="216"/>
      <c r="RL14" s="216"/>
      <c r="RM14" s="216"/>
      <c r="RN14" s="216"/>
      <c r="RO14" s="216"/>
      <c r="RP14" s="216"/>
      <c r="RQ14" s="216"/>
      <c r="RR14" s="216"/>
      <c r="RS14" s="216"/>
      <c r="RT14" s="216"/>
      <c r="RU14" s="216"/>
      <c r="RV14" s="216"/>
      <c r="RW14" s="216"/>
      <c r="RX14" s="216"/>
      <c r="RY14" s="216"/>
      <c r="RZ14" s="216"/>
      <c r="SA14" s="216"/>
      <c r="SB14" s="216"/>
      <c r="SC14" s="216"/>
      <c r="SD14" s="216"/>
      <c r="SE14" s="216"/>
      <c r="SF14" s="216"/>
      <c r="SG14" s="216"/>
      <c r="SH14" s="216"/>
      <c r="SI14" s="216"/>
      <c r="SJ14" s="216"/>
      <c r="SK14" s="216"/>
      <c r="SL14" s="216"/>
      <c r="SM14" s="216"/>
      <c r="SN14" s="216"/>
      <c r="SO14" s="216"/>
      <c r="SP14" s="216"/>
      <c r="SQ14" s="216"/>
      <c r="SR14" s="216"/>
      <c r="SS14" s="216"/>
      <c r="ST14" s="216"/>
      <c r="SU14" s="216"/>
      <c r="SV14" s="216"/>
      <c r="SW14" s="216"/>
      <c r="SX14" s="216"/>
      <c r="SY14" s="216"/>
      <c r="SZ14" s="216"/>
      <c r="TA14" s="216"/>
      <c r="TB14" s="216"/>
      <c r="TC14" s="216"/>
      <c r="TD14" s="216"/>
      <c r="TE14" s="216"/>
      <c r="TF14" s="216"/>
      <c r="TG14" s="216"/>
      <c r="TH14" s="216"/>
      <c r="TI14" s="216"/>
      <c r="TJ14" s="216"/>
      <c r="TK14" s="216"/>
      <c r="TL14" s="216"/>
      <c r="TM14" s="216"/>
      <c r="TN14" s="216"/>
      <c r="TO14" s="216"/>
      <c r="TP14" s="216"/>
      <c r="TQ14" s="216"/>
      <c r="TR14" s="216"/>
      <c r="TS14" s="216"/>
      <c r="TT14" s="216"/>
      <c r="TU14" s="216"/>
      <c r="TV14" s="216"/>
      <c r="TW14" s="216"/>
      <c r="TX14" s="216"/>
      <c r="TY14" s="216"/>
      <c r="TZ14" s="216"/>
      <c r="UA14" s="216"/>
      <c r="UB14" s="216"/>
      <c r="UC14" s="216"/>
      <c r="UD14" s="216"/>
      <c r="UE14" s="216"/>
      <c r="UF14" s="216"/>
      <c r="UG14" s="216"/>
      <c r="UH14" s="216"/>
      <c r="UI14" s="216"/>
      <c r="UJ14" s="216"/>
      <c r="UK14" s="216"/>
      <c r="UL14" s="216"/>
      <c r="UM14" s="216"/>
      <c r="UN14" s="216"/>
      <c r="UO14" s="216"/>
      <c r="UP14" s="216"/>
      <c r="UQ14" s="216"/>
      <c r="UR14" s="216"/>
      <c r="US14" s="216"/>
      <c r="UT14" s="216"/>
      <c r="UU14" s="216"/>
      <c r="UV14" s="216"/>
      <c r="UW14" s="216"/>
      <c r="UX14" s="216"/>
      <c r="UY14" s="216"/>
      <c r="UZ14" s="216"/>
      <c r="VA14" s="216"/>
      <c r="VB14" s="216"/>
      <c r="VC14" s="216"/>
      <c r="VD14" s="216"/>
      <c r="VE14" s="216"/>
      <c r="VF14" s="216"/>
      <c r="VG14" s="216"/>
      <c r="VH14" s="216"/>
      <c r="VI14" s="216"/>
      <c r="VJ14" s="216"/>
      <c r="VK14" s="216"/>
      <c r="VL14" s="216"/>
      <c r="VM14" s="216"/>
      <c r="VN14" s="216"/>
      <c r="VO14" s="216"/>
      <c r="VP14" s="216"/>
      <c r="VQ14" s="216"/>
      <c r="VR14" s="216"/>
      <c r="VS14" s="216"/>
      <c r="VT14" s="216"/>
      <c r="VU14" s="216"/>
      <c r="VV14" s="216"/>
      <c r="VW14" s="216"/>
      <c r="VX14" s="216"/>
    </row>
    <row r="15" spans="2:596" ht="18" customHeight="1">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c r="FU15" s="216"/>
      <c r="FV15" s="216"/>
      <c r="FW15" s="216"/>
      <c r="FX15" s="216"/>
      <c r="FY15" s="216"/>
      <c r="FZ15" s="216"/>
      <c r="GA15" s="216"/>
      <c r="GB15" s="216"/>
      <c r="GC15" s="216"/>
      <c r="GD15" s="216"/>
      <c r="GE15" s="216"/>
      <c r="GF15" s="216"/>
      <c r="GG15" s="216"/>
      <c r="GH15" s="216"/>
      <c r="GI15" s="216"/>
      <c r="GJ15" s="216"/>
      <c r="GK15" s="216"/>
      <c r="GL15" s="216"/>
      <c r="GM15" s="216"/>
      <c r="GN15" s="216"/>
      <c r="GO15" s="216"/>
      <c r="GP15" s="216"/>
      <c r="GQ15" s="216"/>
      <c r="GR15" s="216"/>
      <c r="GS15" s="216"/>
      <c r="GT15" s="216"/>
      <c r="GU15" s="216"/>
      <c r="GV15" s="216"/>
      <c r="GW15" s="216"/>
      <c r="GX15" s="216"/>
      <c r="GY15" s="216"/>
      <c r="GZ15" s="216"/>
      <c r="HA15" s="216"/>
      <c r="HB15" s="216"/>
      <c r="HC15" s="216"/>
      <c r="HD15" s="216"/>
      <c r="HE15" s="216"/>
      <c r="HF15" s="216"/>
      <c r="HG15" s="216"/>
      <c r="HH15" s="216"/>
      <c r="HI15" s="216"/>
      <c r="HJ15" s="216"/>
      <c r="HK15" s="216"/>
      <c r="HL15" s="216"/>
      <c r="HM15" s="216"/>
      <c r="HN15" s="216"/>
      <c r="HO15" s="216"/>
      <c r="HP15" s="216"/>
      <c r="HQ15" s="216"/>
      <c r="HR15" s="216"/>
      <c r="HS15" s="216"/>
      <c r="HT15" s="216"/>
      <c r="HU15" s="216"/>
      <c r="HV15" s="216"/>
      <c r="HW15" s="216"/>
      <c r="HX15" s="216"/>
      <c r="HY15" s="216"/>
      <c r="HZ15" s="216"/>
      <c r="IA15" s="216"/>
      <c r="IB15" s="216"/>
      <c r="IC15" s="216"/>
      <c r="ID15" s="216"/>
      <c r="IE15" s="216"/>
      <c r="IF15" s="216"/>
      <c r="IG15" s="216"/>
      <c r="IH15" s="216"/>
      <c r="II15" s="216"/>
      <c r="IJ15" s="216"/>
      <c r="IK15" s="216"/>
      <c r="IL15" s="216"/>
      <c r="IM15" s="216"/>
      <c r="IN15" s="216"/>
      <c r="IO15" s="216"/>
      <c r="IP15" s="216"/>
      <c r="IQ15" s="216"/>
      <c r="IR15" s="216"/>
      <c r="IS15" s="216"/>
      <c r="IT15" s="216"/>
      <c r="IU15" s="216"/>
      <c r="IV15" s="216"/>
      <c r="IW15" s="216"/>
      <c r="IX15" s="216"/>
      <c r="IY15" s="216"/>
      <c r="IZ15" s="216"/>
      <c r="JA15" s="216"/>
      <c r="JB15" s="216"/>
      <c r="JC15" s="216"/>
      <c r="JD15" s="216"/>
      <c r="JE15" s="216"/>
      <c r="JF15" s="216"/>
      <c r="JG15" s="216"/>
      <c r="JH15" s="216"/>
      <c r="JI15" s="216"/>
      <c r="JJ15" s="216"/>
      <c r="JK15" s="216"/>
      <c r="JL15" s="216"/>
      <c r="JM15" s="216"/>
      <c r="JN15" s="216"/>
      <c r="JO15" s="216"/>
      <c r="JP15" s="216"/>
      <c r="JQ15" s="216"/>
      <c r="JR15" s="216"/>
      <c r="JS15" s="216"/>
      <c r="JT15" s="216"/>
      <c r="JU15" s="216"/>
      <c r="JV15" s="216"/>
      <c r="JW15" s="216"/>
      <c r="JX15" s="216"/>
      <c r="JY15" s="216"/>
      <c r="JZ15" s="216"/>
      <c r="KA15" s="216"/>
      <c r="KB15" s="216"/>
      <c r="KC15" s="216"/>
      <c r="KD15" s="216"/>
      <c r="KE15" s="216"/>
      <c r="KF15" s="216"/>
      <c r="KG15" s="216"/>
      <c r="KH15" s="216"/>
      <c r="KI15" s="216"/>
      <c r="KJ15" s="216"/>
      <c r="KK15" s="216"/>
      <c r="KL15" s="216"/>
      <c r="KM15" s="216"/>
      <c r="KN15" s="216"/>
      <c r="KO15" s="216"/>
      <c r="KP15" s="216"/>
      <c r="KQ15" s="216"/>
      <c r="KR15" s="216"/>
      <c r="KS15" s="216"/>
      <c r="KT15" s="216"/>
      <c r="KU15" s="216"/>
      <c r="KV15" s="216"/>
      <c r="KW15" s="216"/>
      <c r="KX15" s="216"/>
      <c r="KY15" s="216"/>
      <c r="KZ15" s="216"/>
      <c r="LA15" s="216"/>
      <c r="LB15" s="216"/>
      <c r="LC15" s="216"/>
      <c r="LD15" s="216"/>
      <c r="LE15" s="216"/>
      <c r="LF15" s="216"/>
      <c r="LG15" s="216"/>
      <c r="LH15" s="216"/>
      <c r="LI15" s="216"/>
      <c r="LJ15" s="216"/>
      <c r="LK15" s="216"/>
      <c r="LL15" s="216"/>
      <c r="LM15" s="216"/>
      <c r="LN15" s="216"/>
      <c r="LO15" s="216"/>
      <c r="LP15" s="216"/>
      <c r="LQ15" s="216"/>
      <c r="LR15" s="216"/>
      <c r="LS15" s="216"/>
      <c r="LT15" s="216"/>
      <c r="LU15" s="216"/>
      <c r="LV15" s="216"/>
      <c r="LW15" s="216"/>
      <c r="LX15" s="216"/>
      <c r="LY15" s="216"/>
      <c r="LZ15" s="216"/>
      <c r="MA15" s="216"/>
      <c r="MB15" s="216"/>
      <c r="MC15" s="216"/>
      <c r="MD15" s="216"/>
      <c r="ME15" s="216"/>
      <c r="MF15" s="216"/>
      <c r="MG15" s="216"/>
      <c r="MH15" s="216"/>
      <c r="MI15" s="216"/>
      <c r="MJ15" s="216"/>
      <c r="MK15" s="216"/>
      <c r="ML15" s="216"/>
      <c r="MM15" s="216"/>
      <c r="MN15" s="216"/>
      <c r="MO15" s="216"/>
      <c r="MP15" s="216"/>
      <c r="MQ15" s="216"/>
      <c r="MR15" s="216"/>
      <c r="MS15" s="216"/>
      <c r="MT15" s="216"/>
      <c r="MU15" s="216"/>
      <c r="MV15" s="216"/>
      <c r="MW15" s="216"/>
      <c r="MX15" s="216"/>
      <c r="MY15" s="216"/>
      <c r="MZ15" s="216"/>
      <c r="NA15" s="216"/>
      <c r="NB15" s="216"/>
      <c r="NC15" s="216"/>
      <c r="ND15" s="216"/>
      <c r="NE15" s="216"/>
      <c r="NF15" s="216"/>
      <c r="NG15" s="216"/>
      <c r="NH15" s="216"/>
      <c r="NI15" s="216"/>
      <c r="NJ15" s="216"/>
      <c r="NK15" s="216"/>
      <c r="NL15" s="216"/>
      <c r="NM15" s="216"/>
      <c r="NN15" s="216"/>
      <c r="NO15" s="216"/>
      <c r="NP15" s="216"/>
      <c r="NQ15" s="216"/>
      <c r="NR15" s="216"/>
      <c r="NS15" s="216"/>
      <c r="NT15" s="216"/>
      <c r="NU15" s="216"/>
      <c r="NV15" s="216"/>
      <c r="NW15" s="216"/>
      <c r="NX15" s="216"/>
      <c r="NY15" s="216"/>
      <c r="NZ15" s="216"/>
      <c r="OA15" s="216"/>
      <c r="OB15" s="216"/>
      <c r="OC15" s="216"/>
      <c r="OD15" s="216"/>
      <c r="OE15" s="216"/>
      <c r="OF15" s="216"/>
      <c r="OG15" s="216"/>
      <c r="OH15" s="216"/>
      <c r="OI15" s="216"/>
      <c r="OJ15" s="216"/>
      <c r="OK15" s="216"/>
      <c r="OL15" s="216"/>
      <c r="OM15" s="216"/>
      <c r="ON15" s="216"/>
      <c r="OO15" s="216"/>
      <c r="OP15" s="216"/>
      <c r="OQ15" s="216"/>
      <c r="OR15" s="216"/>
      <c r="OS15" s="216"/>
      <c r="OT15" s="216"/>
      <c r="OU15" s="216"/>
      <c r="OV15" s="216"/>
      <c r="OW15" s="216"/>
      <c r="OX15" s="216"/>
      <c r="OY15" s="216"/>
      <c r="OZ15" s="216"/>
      <c r="PA15" s="216"/>
      <c r="PB15" s="216"/>
      <c r="PC15" s="216"/>
      <c r="PD15" s="216"/>
      <c r="PE15" s="216"/>
      <c r="PF15" s="216"/>
      <c r="PG15" s="216"/>
      <c r="PH15" s="216"/>
      <c r="PI15" s="216"/>
      <c r="PJ15" s="216"/>
      <c r="PK15" s="216"/>
      <c r="PL15" s="216"/>
      <c r="PM15" s="216"/>
      <c r="PN15" s="216"/>
      <c r="PO15" s="216"/>
      <c r="PP15" s="216"/>
      <c r="PQ15" s="216"/>
      <c r="PR15" s="216"/>
      <c r="PS15" s="216"/>
      <c r="PT15" s="216"/>
      <c r="PU15" s="216"/>
      <c r="PV15" s="216"/>
      <c r="PW15" s="216"/>
      <c r="PX15" s="216"/>
      <c r="PY15" s="216"/>
      <c r="PZ15" s="216"/>
      <c r="QA15" s="216"/>
      <c r="QB15" s="216"/>
      <c r="QC15" s="216"/>
      <c r="QD15" s="216"/>
      <c r="QE15" s="216"/>
      <c r="QF15" s="216"/>
      <c r="QG15" s="216"/>
      <c r="QH15" s="216"/>
      <c r="QI15" s="216"/>
      <c r="QJ15" s="216"/>
      <c r="QK15" s="216"/>
      <c r="QL15" s="216"/>
      <c r="QM15" s="216"/>
      <c r="QN15" s="216"/>
      <c r="QO15" s="216"/>
      <c r="QP15" s="216"/>
      <c r="QQ15" s="216"/>
      <c r="QR15" s="216"/>
      <c r="QS15" s="216"/>
      <c r="QT15" s="216"/>
      <c r="QU15" s="216"/>
      <c r="QV15" s="216"/>
      <c r="QW15" s="216"/>
      <c r="QX15" s="216"/>
      <c r="QY15" s="216"/>
      <c r="QZ15" s="216"/>
      <c r="RA15" s="216"/>
      <c r="RB15" s="216"/>
      <c r="RC15" s="216"/>
      <c r="RD15" s="216"/>
      <c r="RE15" s="216"/>
      <c r="RF15" s="216"/>
      <c r="RG15" s="216"/>
      <c r="RH15" s="216"/>
      <c r="RI15" s="216"/>
      <c r="RJ15" s="216"/>
      <c r="RK15" s="216"/>
      <c r="RL15" s="216"/>
      <c r="RM15" s="216"/>
      <c r="RN15" s="216"/>
      <c r="RO15" s="216"/>
      <c r="RP15" s="216"/>
      <c r="RQ15" s="216"/>
      <c r="RR15" s="216"/>
      <c r="RS15" s="216"/>
      <c r="RT15" s="216"/>
      <c r="RU15" s="216"/>
      <c r="RV15" s="216"/>
      <c r="RW15" s="216"/>
      <c r="RX15" s="216"/>
      <c r="RY15" s="216"/>
      <c r="RZ15" s="216"/>
      <c r="SA15" s="216"/>
      <c r="SB15" s="216"/>
      <c r="SC15" s="216"/>
      <c r="SD15" s="216"/>
      <c r="SE15" s="216"/>
      <c r="SF15" s="216"/>
      <c r="SG15" s="216"/>
      <c r="SH15" s="216"/>
      <c r="SI15" s="216"/>
      <c r="SJ15" s="216"/>
      <c r="SK15" s="216"/>
      <c r="SL15" s="216"/>
      <c r="SM15" s="216"/>
      <c r="SN15" s="216"/>
      <c r="SO15" s="216"/>
      <c r="SP15" s="216"/>
      <c r="SQ15" s="216"/>
      <c r="SR15" s="216"/>
      <c r="SS15" s="216"/>
      <c r="ST15" s="216"/>
      <c r="SU15" s="216"/>
      <c r="SV15" s="216"/>
      <c r="SW15" s="216"/>
      <c r="SX15" s="216"/>
      <c r="SY15" s="216"/>
      <c r="SZ15" s="216"/>
      <c r="TA15" s="216"/>
      <c r="TB15" s="216"/>
      <c r="TC15" s="216"/>
      <c r="TD15" s="216"/>
      <c r="TE15" s="216"/>
      <c r="TF15" s="216"/>
      <c r="TG15" s="216"/>
      <c r="TH15" s="216"/>
      <c r="TI15" s="216"/>
      <c r="TJ15" s="216"/>
      <c r="TK15" s="216"/>
      <c r="TL15" s="216"/>
      <c r="TM15" s="216"/>
      <c r="TN15" s="216"/>
      <c r="TO15" s="216"/>
      <c r="TP15" s="216"/>
      <c r="TQ15" s="216"/>
      <c r="TR15" s="216"/>
      <c r="TS15" s="216"/>
      <c r="TT15" s="216"/>
      <c r="TU15" s="216"/>
      <c r="TV15" s="216"/>
      <c r="TW15" s="216"/>
      <c r="TX15" s="216"/>
      <c r="TY15" s="216"/>
      <c r="TZ15" s="216"/>
      <c r="UA15" s="216"/>
      <c r="UB15" s="216"/>
      <c r="UC15" s="216"/>
      <c r="UD15" s="216"/>
      <c r="UE15" s="216"/>
      <c r="UF15" s="216"/>
      <c r="UG15" s="216"/>
      <c r="UH15" s="216"/>
      <c r="UI15" s="216"/>
      <c r="UJ15" s="216"/>
      <c r="UK15" s="216"/>
      <c r="UL15" s="216"/>
      <c r="UM15" s="216"/>
      <c r="UN15" s="216"/>
      <c r="UO15" s="216"/>
      <c r="UP15" s="216"/>
      <c r="UQ15" s="216"/>
      <c r="UR15" s="216"/>
      <c r="US15" s="216"/>
      <c r="UT15" s="216"/>
      <c r="UU15" s="216"/>
      <c r="UV15" s="216"/>
      <c r="UW15" s="216"/>
      <c r="UX15" s="216"/>
      <c r="UY15" s="216"/>
      <c r="UZ15" s="216"/>
      <c r="VA15" s="216"/>
      <c r="VB15" s="216"/>
      <c r="VC15" s="216"/>
      <c r="VD15" s="216"/>
      <c r="VE15" s="216"/>
      <c r="VF15" s="216"/>
      <c r="VG15" s="216"/>
      <c r="VH15" s="216"/>
      <c r="VI15" s="216"/>
      <c r="VJ15" s="216"/>
      <c r="VK15" s="216"/>
      <c r="VL15" s="216"/>
      <c r="VM15" s="216"/>
      <c r="VN15" s="216"/>
      <c r="VO15" s="216"/>
      <c r="VP15" s="216"/>
      <c r="VQ15" s="216"/>
      <c r="VR15" s="216"/>
      <c r="VS15" s="216"/>
      <c r="VT15" s="216"/>
      <c r="VU15" s="216"/>
      <c r="VV15" s="216"/>
      <c r="VW15" s="216"/>
      <c r="VX15" s="216"/>
    </row>
    <row r="16" spans="2:596" ht="18" customHeight="1">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c r="FU16" s="216"/>
      <c r="FV16" s="216"/>
      <c r="FW16" s="216"/>
      <c r="FX16" s="216"/>
      <c r="FY16" s="216"/>
      <c r="FZ16" s="216"/>
      <c r="GA16" s="216"/>
      <c r="GB16" s="216"/>
      <c r="GC16" s="216"/>
      <c r="GD16" s="216"/>
      <c r="GE16" s="216"/>
      <c r="GF16" s="216"/>
      <c r="GG16" s="216"/>
      <c r="GH16" s="216"/>
      <c r="GI16" s="216"/>
      <c r="GJ16" s="216"/>
      <c r="GK16" s="216"/>
      <c r="GL16" s="216"/>
      <c r="GM16" s="216"/>
      <c r="GN16" s="216"/>
      <c r="GO16" s="216"/>
      <c r="GP16" s="216"/>
      <c r="GQ16" s="216"/>
      <c r="GR16" s="216"/>
      <c r="GS16" s="216"/>
      <c r="GT16" s="216"/>
      <c r="GU16" s="216"/>
      <c r="GV16" s="216"/>
      <c r="GW16" s="216"/>
      <c r="GX16" s="216"/>
      <c r="GY16" s="216"/>
      <c r="GZ16" s="216"/>
      <c r="HA16" s="216"/>
      <c r="HB16" s="216"/>
      <c r="HC16" s="216"/>
      <c r="HD16" s="216"/>
      <c r="HE16" s="216"/>
      <c r="HF16" s="216"/>
      <c r="HG16" s="216"/>
      <c r="HH16" s="216"/>
      <c r="HI16" s="216"/>
      <c r="HJ16" s="216"/>
      <c r="HK16" s="216"/>
      <c r="HL16" s="216"/>
      <c r="HM16" s="216"/>
      <c r="HN16" s="216"/>
      <c r="HO16" s="216"/>
      <c r="HP16" s="216"/>
      <c r="HQ16" s="216"/>
      <c r="HR16" s="216"/>
      <c r="HS16" s="216"/>
      <c r="HT16" s="216"/>
      <c r="HU16" s="216"/>
      <c r="HV16" s="216"/>
      <c r="HW16" s="216"/>
      <c r="HX16" s="216"/>
      <c r="HY16" s="216"/>
      <c r="HZ16" s="216"/>
      <c r="IA16" s="216"/>
      <c r="IB16" s="216"/>
      <c r="IC16" s="216"/>
      <c r="ID16" s="216"/>
      <c r="IE16" s="216"/>
      <c r="IF16" s="216"/>
      <c r="IG16" s="216"/>
      <c r="IH16" s="216"/>
      <c r="II16" s="216"/>
      <c r="IJ16" s="216"/>
      <c r="IK16" s="216"/>
      <c r="IL16" s="216"/>
      <c r="IM16" s="216"/>
      <c r="IN16" s="216"/>
      <c r="IO16" s="216"/>
      <c r="IP16" s="216"/>
      <c r="IQ16" s="216"/>
      <c r="IR16" s="216"/>
      <c r="IS16" s="216"/>
      <c r="IT16" s="216"/>
      <c r="IU16" s="216"/>
      <c r="IV16" s="216"/>
      <c r="IW16" s="216"/>
      <c r="IX16" s="216"/>
      <c r="IY16" s="216"/>
      <c r="IZ16" s="216"/>
      <c r="JA16" s="216"/>
      <c r="JB16" s="216"/>
      <c r="JC16" s="216"/>
      <c r="JD16" s="216"/>
      <c r="JE16" s="216"/>
      <c r="JF16" s="216"/>
      <c r="JG16" s="216"/>
      <c r="JH16" s="216"/>
      <c r="JI16" s="216"/>
      <c r="JJ16" s="216"/>
      <c r="JK16" s="216"/>
      <c r="JL16" s="216"/>
      <c r="JM16" s="216"/>
      <c r="JN16" s="216"/>
      <c r="JO16" s="216"/>
      <c r="JP16" s="216"/>
      <c r="JQ16" s="216"/>
      <c r="JR16" s="216"/>
      <c r="JS16" s="216"/>
      <c r="JT16" s="216"/>
      <c r="JU16" s="216"/>
      <c r="JV16" s="216"/>
      <c r="JW16" s="216"/>
      <c r="JX16" s="216"/>
      <c r="JY16" s="216"/>
      <c r="JZ16" s="216"/>
      <c r="KA16" s="216"/>
      <c r="KB16" s="216"/>
      <c r="KC16" s="216"/>
      <c r="KD16" s="216"/>
      <c r="KE16" s="216"/>
      <c r="KF16" s="216"/>
      <c r="KG16" s="216"/>
      <c r="KH16" s="216"/>
      <c r="KI16" s="216"/>
      <c r="KJ16" s="216"/>
      <c r="KK16" s="216"/>
      <c r="KL16" s="216"/>
      <c r="KM16" s="216"/>
      <c r="KN16" s="216"/>
      <c r="KO16" s="216"/>
      <c r="KP16" s="216"/>
      <c r="KQ16" s="216"/>
      <c r="KR16" s="216"/>
      <c r="KS16" s="216"/>
      <c r="KT16" s="216"/>
      <c r="KU16" s="216"/>
      <c r="KV16" s="216"/>
      <c r="KW16" s="216"/>
      <c r="KX16" s="216"/>
      <c r="KY16" s="216"/>
      <c r="KZ16" s="216"/>
      <c r="LA16" s="216"/>
      <c r="LB16" s="216"/>
      <c r="LC16" s="216"/>
      <c r="LD16" s="216"/>
      <c r="LE16" s="216"/>
      <c r="LF16" s="216"/>
      <c r="LG16" s="216"/>
      <c r="LH16" s="216"/>
      <c r="LI16" s="216"/>
      <c r="LJ16" s="216"/>
      <c r="LK16" s="216"/>
      <c r="LL16" s="216"/>
      <c r="LM16" s="216"/>
      <c r="LN16" s="216"/>
      <c r="LO16" s="216"/>
      <c r="LP16" s="216"/>
      <c r="LQ16" s="216"/>
      <c r="LR16" s="216"/>
      <c r="LS16" s="216"/>
      <c r="LT16" s="216"/>
      <c r="LU16" s="216"/>
      <c r="LV16" s="216"/>
      <c r="LW16" s="216"/>
      <c r="LX16" s="216"/>
      <c r="LY16" s="216"/>
      <c r="LZ16" s="216"/>
      <c r="MA16" s="216"/>
      <c r="MB16" s="216"/>
      <c r="MC16" s="216"/>
      <c r="MD16" s="216"/>
      <c r="ME16" s="216"/>
      <c r="MF16" s="216"/>
      <c r="MG16" s="216"/>
      <c r="MH16" s="216"/>
      <c r="MI16" s="216"/>
      <c r="MJ16" s="216"/>
      <c r="MK16" s="216"/>
      <c r="ML16" s="216"/>
      <c r="MM16" s="216"/>
      <c r="MN16" s="216"/>
      <c r="MO16" s="216"/>
      <c r="MP16" s="216"/>
      <c r="MQ16" s="216"/>
      <c r="MR16" s="216"/>
      <c r="MS16" s="216"/>
      <c r="MT16" s="216"/>
      <c r="MU16" s="216"/>
      <c r="MV16" s="216"/>
      <c r="MW16" s="216"/>
      <c r="MX16" s="216"/>
      <c r="MY16" s="216"/>
      <c r="MZ16" s="216"/>
      <c r="NA16" s="216"/>
      <c r="NB16" s="216"/>
      <c r="NC16" s="216"/>
      <c r="ND16" s="216"/>
      <c r="NE16" s="216"/>
      <c r="NF16" s="216"/>
      <c r="NG16" s="216"/>
      <c r="NH16" s="216"/>
      <c r="NI16" s="216"/>
      <c r="NJ16" s="216"/>
      <c r="NK16" s="216"/>
      <c r="NL16" s="216"/>
      <c r="NM16" s="216"/>
      <c r="NN16" s="216"/>
      <c r="NO16" s="216"/>
      <c r="NP16" s="216"/>
      <c r="NQ16" s="216"/>
      <c r="NR16" s="216"/>
      <c r="NS16" s="216"/>
      <c r="NT16" s="216"/>
      <c r="NU16" s="216"/>
      <c r="NV16" s="216"/>
      <c r="NW16" s="216"/>
      <c r="NX16" s="216"/>
      <c r="NY16" s="216"/>
      <c r="NZ16" s="216"/>
      <c r="OA16" s="216"/>
      <c r="OB16" s="216"/>
      <c r="OC16" s="216"/>
      <c r="OD16" s="216"/>
      <c r="OE16" s="216"/>
      <c r="OF16" s="216"/>
      <c r="OG16" s="216"/>
      <c r="OH16" s="216"/>
      <c r="OI16" s="216"/>
      <c r="OJ16" s="216"/>
      <c r="OK16" s="216"/>
      <c r="OL16" s="216"/>
      <c r="OM16" s="216"/>
      <c r="ON16" s="216"/>
      <c r="OO16" s="216"/>
      <c r="OP16" s="216"/>
      <c r="OQ16" s="216"/>
      <c r="OR16" s="216"/>
      <c r="OS16" s="216"/>
      <c r="OT16" s="216"/>
      <c r="OU16" s="216"/>
      <c r="OV16" s="216"/>
      <c r="OW16" s="216"/>
      <c r="OX16" s="216"/>
      <c r="OY16" s="216"/>
      <c r="OZ16" s="216"/>
      <c r="PA16" s="216"/>
      <c r="PB16" s="216"/>
      <c r="PC16" s="216"/>
      <c r="PD16" s="216"/>
      <c r="PE16" s="216"/>
      <c r="PF16" s="216"/>
      <c r="PG16" s="216"/>
      <c r="PH16" s="216"/>
      <c r="PI16" s="216"/>
      <c r="PJ16" s="216"/>
      <c r="PK16" s="216"/>
      <c r="PL16" s="216"/>
      <c r="PM16" s="216"/>
      <c r="PN16" s="216"/>
      <c r="PO16" s="216"/>
      <c r="PP16" s="216"/>
      <c r="PQ16" s="216"/>
      <c r="PR16" s="216"/>
      <c r="PS16" s="216"/>
      <c r="PT16" s="216"/>
      <c r="PU16" s="216"/>
      <c r="PV16" s="216"/>
      <c r="PW16" s="216"/>
      <c r="PX16" s="216"/>
      <c r="PY16" s="216"/>
      <c r="PZ16" s="216"/>
      <c r="QA16" s="216"/>
      <c r="QB16" s="216"/>
      <c r="QC16" s="216"/>
      <c r="QD16" s="216"/>
      <c r="QE16" s="216"/>
      <c r="QF16" s="216"/>
      <c r="QG16" s="216"/>
      <c r="QH16" s="216"/>
      <c r="QI16" s="216"/>
      <c r="QJ16" s="216"/>
      <c r="QK16" s="216"/>
      <c r="QL16" s="216"/>
      <c r="QM16" s="216"/>
      <c r="QN16" s="216"/>
      <c r="QO16" s="216"/>
      <c r="QP16" s="216"/>
      <c r="QQ16" s="216"/>
      <c r="QR16" s="216"/>
      <c r="QS16" s="216"/>
      <c r="QT16" s="216"/>
      <c r="QU16" s="216"/>
      <c r="QV16" s="216"/>
      <c r="QW16" s="216"/>
      <c r="QX16" s="216"/>
      <c r="QY16" s="216"/>
      <c r="QZ16" s="216"/>
      <c r="RA16" s="216"/>
      <c r="RB16" s="216"/>
      <c r="RC16" s="216"/>
      <c r="RD16" s="216"/>
      <c r="RE16" s="216"/>
      <c r="RF16" s="216"/>
      <c r="RG16" s="216"/>
      <c r="RH16" s="216"/>
      <c r="RI16" s="216"/>
      <c r="RJ16" s="216"/>
      <c r="RK16" s="216"/>
      <c r="RL16" s="216"/>
      <c r="RM16" s="216"/>
      <c r="RN16" s="216"/>
      <c r="RO16" s="216"/>
      <c r="RP16" s="216"/>
      <c r="RQ16" s="216"/>
      <c r="RR16" s="216"/>
      <c r="RS16" s="216"/>
      <c r="RT16" s="216"/>
      <c r="RU16" s="216"/>
      <c r="RV16" s="216"/>
      <c r="RW16" s="216"/>
      <c r="RX16" s="216"/>
      <c r="RY16" s="216"/>
      <c r="RZ16" s="216"/>
      <c r="SA16" s="216"/>
      <c r="SB16" s="216"/>
      <c r="SC16" s="216"/>
      <c r="SD16" s="216"/>
      <c r="SE16" s="216"/>
      <c r="SF16" s="216"/>
      <c r="SG16" s="216"/>
      <c r="SH16" s="216"/>
      <c r="SI16" s="216"/>
      <c r="SJ16" s="216"/>
      <c r="SK16" s="216"/>
      <c r="SL16" s="216"/>
      <c r="SM16" s="216"/>
      <c r="SN16" s="216"/>
      <c r="SO16" s="216"/>
      <c r="SP16" s="216"/>
      <c r="SQ16" s="216"/>
      <c r="SR16" s="216"/>
      <c r="SS16" s="216"/>
      <c r="ST16" s="216"/>
      <c r="SU16" s="216"/>
      <c r="SV16" s="216"/>
      <c r="SW16" s="216"/>
      <c r="SX16" s="216"/>
      <c r="SY16" s="216"/>
      <c r="SZ16" s="216"/>
      <c r="TA16" s="216"/>
      <c r="TB16" s="216"/>
      <c r="TC16" s="216"/>
      <c r="TD16" s="216"/>
      <c r="TE16" s="216"/>
      <c r="TF16" s="216"/>
      <c r="TG16" s="216"/>
      <c r="TH16" s="216"/>
      <c r="TI16" s="216"/>
      <c r="TJ16" s="216"/>
      <c r="TK16" s="216"/>
      <c r="TL16" s="216"/>
      <c r="TM16" s="216"/>
      <c r="TN16" s="216"/>
      <c r="TO16" s="216"/>
      <c r="TP16" s="216"/>
      <c r="TQ16" s="216"/>
      <c r="TR16" s="216"/>
      <c r="TS16" s="216"/>
      <c r="TT16" s="216"/>
      <c r="TU16" s="216"/>
      <c r="TV16" s="216"/>
      <c r="TW16" s="216"/>
      <c r="TX16" s="216"/>
      <c r="TY16" s="216"/>
      <c r="TZ16" s="216"/>
      <c r="UA16" s="216"/>
      <c r="UB16" s="216"/>
      <c r="UC16" s="216"/>
      <c r="UD16" s="216"/>
      <c r="UE16" s="216"/>
      <c r="UF16" s="216"/>
      <c r="UG16" s="216"/>
      <c r="UH16" s="216"/>
      <c r="UI16" s="216"/>
      <c r="UJ16" s="216"/>
      <c r="UK16" s="216"/>
      <c r="UL16" s="216"/>
      <c r="UM16" s="216"/>
      <c r="UN16" s="216"/>
      <c r="UO16" s="216"/>
      <c r="UP16" s="216"/>
      <c r="UQ16" s="216"/>
      <c r="UR16" s="216"/>
      <c r="US16" s="216"/>
      <c r="UT16" s="216"/>
      <c r="UU16" s="216"/>
      <c r="UV16" s="216"/>
      <c r="UW16" s="216"/>
      <c r="UX16" s="216"/>
      <c r="UY16" s="216"/>
      <c r="UZ16" s="216"/>
      <c r="VA16" s="216"/>
      <c r="VB16" s="216"/>
      <c r="VC16" s="216"/>
      <c r="VD16" s="216"/>
      <c r="VE16" s="216"/>
      <c r="VF16" s="216"/>
      <c r="VG16" s="216"/>
      <c r="VH16" s="216"/>
      <c r="VI16" s="216"/>
      <c r="VJ16" s="216"/>
      <c r="VK16" s="216"/>
      <c r="VL16" s="216"/>
      <c r="VM16" s="216"/>
      <c r="VN16" s="216"/>
      <c r="VO16" s="216"/>
      <c r="VP16" s="216"/>
      <c r="VQ16" s="216"/>
      <c r="VR16" s="216"/>
      <c r="VS16" s="216"/>
      <c r="VT16" s="216"/>
      <c r="VU16" s="216"/>
      <c r="VV16" s="216"/>
      <c r="VW16" s="216"/>
      <c r="VX16" s="216"/>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2:DV74"/>
  <sheetViews>
    <sheetView topLeftCell="V22" workbookViewId="0">
      <selection activeCell="AM29" sqref="AM29"/>
    </sheetView>
  </sheetViews>
  <sheetFormatPr defaultColWidth="9.3984375" defaultRowHeight="18" customHeight="1"/>
  <cols>
    <col min="1" max="1" width="3.69921875" style="86" customWidth="1"/>
    <col min="2" max="2" width="10.69921875" style="86" customWidth="1"/>
    <col min="3" max="3" width="3.69921875" style="86" customWidth="1"/>
    <col min="4" max="4" width="10.69921875" style="87" customWidth="1"/>
    <col min="5" max="5" width="14.69921875" style="87" customWidth="1"/>
    <col min="6" max="6" width="18.69921875" style="86" customWidth="1"/>
    <col min="7" max="7" width="12.59765625" style="88" customWidth="1"/>
    <col min="8" max="12" width="9.3984375" style="86"/>
    <col min="13" max="13" width="3.69921875" style="86" customWidth="1"/>
    <col min="14" max="14" width="15.69921875" style="86" customWidth="1"/>
    <col min="15" max="15" width="3.69921875" style="86" customWidth="1"/>
    <col min="16" max="16" width="6.09765625" style="86" customWidth="1"/>
    <col min="17" max="17" width="10.69921875" style="86" customWidth="1"/>
    <col min="18" max="18" width="20.69921875" style="86" customWidth="1"/>
    <col min="19" max="19" width="30.3984375" style="86" customWidth="1"/>
    <col min="20" max="20" width="9.69921875" style="86" customWidth="1"/>
    <col min="21" max="23" width="3.09765625" style="86" customWidth="1"/>
    <col min="24" max="24" width="14.69921875" style="88" customWidth="1"/>
    <col min="25" max="30" width="9.09765625" style="88" customWidth="1"/>
    <col min="31" max="31" width="9.09765625" style="86" customWidth="1"/>
    <col min="32" max="34" width="3.09765625" style="86" customWidth="1"/>
    <col min="35" max="36" width="10.69921875" style="88" customWidth="1"/>
    <col min="37" max="43" width="10.69921875" style="86" customWidth="1"/>
    <col min="44" max="45" width="10.69921875" style="88" customWidth="1"/>
    <col min="46" max="56" width="10.69921875" style="86" customWidth="1"/>
    <col min="57" max="57" width="10.69921875" style="87" customWidth="1"/>
    <col min="58" max="64" width="10.69921875" style="86" customWidth="1"/>
    <col min="65" max="65" width="10.69921875" style="87" customWidth="1"/>
    <col min="66" max="74" width="10.69921875" style="86" customWidth="1"/>
    <col min="75" max="75" width="10.69921875" style="87" customWidth="1"/>
    <col min="76" max="79" width="10.69921875" style="86" customWidth="1"/>
    <col min="80" max="81" width="10.69921875" style="88" customWidth="1"/>
    <col min="82" max="88" width="10.69921875" style="86" customWidth="1"/>
    <col min="89" max="90" width="10.69921875" style="88" customWidth="1"/>
    <col min="91" max="95" width="10.69921875" style="86" customWidth="1"/>
    <col min="96" max="16384" width="9.3984375" style="86"/>
  </cols>
  <sheetData>
    <row r="2" spans="2:95" s="85" customFormat="1" ht="18" customHeight="1" thickBot="1">
      <c r="B2" s="82" t="s">
        <v>28</v>
      </c>
      <c r="C2" s="82"/>
      <c r="D2" s="83"/>
      <c r="E2" s="83"/>
      <c r="F2" s="82"/>
      <c r="G2" s="84"/>
      <c r="H2" s="82"/>
      <c r="I2" s="82"/>
      <c r="J2" s="82"/>
      <c r="K2" s="82"/>
      <c r="L2" s="82"/>
      <c r="N2" s="82" t="s">
        <v>29</v>
      </c>
      <c r="O2" s="82"/>
      <c r="P2" s="82"/>
      <c r="Q2" s="82"/>
      <c r="R2" s="82"/>
      <c r="S2" s="82"/>
      <c r="T2" s="82"/>
      <c r="V2" s="82" t="s">
        <v>30</v>
      </c>
      <c r="W2" s="82"/>
      <c r="X2" s="84"/>
      <c r="Y2" s="84"/>
      <c r="Z2" s="84"/>
      <c r="AA2" s="84"/>
      <c r="AB2" s="84"/>
      <c r="AC2" s="84"/>
      <c r="AD2" s="84"/>
      <c r="AE2" s="84"/>
      <c r="AG2" s="82" t="s">
        <v>31</v>
      </c>
      <c r="AH2" s="82"/>
      <c r="AI2" s="84"/>
      <c r="AJ2" s="84"/>
      <c r="AK2" s="82"/>
      <c r="AL2" s="82"/>
      <c r="AM2" s="82"/>
      <c r="AN2" s="82"/>
      <c r="AO2" s="82"/>
      <c r="AP2" s="82"/>
      <c r="AQ2" s="82"/>
      <c r="AR2" s="84"/>
      <c r="AS2" s="84"/>
      <c r="AT2" s="82"/>
      <c r="AU2" s="82"/>
      <c r="AV2" s="82"/>
      <c r="AW2" s="82"/>
      <c r="AX2" s="82"/>
      <c r="AY2" s="82"/>
      <c r="AZ2" s="82"/>
      <c r="BA2" s="82"/>
      <c r="BB2" s="82"/>
      <c r="BC2" s="82"/>
      <c r="BD2" s="82"/>
      <c r="BE2" s="83"/>
      <c r="BF2" s="82"/>
      <c r="BG2" s="82"/>
      <c r="BH2" s="82"/>
      <c r="BI2" s="82"/>
      <c r="BJ2" s="82"/>
      <c r="BK2" s="82"/>
      <c r="BL2" s="82"/>
      <c r="BM2" s="83"/>
      <c r="BN2" s="82"/>
      <c r="BO2" s="82"/>
      <c r="BP2" s="82"/>
      <c r="BQ2" s="82"/>
      <c r="BR2" s="82"/>
      <c r="BS2" s="82"/>
      <c r="BT2" s="82"/>
      <c r="BU2" s="82"/>
      <c r="BV2" s="82"/>
      <c r="BW2" s="83"/>
      <c r="BX2" s="82"/>
      <c r="BY2" s="82"/>
      <c r="BZ2" s="82"/>
      <c r="CA2" s="82"/>
      <c r="CB2" s="84"/>
      <c r="CC2" s="84"/>
      <c r="CD2" s="82"/>
      <c r="CE2" s="82"/>
      <c r="CF2" s="82"/>
      <c r="CG2" s="82"/>
      <c r="CH2" s="82"/>
      <c r="CI2" s="82"/>
      <c r="CJ2" s="82"/>
      <c r="CK2" s="84"/>
      <c r="CL2" s="84"/>
      <c r="CM2" s="82"/>
      <c r="CN2" s="82"/>
      <c r="CO2" s="82"/>
      <c r="CP2" s="82"/>
      <c r="CQ2" s="82"/>
    </row>
    <row r="3" spans="2:95" ht="18" customHeight="1">
      <c r="J3" s="89" t="s">
        <v>32</v>
      </c>
      <c r="K3" s="89" t="s">
        <v>33</v>
      </c>
    </row>
    <row r="4" spans="2:95" ht="18" customHeight="1">
      <c r="B4" s="1263" t="s">
        <v>34</v>
      </c>
      <c r="C4" s="1226" t="s">
        <v>35</v>
      </c>
      <c r="D4" s="1226"/>
      <c r="E4" s="1226"/>
      <c r="F4" s="1266" t="s">
        <v>36</v>
      </c>
      <c r="G4" s="1266"/>
      <c r="H4" s="1266"/>
      <c r="I4" s="1267" t="s">
        <v>37</v>
      </c>
      <c r="J4" s="1266" t="s">
        <v>38</v>
      </c>
      <c r="K4" s="1266"/>
      <c r="L4" s="1266"/>
      <c r="N4" s="1251" t="s">
        <v>39</v>
      </c>
      <c r="O4" s="1252"/>
      <c r="P4" s="1252"/>
      <c r="Q4" s="1253"/>
      <c r="R4" s="1246" t="s">
        <v>40</v>
      </c>
      <c r="S4" s="1246"/>
      <c r="T4" s="92" t="s">
        <v>41</v>
      </c>
      <c r="V4" s="93" t="s">
        <v>42</v>
      </c>
      <c r="W4" s="93"/>
      <c r="AG4" s="93" t="str">
        <f>V4</f>
        <v>1.温室効果ガス排出量</v>
      </c>
      <c r="AJ4" s="94"/>
      <c r="BA4" s="93"/>
      <c r="BE4" s="95"/>
      <c r="BW4" s="95"/>
    </row>
    <row r="5" spans="2:95" ht="18" customHeight="1">
      <c r="B5" s="1264"/>
      <c r="C5" s="1226"/>
      <c r="D5" s="1226"/>
      <c r="E5" s="1226"/>
      <c r="F5" s="1266"/>
      <c r="G5" s="1266"/>
      <c r="H5" s="1266"/>
      <c r="I5" s="1267"/>
      <c r="J5" s="213"/>
      <c r="K5" s="213"/>
      <c r="L5" s="91"/>
      <c r="N5" s="1247" t="s">
        <v>43</v>
      </c>
      <c r="O5" s="1248">
        <v>7</v>
      </c>
      <c r="P5" s="1249" t="s">
        <v>44</v>
      </c>
      <c r="Q5" s="1250" t="s">
        <v>45</v>
      </c>
      <c r="R5" s="1257" t="s">
        <v>46</v>
      </c>
      <c r="S5" s="1260" t="s">
        <v>33</v>
      </c>
      <c r="T5" s="1227" t="s">
        <v>47</v>
      </c>
      <c r="V5" s="93"/>
      <c r="W5" s="93"/>
      <c r="AF5" s="93"/>
      <c r="AJ5" s="94"/>
      <c r="BA5" s="93"/>
      <c r="BE5" s="95"/>
      <c r="BW5" s="95"/>
    </row>
    <row r="6" spans="2:95" ht="18" customHeight="1">
      <c r="B6" s="1265"/>
      <c r="C6" s="96" t="s">
        <v>48</v>
      </c>
      <c r="D6" s="97"/>
      <c r="E6" s="97" t="s">
        <v>49</v>
      </c>
      <c r="F6" s="1266"/>
      <c r="G6" s="1266"/>
      <c r="H6" s="1266"/>
      <c r="I6" s="1267"/>
      <c r="J6" s="90" t="s">
        <v>50</v>
      </c>
      <c r="K6" s="90"/>
      <c r="L6" s="90" t="s">
        <v>51</v>
      </c>
      <c r="N6" s="1247"/>
      <c r="O6" s="1248"/>
      <c r="P6" s="1249"/>
      <c r="Q6" s="1250"/>
      <c r="R6" s="1258"/>
      <c r="S6" s="1261"/>
      <c r="T6" s="1228"/>
      <c r="W6" s="93" t="s">
        <v>52</v>
      </c>
      <c r="AH6" s="93" t="s">
        <v>53</v>
      </c>
      <c r="BA6" s="93"/>
      <c r="BF6" s="87"/>
      <c r="BG6" s="87"/>
      <c r="BH6" s="87"/>
      <c r="BI6" s="87"/>
      <c r="BJ6" s="87"/>
      <c r="BK6" s="87"/>
      <c r="BN6" s="87"/>
      <c r="BO6" s="87"/>
      <c r="BP6" s="87"/>
      <c r="BQ6" s="87"/>
      <c r="BR6" s="87"/>
      <c r="BS6" s="87"/>
      <c r="BU6" s="87"/>
      <c r="BV6" s="87"/>
      <c r="BX6" s="87"/>
      <c r="BY6" s="87"/>
      <c r="BZ6" s="87"/>
      <c r="CA6" s="87"/>
    </row>
    <row r="7" spans="2:95" ht="18" customHeight="1">
      <c r="B7" s="1245" t="s">
        <v>54</v>
      </c>
      <c r="C7" s="1226" t="s">
        <v>55</v>
      </c>
      <c r="D7" s="1231" t="s">
        <v>56</v>
      </c>
      <c r="E7" s="1231" t="s">
        <v>57</v>
      </c>
      <c r="F7" s="98" t="s">
        <v>58</v>
      </c>
      <c r="G7" s="99">
        <v>1</v>
      </c>
      <c r="H7" s="100" t="s">
        <v>59</v>
      </c>
      <c r="I7" s="101">
        <v>5</v>
      </c>
      <c r="J7" s="1226" t="str">
        <f>J3</f>
        <v>●</v>
      </c>
      <c r="K7" s="1226"/>
      <c r="L7" s="1226" t="str">
        <f>J3</f>
        <v>●</v>
      </c>
      <c r="N7" s="1247"/>
      <c r="O7" s="1248"/>
      <c r="P7" s="1249"/>
      <c r="Q7" s="1250"/>
      <c r="R7" s="1258"/>
      <c r="S7" s="1261"/>
      <c r="T7" s="1228"/>
      <c r="X7" s="102" t="s">
        <v>60</v>
      </c>
      <c r="Y7" s="103" t="s">
        <v>61</v>
      </c>
      <c r="Z7" s="103" t="s">
        <v>62</v>
      </c>
      <c r="AA7" s="104" t="s">
        <v>51</v>
      </c>
      <c r="AB7" s="105"/>
      <c r="AC7" s="105"/>
      <c r="AD7" s="105"/>
      <c r="AI7" s="102" t="s">
        <v>63</v>
      </c>
      <c r="AJ7" s="103" t="s">
        <v>64</v>
      </c>
      <c r="AK7" s="106"/>
      <c r="AL7" s="103" t="s">
        <v>65</v>
      </c>
      <c r="AM7" s="103" t="s">
        <v>66</v>
      </c>
      <c r="AN7" s="103" t="s">
        <v>67</v>
      </c>
      <c r="AO7" s="103" t="s">
        <v>68</v>
      </c>
      <c r="AP7" s="104"/>
      <c r="BF7" s="87"/>
      <c r="BG7" s="87"/>
      <c r="BH7" s="87"/>
      <c r="BI7" s="87"/>
      <c r="BJ7" s="87"/>
      <c r="BK7" s="87"/>
      <c r="BN7" s="87"/>
      <c r="BO7" s="87"/>
      <c r="BP7" s="87"/>
      <c r="BQ7" s="87"/>
      <c r="BR7" s="87"/>
      <c r="BS7" s="87"/>
      <c r="BU7" s="87"/>
      <c r="BV7" s="87"/>
      <c r="BX7" s="87"/>
      <c r="BY7" s="87"/>
      <c r="BZ7" s="87"/>
      <c r="CA7" s="87"/>
    </row>
    <row r="8" spans="2:95" ht="18" customHeight="1">
      <c r="B8" s="1245"/>
      <c r="C8" s="1226"/>
      <c r="D8" s="1231"/>
      <c r="E8" s="1231"/>
      <c r="F8" s="98" t="s">
        <v>58</v>
      </c>
      <c r="G8" s="99">
        <v>0.75</v>
      </c>
      <c r="H8" s="100" t="s">
        <v>59</v>
      </c>
      <c r="I8" s="101">
        <v>4</v>
      </c>
      <c r="J8" s="1226"/>
      <c r="K8" s="1226"/>
      <c r="L8" s="1226"/>
      <c r="N8" s="1247"/>
      <c r="O8" s="1248"/>
      <c r="P8" s="1249"/>
      <c r="Q8" s="1250"/>
      <c r="R8" s="1258"/>
      <c r="S8" s="1261"/>
      <c r="T8" s="1228"/>
      <c r="X8" s="107" t="s">
        <v>69</v>
      </c>
      <c r="Y8" s="108">
        <v>4.8000000000000001E-2</v>
      </c>
      <c r="Z8" s="108">
        <v>6.7000000000000004E-2</v>
      </c>
      <c r="AA8" s="109">
        <v>1.2E-2</v>
      </c>
      <c r="AB8" s="105"/>
      <c r="AC8" s="105"/>
      <c r="AD8" s="105"/>
      <c r="AI8" s="107" t="s">
        <v>58</v>
      </c>
      <c r="AJ8" s="110">
        <f>G7</f>
        <v>1</v>
      </c>
      <c r="AK8" s="111" t="str">
        <f>H7</f>
        <v>以上</v>
      </c>
      <c r="AL8" s="112">
        <f>ROUND(AJ8*$Y$8,3)</f>
        <v>4.8000000000000001E-2</v>
      </c>
      <c r="AM8" s="112">
        <f>ROUND(AJ8*$Z$8,3)</f>
        <v>6.7000000000000004E-2</v>
      </c>
      <c r="AN8" s="112">
        <f>ROUND(AJ8*$AA$8,3)</f>
        <v>1.2E-2</v>
      </c>
      <c r="AO8" s="113">
        <f>I7</f>
        <v>5</v>
      </c>
      <c r="AP8" s="114" t="s">
        <v>70</v>
      </c>
      <c r="BF8" s="87"/>
      <c r="BG8" s="87"/>
      <c r="BH8" s="87"/>
      <c r="BI8" s="87"/>
      <c r="BJ8" s="87"/>
      <c r="BK8" s="87"/>
      <c r="BN8" s="87"/>
      <c r="BO8" s="87"/>
      <c r="BP8" s="87"/>
      <c r="BQ8" s="87"/>
      <c r="BR8" s="87"/>
      <c r="BS8" s="87"/>
      <c r="BU8" s="87"/>
      <c r="BV8" s="87"/>
      <c r="BX8" s="87"/>
      <c r="BY8" s="87"/>
      <c r="BZ8" s="87"/>
      <c r="CA8" s="87"/>
    </row>
    <row r="9" spans="2:95" ht="18" customHeight="1">
      <c r="B9" s="1245"/>
      <c r="C9" s="1226"/>
      <c r="D9" s="1231"/>
      <c r="E9" s="1231"/>
      <c r="F9" s="98" t="s">
        <v>58</v>
      </c>
      <c r="G9" s="99">
        <v>0.5</v>
      </c>
      <c r="H9" s="100" t="s">
        <v>59</v>
      </c>
      <c r="I9" s="101">
        <v>3</v>
      </c>
      <c r="J9" s="1226"/>
      <c r="K9" s="1226"/>
      <c r="L9" s="1226"/>
      <c r="N9" s="1247"/>
      <c r="O9" s="1248"/>
      <c r="P9" s="1249"/>
      <c r="Q9" s="1250"/>
      <c r="R9" s="1258"/>
      <c r="S9" s="1261"/>
      <c r="T9" s="1228"/>
      <c r="AI9" s="107" t="s">
        <v>58</v>
      </c>
      <c r="AJ9" s="110">
        <f t="shared" ref="AJ9:AK13" si="0">G8</f>
        <v>0.75</v>
      </c>
      <c r="AK9" s="111" t="str">
        <f t="shared" si="0"/>
        <v>以上</v>
      </c>
      <c r="AL9" s="112">
        <f>ROUND(AJ9*$Y$8,3)</f>
        <v>3.5999999999999997E-2</v>
      </c>
      <c r="AM9" s="112">
        <f t="shared" ref="AM9:AM13" si="1">ROUND(AJ9*$Z$8,3)</f>
        <v>0.05</v>
      </c>
      <c r="AN9" s="112">
        <f t="shared" ref="AN9:AN13" si="2">ROUND(AJ9*$AA$8,3)</f>
        <v>8.9999999999999993E-3</v>
      </c>
      <c r="AO9" s="113">
        <f t="shared" ref="AO9:AO13" si="3">I8</f>
        <v>4</v>
      </c>
      <c r="AP9" s="114" t="s">
        <v>70</v>
      </c>
      <c r="BF9" s="87"/>
      <c r="BG9" s="87"/>
      <c r="BH9" s="87"/>
      <c r="BI9" s="87"/>
      <c r="BJ9" s="87"/>
      <c r="BK9" s="87"/>
      <c r="BN9" s="87"/>
      <c r="BO9" s="87"/>
      <c r="BP9" s="87"/>
      <c r="BQ9" s="87"/>
      <c r="BR9" s="87"/>
      <c r="BS9" s="87"/>
      <c r="BU9" s="87"/>
      <c r="BV9" s="87"/>
      <c r="BX9" s="87"/>
      <c r="BY9" s="87"/>
      <c r="BZ9" s="87"/>
      <c r="CA9" s="87"/>
    </row>
    <row r="10" spans="2:95" ht="18" customHeight="1">
      <c r="B10" s="1245"/>
      <c r="C10" s="1226"/>
      <c r="D10" s="1231"/>
      <c r="E10" s="1231"/>
      <c r="F10" s="98" t="s">
        <v>58</v>
      </c>
      <c r="G10" s="99">
        <v>0.25</v>
      </c>
      <c r="H10" s="100" t="s">
        <v>59</v>
      </c>
      <c r="I10" s="101">
        <v>2</v>
      </c>
      <c r="J10" s="1226"/>
      <c r="K10" s="1226"/>
      <c r="L10" s="1226"/>
      <c r="N10" s="1247"/>
      <c r="O10" s="1248"/>
      <c r="P10" s="1249"/>
      <c r="Q10" s="1250"/>
      <c r="R10" s="1258"/>
      <c r="S10" s="1261"/>
      <c r="T10" s="1228"/>
      <c r="AI10" s="107" t="s">
        <v>58</v>
      </c>
      <c r="AJ10" s="110">
        <f t="shared" si="0"/>
        <v>0.5</v>
      </c>
      <c r="AK10" s="111" t="str">
        <f t="shared" si="0"/>
        <v>以上</v>
      </c>
      <c r="AL10" s="112">
        <f t="shared" ref="AL10:AL13" si="4">ROUND(AJ10*$Y$8,3)</f>
        <v>2.4E-2</v>
      </c>
      <c r="AM10" s="112">
        <f t="shared" si="1"/>
        <v>3.4000000000000002E-2</v>
      </c>
      <c r="AN10" s="112">
        <f t="shared" si="2"/>
        <v>6.0000000000000001E-3</v>
      </c>
      <c r="AO10" s="113">
        <f t="shared" si="3"/>
        <v>3</v>
      </c>
      <c r="AP10" s="114" t="s">
        <v>70</v>
      </c>
      <c r="BF10" s="87"/>
      <c r="BG10" s="87"/>
      <c r="BH10" s="87"/>
      <c r="BI10" s="87"/>
      <c r="BJ10" s="87"/>
      <c r="BK10" s="87"/>
      <c r="BN10" s="87"/>
      <c r="BO10" s="87"/>
      <c r="BP10" s="87"/>
      <c r="BQ10" s="87"/>
      <c r="BR10" s="87"/>
      <c r="BS10" s="87"/>
      <c r="BU10" s="87"/>
      <c r="BV10" s="87"/>
      <c r="BX10" s="87"/>
      <c r="BY10" s="87"/>
      <c r="BZ10" s="87"/>
      <c r="CA10" s="87"/>
    </row>
    <row r="11" spans="2:95" ht="18" customHeight="1">
      <c r="B11" s="1245"/>
      <c r="C11" s="1226"/>
      <c r="D11" s="1231"/>
      <c r="E11" s="1231"/>
      <c r="F11" s="98" t="s">
        <v>58</v>
      </c>
      <c r="G11" s="99">
        <v>0</v>
      </c>
      <c r="H11" s="100" t="s">
        <v>71</v>
      </c>
      <c r="I11" s="101">
        <v>1</v>
      </c>
      <c r="J11" s="1226"/>
      <c r="K11" s="1226"/>
      <c r="L11" s="1226"/>
      <c r="N11" s="1247"/>
      <c r="O11" s="1248"/>
      <c r="P11" s="1249"/>
      <c r="Q11" s="1250"/>
      <c r="R11" s="1259"/>
      <c r="S11" s="1262"/>
      <c r="T11" s="1229"/>
      <c r="AI11" s="107" t="s">
        <v>58</v>
      </c>
      <c r="AJ11" s="110">
        <f t="shared" si="0"/>
        <v>0.25</v>
      </c>
      <c r="AK11" s="111" t="str">
        <f t="shared" si="0"/>
        <v>以上</v>
      </c>
      <c r="AL11" s="112">
        <f t="shared" si="4"/>
        <v>1.2E-2</v>
      </c>
      <c r="AM11" s="112">
        <f t="shared" si="1"/>
        <v>1.7000000000000001E-2</v>
      </c>
      <c r="AN11" s="112">
        <f t="shared" si="2"/>
        <v>3.0000000000000001E-3</v>
      </c>
      <c r="AO11" s="113">
        <f t="shared" si="3"/>
        <v>2</v>
      </c>
      <c r="AP11" s="114" t="s">
        <v>70</v>
      </c>
      <c r="BF11" s="87"/>
      <c r="BG11" s="87"/>
      <c r="BH11" s="87"/>
      <c r="BI11" s="87"/>
      <c r="BJ11" s="87"/>
      <c r="BK11" s="87"/>
      <c r="BN11" s="87"/>
      <c r="BO11" s="87"/>
      <c r="BP11" s="87"/>
      <c r="BQ11" s="87"/>
      <c r="BR11" s="87"/>
      <c r="BS11" s="87"/>
      <c r="BU11" s="87"/>
      <c r="BV11" s="87"/>
      <c r="BX11" s="87"/>
      <c r="BY11" s="87"/>
      <c r="BZ11" s="87"/>
      <c r="CA11" s="87"/>
    </row>
    <row r="12" spans="2:95" ht="18" customHeight="1">
      <c r="B12" s="1245"/>
      <c r="C12" s="1226"/>
      <c r="D12" s="1231"/>
      <c r="E12" s="1231"/>
      <c r="F12" s="98" t="s">
        <v>58</v>
      </c>
      <c r="G12" s="99">
        <v>0</v>
      </c>
      <c r="H12" s="100" t="s">
        <v>72</v>
      </c>
      <c r="I12" s="101">
        <v>0</v>
      </c>
      <c r="J12" s="1226"/>
      <c r="K12" s="1226"/>
      <c r="L12" s="1226"/>
      <c r="N12" s="1247"/>
      <c r="O12" s="116">
        <v>3</v>
      </c>
      <c r="P12" s="117" t="s">
        <v>73</v>
      </c>
      <c r="Q12" s="1244" t="s">
        <v>74</v>
      </c>
      <c r="R12" s="1254" t="s">
        <v>75</v>
      </c>
      <c r="S12" s="96" t="s">
        <v>76</v>
      </c>
      <c r="T12" s="115" t="s">
        <v>47</v>
      </c>
      <c r="AE12" s="88"/>
      <c r="AI12" s="107" t="s">
        <v>58</v>
      </c>
      <c r="AJ12" s="110">
        <f t="shared" si="0"/>
        <v>0</v>
      </c>
      <c r="AK12" s="111" t="str">
        <f t="shared" si="0"/>
        <v>より大きい</v>
      </c>
      <c r="AL12" s="112">
        <f t="shared" si="4"/>
        <v>0</v>
      </c>
      <c r="AM12" s="112">
        <f t="shared" si="1"/>
        <v>0</v>
      </c>
      <c r="AN12" s="112">
        <f t="shared" si="2"/>
        <v>0</v>
      </c>
      <c r="AO12" s="113">
        <f t="shared" si="3"/>
        <v>1</v>
      </c>
      <c r="AP12" s="114" t="s">
        <v>70</v>
      </c>
      <c r="BA12" s="118"/>
      <c r="BB12" s="119"/>
      <c r="BC12" s="120"/>
      <c r="BF12" s="87"/>
      <c r="BG12" s="87"/>
      <c r="BH12" s="87"/>
      <c r="BI12" s="87"/>
      <c r="BJ12" s="87"/>
      <c r="BK12" s="87"/>
      <c r="BN12" s="87"/>
      <c r="BO12" s="87"/>
      <c r="BP12" s="87"/>
      <c r="BQ12" s="87"/>
      <c r="BR12" s="87"/>
      <c r="BS12" s="87"/>
      <c r="BU12" s="87"/>
      <c r="BV12" s="87"/>
      <c r="BX12" s="87"/>
      <c r="BY12" s="87"/>
      <c r="BZ12" s="87"/>
      <c r="CA12" s="87"/>
    </row>
    <row r="13" spans="2:95" ht="18" customHeight="1">
      <c r="B13" s="1245"/>
      <c r="C13" s="1226"/>
      <c r="D13" s="1231"/>
      <c r="E13" s="1231" t="s">
        <v>77</v>
      </c>
      <c r="F13" s="98" t="s">
        <v>58</v>
      </c>
      <c r="G13" s="99">
        <v>1</v>
      </c>
      <c r="H13" s="100" t="s">
        <v>59</v>
      </c>
      <c r="I13" s="101">
        <v>5</v>
      </c>
      <c r="J13" s="1226" t="str">
        <f>J3</f>
        <v>●</v>
      </c>
      <c r="K13" s="1226"/>
      <c r="L13" s="1226" t="str">
        <f>J3</f>
        <v>●</v>
      </c>
      <c r="N13" s="1247"/>
      <c r="O13" s="1238">
        <v>6</v>
      </c>
      <c r="P13" s="1240" t="s">
        <v>78</v>
      </c>
      <c r="Q13" s="1244"/>
      <c r="R13" s="1255"/>
      <c r="S13" s="96" t="s">
        <v>79</v>
      </c>
      <c r="T13" s="115" t="s">
        <v>80</v>
      </c>
      <c r="AI13" s="107" t="s">
        <v>58</v>
      </c>
      <c r="AJ13" s="110">
        <f t="shared" si="0"/>
        <v>0</v>
      </c>
      <c r="AK13" s="111" t="str">
        <f t="shared" si="0"/>
        <v>未満</v>
      </c>
      <c r="AL13" s="112">
        <f t="shared" si="4"/>
        <v>0</v>
      </c>
      <c r="AM13" s="112">
        <f t="shared" si="1"/>
        <v>0</v>
      </c>
      <c r="AN13" s="112">
        <f t="shared" si="2"/>
        <v>0</v>
      </c>
      <c r="AO13" s="113">
        <f t="shared" si="3"/>
        <v>0</v>
      </c>
      <c r="AP13" s="114" t="s">
        <v>70</v>
      </c>
      <c r="BA13" s="118"/>
      <c r="BB13" s="119"/>
      <c r="BC13" s="120"/>
      <c r="BF13" s="87"/>
      <c r="BG13" s="87"/>
      <c r="BH13" s="87"/>
      <c r="BI13" s="87"/>
      <c r="BJ13" s="87"/>
      <c r="BK13" s="87"/>
      <c r="BN13" s="87"/>
      <c r="BO13" s="87"/>
      <c r="BP13" s="87"/>
      <c r="BQ13" s="87"/>
      <c r="BR13" s="87"/>
      <c r="BS13" s="87"/>
      <c r="BU13" s="87"/>
      <c r="BV13" s="87"/>
      <c r="BX13" s="87"/>
      <c r="BY13" s="87"/>
      <c r="BZ13" s="87"/>
      <c r="CA13" s="87"/>
    </row>
    <row r="14" spans="2:95" ht="18" customHeight="1">
      <c r="B14" s="1245"/>
      <c r="C14" s="1226"/>
      <c r="D14" s="1231"/>
      <c r="E14" s="1231"/>
      <c r="F14" s="98" t="s">
        <v>58</v>
      </c>
      <c r="G14" s="99">
        <v>0.75</v>
      </c>
      <c r="H14" s="100" t="s">
        <v>59</v>
      </c>
      <c r="I14" s="101">
        <v>4</v>
      </c>
      <c r="J14" s="1226"/>
      <c r="K14" s="1226"/>
      <c r="L14" s="1226"/>
      <c r="N14" s="1247"/>
      <c r="O14" s="1239"/>
      <c r="P14" s="1241"/>
      <c r="Q14" s="1244"/>
      <c r="R14" s="1255"/>
      <c r="S14" s="96" t="s">
        <v>81</v>
      </c>
      <c r="T14" s="115" t="s">
        <v>80</v>
      </c>
      <c r="BA14" s="118"/>
      <c r="BB14" s="119"/>
      <c r="BC14" s="120"/>
      <c r="BF14" s="87"/>
      <c r="BG14" s="87"/>
      <c r="BH14" s="87"/>
      <c r="BI14" s="87"/>
      <c r="BJ14" s="87"/>
      <c r="BK14" s="87"/>
      <c r="BN14" s="87"/>
      <c r="BO14" s="87"/>
      <c r="BP14" s="87"/>
      <c r="BQ14" s="87"/>
      <c r="BR14" s="87"/>
      <c r="BS14" s="87"/>
      <c r="BU14" s="87"/>
      <c r="BV14" s="87"/>
      <c r="BX14" s="87"/>
      <c r="BY14" s="87"/>
      <c r="BZ14" s="87"/>
      <c r="CA14" s="87"/>
    </row>
    <row r="15" spans="2:95" ht="18" customHeight="1">
      <c r="B15" s="1245"/>
      <c r="C15" s="1226"/>
      <c r="D15" s="1231"/>
      <c r="E15" s="1231"/>
      <c r="F15" s="98" t="s">
        <v>58</v>
      </c>
      <c r="G15" s="99">
        <v>0.5</v>
      </c>
      <c r="H15" s="100" t="s">
        <v>59</v>
      </c>
      <c r="I15" s="101">
        <v>3</v>
      </c>
      <c r="J15" s="1226"/>
      <c r="K15" s="1226"/>
      <c r="L15" s="1226"/>
      <c r="N15" s="1247"/>
      <c r="O15" s="1242">
        <v>2</v>
      </c>
      <c r="P15" s="1243" t="s">
        <v>78</v>
      </c>
      <c r="Q15" s="1244" t="s">
        <v>82</v>
      </c>
      <c r="R15" s="1255"/>
      <c r="S15" s="96" t="s">
        <v>83</v>
      </c>
      <c r="T15" s="115" t="s">
        <v>80</v>
      </c>
      <c r="W15" s="93" t="s">
        <v>84</v>
      </c>
      <c r="AG15" s="93" t="s">
        <v>85</v>
      </c>
      <c r="BA15" s="118"/>
      <c r="BB15" s="119"/>
      <c r="BC15" s="120"/>
      <c r="BF15" s="87"/>
      <c r="BG15" s="87"/>
      <c r="BH15" s="87"/>
      <c r="BI15" s="87"/>
      <c r="BJ15" s="87"/>
      <c r="BK15" s="87"/>
      <c r="BN15" s="87"/>
      <c r="BO15" s="87"/>
      <c r="BP15" s="87"/>
      <c r="BQ15" s="87"/>
      <c r="BR15" s="87"/>
      <c r="BS15" s="87"/>
      <c r="BU15" s="87"/>
      <c r="BV15" s="87"/>
      <c r="BX15" s="87"/>
      <c r="BY15" s="87"/>
      <c r="BZ15" s="87"/>
      <c r="CA15" s="87"/>
    </row>
    <row r="16" spans="2:95" ht="18" customHeight="1">
      <c r="B16" s="1245"/>
      <c r="C16" s="1226"/>
      <c r="D16" s="1231"/>
      <c r="E16" s="1231"/>
      <c r="F16" s="98" t="s">
        <v>58</v>
      </c>
      <c r="G16" s="99">
        <v>0.25</v>
      </c>
      <c r="H16" s="100" t="s">
        <v>59</v>
      </c>
      <c r="I16" s="101">
        <v>2</v>
      </c>
      <c r="J16" s="1226"/>
      <c r="K16" s="1226"/>
      <c r="L16" s="1226"/>
      <c r="N16" s="1247"/>
      <c r="O16" s="1242"/>
      <c r="P16" s="1243"/>
      <c r="Q16" s="1244"/>
      <c r="R16" s="1256"/>
      <c r="S16" s="97" t="s">
        <v>86</v>
      </c>
      <c r="T16" s="115" t="s">
        <v>87</v>
      </c>
      <c r="X16" s="102" t="s">
        <v>88</v>
      </c>
      <c r="Y16" s="103" t="s">
        <v>50</v>
      </c>
      <c r="Z16" s="103" t="s">
        <v>62</v>
      </c>
      <c r="AA16" s="103" t="s">
        <v>51</v>
      </c>
      <c r="AB16" s="1236" t="s">
        <v>89</v>
      </c>
      <c r="AC16" s="1236"/>
      <c r="AD16" s="1237"/>
      <c r="AI16" s="88" t="s">
        <v>90</v>
      </c>
      <c r="AR16" s="88" t="s">
        <v>91</v>
      </c>
      <c r="BA16" s="88" t="s">
        <v>92</v>
      </c>
      <c r="BB16" s="88"/>
      <c r="BE16" s="86"/>
      <c r="BM16" s="86"/>
      <c r="BW16" s="86"/>
      <c r="CB16" s="86"/>
      <c r="CC16" s="86"/>
      <c r="CK16" s="86"/>
      <c r="CL16" s="86"/>
    </row>
    <row r="17" spans="2:126" ht="18" customHeight="1">
      <c r="B17" s="1245"/>
      <c r="C17" s="1226"/>
      <c r="D17" s="1231"/>
      <c r="E17" s="1231"/>
      <c r="F17" s="98" t="s">
        <v>58</v>
      </c>
      <c r="G17" s="99">
        <v>0</v>
      </c>
      <c r="H17" s="100" t="s">
        <v>71</v>
      </c>
      <c r="I17" s="101">
        <v>1</v>
      </c>
      <c r="J17" s="1226"/>
      <c r="K17" s="1226"/>
      <c r="L17" s="1226"/>
      <c r="X17" s="121">
        <f>'B2.入力_第2~4面'!$D$11</f>
        <v>0</v>
      </c>
      <c r="Y17" s="122">
        <v>1</v>
      </c>
      <c r="Z17" s="122">
        <v>1</v>
      </c>
      <c r="AA17" s="122">
        <v>1</v>
      </c>
      <c r="AB17" s="123">
        <v>100</v>
      </c>
      <c r="AC17" s="123">
        <v>100</v>
      </c>
      <c r="AD17" s="124">
        <v>100</v>
      </c>
      <c r="AI17" s="125">
        <f>'B1.入力_第1面'!P43</f>
        <v>2025</v>
      </c>
      <c r="AJ17" s="103" t="s">
        <v>64</v>
      </c>
      <c r="AK17" s="106"/>
      <c r="AL17" s="103" t="s">
        <v>65</v>
      </c>
      <c r="AM17" s="103" t="s">
        <v>66</v>
      </c>
      <c r="AN17" s="103" t="s">
        <v>67</v>
      </c>
      <c r="AO17" s="103" t="s">
        <v>68</v>
      </c>
      <c r="AP17" s="104"/>
      <c r="AR17" s="125">
        <f>'B1.入力_第1面'!Z43</f>
        <v>2026</v>
      </c>
      <c r="AS17" s="103" t="s">
        <v>64</v>
      </c>
      <c r="AT17" s="106"/>
      <c r="AU17" s="103" t="s">
        <v>65</v>
      </c>
      <c r="AV17" s="103" t="s">
        <v>66</v>
      </c>
      <c r="AW17" s="103" t="s">
        <v>67</v>
      </c>
      <c r="AX17" s="103" t="s">
        <v>68</v>
      </c>
      <c r="AY17" s="104"/>
      <c r="BA17" s="125">
        <f>'B1.入力_第1面'!AJ43</f>
        <v>2027</v>
      </c>
      <c r="BB17" s="103" t="s">
        <v>64</v>
      </c>
      <c r="BC17" s="106"/>
      <c r="BD17" s="103" t="s">
        <v>65</v>
      </c>
      <c r="BE17" s="103" t="s">
        <v>66</v>
      </c>
      <c r="BF17" s="103" t="s">
        <v>67</v>
      </c>
      <c r="BG17" s="103" t="s">
        <v>68</v>
      </c>
      <c r="BH17" s="104"/>
      <c r="BM17" s="86"/>
      <c r="BW17" s="86"/>
      <c r="CB17" s="86"/>
      <c r="CC17" s="86"/>
      <c r="CK17" s="86"/>
      <c r="CL17" s="86"/>
    </row>
    <row r="18" spans="2:126" ht="18" customHeight="1">
      <c r="B18" s="1245"/>
      <c r="C18" s="1226"/>
      <c r="D18" s="1231"/>
      <c r="E18" s="1231"/>
      <c r="F18" s="98" t="s">
        <v>58</v>
      </c>
      <c r="G18" s="99">
        <v>0</v>
      </c>
      <c r="H18" s="100" t="s">
        <v>72</v>
      </c>
      <c r="I18" s="101">
        <v>0</v>
      </c>
      <c r="J18" s="1226"/>
      <c r="K18" s="1226"/>
      <c r="L18" s="1226"/>
      <c r="O18" s="126" t="s">
        <v>93</v>
      </c>
      <c r="P18" s="127"/>
      <c r="Q18" s="127"/>
      <c r="R18" s="127"/>
      <c r="S18" s="127"/>
      <c r="T18" s="128"/>
      <c r="X18" s="129">
        <v>2024</v>
      </c>
      <c r="Y18" s="130">
        <f>ROUND((1-AB18/AB$17),3)</f>
        <v>1</v>
      </c>
      <c r="Z18" s="130">
        <f t="shared" ref="Z18:AA24" si="5">ROUND((1-AC18/AC$17),3)</f>
        <v>1</v>
      </c>
      <c r="AA18" s="130">
        <f t="shared" si="5"/>
        <v>1</v>
      </c>
      <c r="AB18" s="131">
        <f>AB$17*(1-Y$8)^($X18-$X$17)</f>
        <v>5.7701025285940408E-42</v>
      </c>
      <c r="AC18" s="131">
        <f t="shared" ref="AB18:AD24" si="6">AC$17*(1-Z$8)^($X18-$X$17)</f>
        <v>1.0976071891124634E-59</v>
      </c>
      <c r="AD18" s="132">
        <f t="shared" si="6"/>
        <v>2.4437447704344924E-9</v>
      </c>
      <c r="AI18" s="107" t="s">
        <v>58</v>
      </c>
      <c r="AJ18" s="110">
        <f>G19</f>
        <v>1</v>
      </c>
      <c r="AK18" s="111" t="str">
        <f>H19</f>
        <v>以上</v>
      </c>
      <c r="AL18" s="112">
        <f>ROUND(IF($AI$17=$X18,Y18,IF($AI$17=$X19,Y19,IF($AI$17=$X20,Y20,IF($AI$17=$X21,Y21,IF($AI$17=$X22,Y22,IF($AI$17=$X23,Y23,IF($AI$17=$X24,Y24))))))),3)</f>
        <v>1</v>
      </c>
      <c r="AM18" s="112">
        <f>ROUND(IF($AI$17=$X18,Z18,IF($AI$17=$X19,Z19,IF($AI$17=$X20,Z20,IF($AI$17=$X21,Z21,IF($AI$17=$X22,Z22,IF($AI$17=$X23,Z23,IF($AI$17=$X24,Z24))))))),3)</f>
        <v>1</v>
      </c>
      <c r="AN18" s="112">
        <f>ROUND(IF($AI$17=$X18,AA18,IF($AI$17=$X19,AA19,IF($AI$17=$X20,AA20,IF($AI$17=$X21,AA21,IF($AI$17=$X22,AA22,IF($AI$17=$X23,AA23,IF($AI$17=$X24,AA24))))))),3)</f>
        <v>1</v>
      </c>
      <c r="AO18" s="113">
        <f>I19</f>
        <v>5</v>
      </c>
      <c r="AP18" s="114" t="s">
        <v>70</v>
      </c>
      <c r="AR18" s="107" t="s">
        <v>58</v>
      </c>
      <c r="AS18" s="110">
        <f>AJ18</f>
        <v>1</v>
      </c>
      <c r="AT18" s="111" t="str">
        <f>AK18</f>
        <v>以上</v>
      </c>
      <c r="AU18" s="112">
        <f>ROUND(IF($AR$17=$X18,Y$18,IF($AR$17=$X19,Y$19,IF($AR$17=$X20,Y$20,IF($AR$17=$X21,Y$21,IF($AR$17=$X22,Y$22,IF($AR$17=$X23,Y$23,IF($AR$17=$X24,Y$24))))))),3)</f>
        <v>1</v>
      </c>
      <c r="AV18" s="112">
        <f>ROUND(IF($AR$17=$X18,Z$18,IF($AR$17=$X19,Z$19,IF($AR$17=$X20,Z$20,IF($AR$17=$X21,Z$21,IF($AR$17=$X22,Z$22,IF($AR$17=$X23,Z$23,IF($AR$17=$X24,Z$24))))))),3)</f>
        <v>1</v>
      </c>
      <c r="AW18" s="112">
        <f>ROUND(IF($AR$17=$X18,AA$18,IF($AR$17=$X19,AA$19,IF($AR$17=$X20,AA$20,IF($AR$17=$X21,AA$21,IF($AR$17=$X22,AA$22,IF($AR$17=$X23,AA$23,IF($AR$17=$X24,AA$24))))))),3)</f>
        <v>1</v>
      </c>
      <c r="AX18" s="113">
        <f>AO18</f>
        <v>5</v>
      </c>
      <c r="AY18" s="114" t="s">
        <v>70</v>
      </c>
      <c r="BA18" s="107" t="s">
        <v>58</v>
      </c>
      <c r="BB18" s="110">
        <f>AS18</f>
        <v>1</v>
      </c>
      <c r="BC18" s="111" t="str">
        <f>AT18</f>
        <v>以上</v>
      </c>
      <c r="BD18" s="112">
        <f>ROUND(IF($BA$17=$X18,Y$18,IF($BA$17=$X19,Y$19,IF($BA$17=$X20,Y$20,IF($BA$17=$X21,Y$21,IF($BA$17=$X22,Y$22,IF($BA$17=$X23,Y$23,IF($BA$17=$X24,Y$24))))))),3)</f>
        <v>1</v>
      </c>
      <c r="BE18" s="112">
        <f>ROUND(IF($BA$17=$X18,Z$18,IF($BA$17=$X19,Z$19,IF($BA$17=$X20,Z$20,IF($BA$17=$X21,Z$21,IF($BA$17=$X22,Z$22,IF($BA$17=$X23,Z$23,IF($BA$17=$X24,Z$24))))))),3)</f>
        <v>1</v>
      </c>
      <c r="BF18" s="112">
        <f>ROUND(IF($BA$17=$X18,AA$18,IF($BA$17=$X19,AA$19,IF($BA$17=$X20,AA$20,IF($BA$17=$X21,AA$21,IF($BA$17=$X22,AA$22,IF($BA$17=$X23,AA$23,IF($BA$17=$X24,AA$24))))))),3)</f>
        <v>1</v>
      </c>
      <c r="BG18" s="113">
        <f>AX18</f>
        <v>5</v>
      </c>
      <c r="BH18" s="114" t="s">
        <v>70</v>
      </c>
      <c r="BM18" s="86"/>
      <c r="BW18" s="86"/>
      <c r="CB18" s="86"/>
      <c r="CC18" s="86"/>
      <c r="CK18" s="86"/>
      <c r="CL18" s="86"/>
    </row>
    <row r="19" spans="2:126" ht="18" customHeight="1">
      <c r="B19" s="1245"/>
      <c r="C19" s="1226" t="s">
        <v>94</v>
      </c>
      <c r="D19" s="1231" t="s">
        <v>95</v>
      </c>
      <c r="E19" s="1231" t="s">
        <v>96</v>
      </c>
      <c r="F19" s="98" t="s">
        <v>58</v>
      </c>
      <c r="G19" s="99">
        <v>1</v>
      </c>
      <c r="H19" s="100" t="s">
        <v>59</v>
      </c>
      <c r="I19" s="101">
        <v>5</v>
      </c>
      <c r="J19" s="1226" t="str">
        <f>K3</f>
        <v>ー</v>
      </c>
      <c r="K19" s="1226"/>
      <c r="L19" s="1226" t="str">
        <f>K3</f>
        <v>ー</v>
      </c>
      <c r="O19" s="133"/>
      <c r="P19" s="134" t="s">
        <v>97</v>
      </c>
      <c r="Q19" s="134"/>
      <c r="R19" s="134"/>
      <c r="S19" s="134"/>
      <c r="T19" s="135"/>
      <c r="X19" s="136">
        <f t="shared" ref="X19:X24" si="7">X18+1</f>
        <v>2025</v>
      </c>
      <c r="Y19" s="130">
        <f t="shared" ref="Y19:Y24" si="8">ROUND((1-AB19/AB$17),3)</f>
        <v>1</v>
      </c>
      <c r="Z19" s="130">
        <f t="shared" si="5"/>
        <v>1</v>
      </c>
      <c r="AA19" s="130">
        <f t="shared" si="5"/>
        <v>1</v>
      </c>
      <c r="AB19" s="131">
        <f t="shared" si="6"/>
        <v>5.493137607221526E-42</v>
      </c>
      <c r="AC19" s="131">
        <f t="shared" si="6"/>
        <v>1.0240675074419287E-59</v>
      </c>
      <c r="AD19" s="132">
        <f t="shared" si="6"/>
        <v>2.4144198331892791E-9</v>
      </c>
      <c r="AI19" s="107" t="s">
        <v>58</v>
      </c>
      <c r="AJ19" s="110">
        <f t="shared" ref="AJ19:AK23" si="9">G20</f>
        <v>0.75</v>
      </c>
      <c r="AK19" s="111" t="str">
        <f t="shared" si="9"/>
        <v>以上</v>
      </c>
      <c r="AL19" s="112">
        <f>ROUND(AL$18*$AJ19,3)</f>
        <v>0.75</v>
      </c>
      <c r="AM19" s="112">
        <f t="shared" ref="AM19:AN23" si="10">ROUND(AM$18*$AJ19,3)</f>
        <v>0.75</v>
      </c>
      <c r="AN19" s="112">
        <f t="shared" si="10"/>
        <v>0.75</v>
      </c>
      <c r="AO19" s="113">
        <f t="shared" ref="AO19:AO23" si="11">I20</f>
        <v>4</v>
      </c>
      <c r="AP19" s="114" t="s">
        <v>70</v>
      </c>
      <c r="AR19" s="107" t="s">
        <v>58</v>
      </c>
      <c r="AS19" s="110">
        <f t="shared" ref="AS19:AT23" si="12">AJ19</f>
        <v>0.75</v>
      </c>
      <c r="AT19" s="111" t="str">
        <f t="shared" si="12"/>
        <v>以上</v>
      </c>
      <c r="AU19" s="112">
        <f>ROUND(AU$18*$AS19,3)</f>
        <v>0.75</v>
      </c>
      <c r="AV19" s="112">
        <f t="shared" ref="AV19:AW23" si="13">ROUND(AV$18*$AS19,3)</f>
        <v>0.75</v>
      </c>
      <c r="AW19" s="112">
        <f t="shared" si="13"/>
        <v>0.75</v>
      </c>
      <c r="AX19" s="113">
        <f t="shared" ref="AX19:AX23" si="14">AO19</f>
        <v>4</v>
      </c>
      <c r="AY19" s="114" t="s">
        <v>70</v>
      </c>
      <c r="BA19" s="107" t="s">
        <v>58</v>
      </c>
      <c r="BB19" s="110">
        <f t="shared" ref="BB19:BC23" si="15">AS19</f>
        <v>0.75</v>
      </c>
      <c r="BC19" s="111" t="str">
        <f t="shared" si="15"/>
        <v>以上</v>
      </c>
      <c r="BD19" s="112">
        <f>ROUND(BD$18*$BB19,3)</f>
        <v>0.75</v>
      </c>
      <c r="BE19" s="112">
        <f t="shared" ref="BE19:BF23" si="16">ROUND(BE$18*$BB19,3)</f>
        <v>0.75</v>
      </c>
      <c r="BF19" s="112">
        <f t="shared" si="16"/>
        <v>0.75</v>
      </c>
      <c r="BG19" s="113">
        <f t="shared" ref="BG19:BG23" si="17">AX19</f>
        <v>4</v>
      </c>
      <c r="BH19" s="114" t="s">
        <v>70</v>
      </c>
      <c r="BM19" s="86"/>
      <c r="BW19" s="86"/>
      <c r="CB19" s="86"/>
      <c r="CC19" s="86"/>
      <c r="CK19" s="86"/>
      <c r="CL19" s="86"/>
    </row>
    <row r="20" spans="2:126" ht="18" customHeight="1">
      <c r="B20" s="1245"/>
      <c r="C20" s="1226"/>
      <c r="D20" s="1231"/>
      <c r="E20" s="1231"/>
      <c r="F20" s="98" t="s">
        <v>58</v>
      </c>
      <c r="G20" s="99">
        <v>0.75</v>
      </c>
      <c r="H20" s="100" t="s">
        <v>59</v>
      </c>
      <c r="I20" s="101">
        <v>4</v>
      </c>
      <c r="J20" s="1226"/>
      <c r="K20" s="1226"/>
      <c r="L20" s="1226"/>
      <c r="O20" s="137"/>
      <c r="P20" s="138"/>
      <c r="Q20" s="138" t="s">
        <v>98</v>
      </c>
      <c r="R20" s="139" t="str">
        <f ca="1">参考1_評価結果!N10</f>
        <v/>
      </c>
      <c r="S20" s="140" t="s">
        <v>47</v>
      </c>
      <c r="T20" s="141" t="b">
        <f ca="1">IF(R20=$Q$5,$T$5)</f>
        <v>0</v>
      </c>
      <c r="X20" s="136">
        <f t="shared" si="7"/>
        <v>2026</v>
      </c>
      <c r="Y20" s="130">
        <f t="shared" si="8"/>
        <v>1</v>
      </c>
      <c r="Z20" s="130">
        <f t="shared" si="5"/>
        <v>1</v>
      </c>
      <c r="AA20" s="130">
        <f t="shared" si="5"/>
        <v>1</v>
      </c>
      <c r="AB20" s="131">
        <f t="shared" si="6"/>
        <v>5.2294670020748927E-42</v>
      </c>
      <c r="AC20" s="131">
        <f t="shared" si="6"/>
        <v>9.5545498444331924E-60</v>
      </c>
      <c r="AD20" s="132">
        <f t="shared" si="6"/>
        <v>2.3854467951910077E-9</v>
      </c>
      <c r="AI20" s="107" t="s">
        <v>58</v>
      </c>
      <c r="AJ20" s="110">
        <f t="shared" si="9"/>
        <v>0.5</v>
      </c>
      <c r="AK20" s="111" t="str">
        <f t="shared" si="9"/>
        <v>以上</v>
      </c>
      <c r="AL20" s="112">
        <f t="shared" ref="AL20:AL23" si="18">ROUND(AL$18*$AJ20,3)</f>
        <v>0.5</v>
      </c>
      <c r="AM20" s="112">
        <f t="shared" si="10"/>
        <v>0.5</v>
      </c>
      <c r="AN20" s="112">
        <f t="shared" si="10"/>
        <v>0.5</v>
      </c>
      <c r="AO20" s="113">
        <f t="shared" si="11"/>
        <v>3</v>
      </c>
      <c r="AP20" s="114" t="s">
        <v>70</v>
      </c>
      <c r="AR20" s="107" t="s">
        <v>58</v>
      </c>
      <c r="AS20" s="110">
        <f t="shared" si="12"/>
        <v>0.5</v>
      </c>
      <c r="AT20" s="111" t="str">
        <f t="shared" si="12"/>
        <v>以上</v>
      </c>
      <c r="AU20" s="112">
        <f t="shared" ref="AU20:AU23" si="19">ROUND(AU$18*$AS20,3)</f>
        <v>0.5</v>
      </c>
      <c r="AV20" s="112">
        <f t="shared" si="13"/>
        <v>0.5</v>
      </c>
      <c r="AW20" s="112">
        <f t="shared" si="13"/>
        <v>0.5</v>
      </c>
      <c r="AX20" s="113">
        <f t="shared" si="14"/>
        <v>3</v>
      </c>
      <c r="AY20" s="114" t="s">
        <v>70</v>
      </c>
      <c r="BA20" s="107" t="s">
        <v>58</v>
      </c>
      <c r="BB20" s="110">
        <f t="shared" si="15"/>
        <v>0.5</v>
      </c>
      <c r="BC20" s="111" t="str">
        <f t="shared" si="15"/>
        <v>以上</v>
      </c>
      <c r="BD20" s="112">
        <f t="shared" ref="BD20:BD23" si="20">ROUND(BD$18*$BB20,3)</f>
        <v>0.5</v>
      </c>
      <c r="BE20" s="112">
        <f t="shared" si="16"/>
        <v>0.5</v>
      </c>
      <c r="BF20" s="112">
        <f t="shared" si="16"/>
        <v>0.5</v>
      </c>
      <c r="BG20" s="113">
        <f t="shared" si="17"/>
        <v>3</v>
      </c>
      <c r="BH20" s="114" t="s">
        <v>70</v>
      </c>
      <c r="BM20" s="86"/>
      <c r="BW20" s="86"/>
      <c r="CB20" s="86"/>
      <c r="CC20" s="86"/>
      <c r="CK20" s="86"/>
      <c r="CL20" s="86"/>
    </row>
    <row r="21" spans="2:126" ht="18" customHeight="1">
      <c r="B21" s="1245"/>
      <c r="C21" s="1226"/>
      <c r="D21" s="1231"/>
      <c r="E21" s="1231"/>
      <c r="F21" s="98" t="s">
        <v>58</v>
      </c>
      <c r="G21" s="99">
        <v>0.5</v>
      </c>
      <c r="H21" s="100" t="s">
        <v>59</v>
      </c>
      <c r="I21" s="101">
        <v>3</v>
      </c>
      <c r="J21" s="1226"/>
      <c r="K21" s="1226"/>
      <c r="L21" s="1226"/>
      <c r="O21" s="137"/>
      <c r="P21" s="138"/>
      <c r="Q21" s="138" t="s">
        <v>99</v>
      </c>
      <c r="R21" s="139">
        <f ca="1">参考1_評価結果!N16</f>
        <v>0</v>
      </c>
      <c r="S21" s="140"/>
      <c r="T21" s="141"/>
      <c r="X21" s="136">
        <f t="shared" si="7"/>
        <v>2027</v>
      </c>
      <c r="Y21" s="130">
        <f t="shared" si="8"/>
        <v>1</v>
      </c>
      <c r="Z21" s="130">
        <f t="shared" si="5"/>
        <v>1</v>
      </c>
      <c r="AA21" s="130">
        <f t="shared" si="5"/>
        <v>1</v>
      </c>
      <c r="AB21" s="131">
        <f t="shared" si="6"/>
        <v>4.9784525859752974E-42</v>
      </c>
      <c r="AC21" s="131">
        <f t="shared" si="6"/>
        <v>8.9143950048561721E-60</v>
      </c>
      <c r="AD21" s="132">
        <f t="shared" si="6"/>
        <v>2.3568214336487157E-9</v>
      </c>
      <c r="AI21" s="107" t="s">
        <v>58</v>
      </c>
      <c r="AJ21" s="110">
        <f t="shared" si="9"/>
        <v>0.25</v>
      </c>
      <c r="AK21" s="111" t="str">
        <f t="shared" si="9"/>
        <v>以上</v>
      </c>
      <c r="AL21" s="112">
        <f t="shared" si="18"/>
        <v>0.25</v>
      </c>
      <c r="AM21" s="112">
        <f t="shared" si="10"/>
        <v>0.25</v>
      </c>
      <c r="AN21" s="112">
        <f t="shared" si="10"/>
        <v>0.25</v>
      </c>
      <c r="AO21" s="113">
        <f t="shared" si="11"/>
        <v>2</v>
      </c>
      <c r="AP21" s="114" t="s">
        <v>70</v>
      </c>
      <c r="AR21" s="107" t="s">
        <v>58</v>
      </c>
      <c r="AS21" s="110">
        <f t="shared" si="12"/>
        <v>0.25</v>
      </c>
      <c r="AT21" s="111" t="str">
        <f t="shared" si="12"/>
        <v>以上</v>
      </c>
      <c r="AU21" s="112">
        <f t="shared" si="19"/>
        <v>0.25</v>
      </c>
      <c r="AV21" s="112">
        <f t="shared" si="13"/>
        <v>0.25</v>
      </c>
      <c r="AW21" s="112">
        <f t="shared" si="13"/>
        <v>0.25</v>
      </c>
      <c r="AX21" s="113">
        <f t="shared" si="14"/>
        <v>2</v>
      </c>
      <c r="AY21" s="114" t="s">
        <v>70</v>
      </c>
      <c r="BA21" s="107" t="s">
        <v>58</v>
      </c>
      <c r="BB21" s="110">
        <f t="shared" si="15"/>
        <v>0.25</v>
      </c>
      <c r="BC21" s="111" t="str">
        <f t="shared" si="15"/>
        <v>以上</v>
      </c>
      <c r="BD21" s="112">
        <f t="shared" si="20"/>
        <v>0.25</v>
      </c>
      <c r="BE21" s="112">
        <f t="shared" si="16"/>
        <v>0.25</v>
      </c>
      <c r="BF21" s="112">
        <f t="shared" si="16"/>
        <v>0.25</v>
      </c>
      <c r="BG21" s="113">
        <f t="shared" si="17"/>
        <v>2</v>
      </c>
      <c r="BH21" s="114" t="s">
        <v>70</v>
      </c>
      <c r="BM21" s="86"/>
      <c r="BW21" s="86"/>
      <c r="CB21" s="86"/>
      <c r="CC21" s="86"/>
      <c r="CK21" s="86"/>
      <c r="CL21" s="86"/>
    </row>
    <row r="22" spans="2:126" ht="18" customHeight="1">
      <c r="B22" s="1245"/>
      <c r="C22" s="1226"/>
      <c r="D22" s="1231"/>
      <c r="E22" s="1231"/>
      <c r="F22" s="98" t="s">
        <v>58</v>
      </c>
      <c r="G22" s="99">
        <v>0.25</v>
      </c>
      <c r="H22" s="100" t="s">
        <v>59</v>
      </c>
      <c r="I22" s="101">
        <v>2</v>
      </c>
      <c r="J22" s="1226"/>
      <c r="K22" s="1226"/>
      <c r="L22" s="1226"/>
      <c r="O22" s="137"/>
      <c r="P22" s="138"/>
      <c r="Q22" s="138" t="s">
        <v>41</v>
      </c>
      <c r="R22" s="142" t="str">
        <f ca="1">IF(T20&lt;&gt;FALSE,T20,IF(T22&lt;&gt;FALSE,T22,IF(T23&lt;&gt;FALSE,T23,IF(T24&lt;&gt;FALSE,T24,IF(T25&lt;&gt;FALSE,T25,IF(T26&lt;&gt;FALSE,T26,""))))))</f>
        <v/>
      </c>
      <c r="S22" s="140" t="s">
        <v>47</v>
      </c>
      <c r="T22" s="141" t="b">
        <f ca="1">IF(R20=$Q$12,IF(R21=3,$T$12))</f>
        <v>0</v>
      </c>
      <c r="X22" s="136">
        <f t="shared" si="7"/>
        <v>2028</v>
      </c>
      <c r="Y22" s="130">
        <f t="shared" si="8"/>
        <v>1</v>
      </c>
      <c r="Z22" s="130">
        <f t="shared" si="5"/>
        <v>1</v>
      </c>
      <c r="AA22" s="130">
        <f t="shared" si="5"/>
        <v>1</v>
      </c>
      <c r="AB22" s="131">
        <f t="shared" si="6"/>
        <v>4.7394868618484833E-42</v>
      </c>
      <c r="AC22" s="131">
        <f t="shared" si="6"/>
        <v>8.3171305395308068E-60</v>
      </c>
      <c r="AD22" s="132">
        <f t="shared" si="6"/>
        <v>2.3285395764449304E-9</v>
      </c>
      <c r="AI22" s="107" t="s">
        <v>58</v>
      </c>
      <c r="AJ22" s="110">
        <f t="shared" si="9"/>
        <v>0</v>
      </c>
      <c r="AK22" s="111" t="str">
        <f t="shared" si="9"/>
        <v>より大きい</v>
      </c>
      <c r="AL22" s="112">
        <f t="shared" si="18"/>
        <v>0</v>
      </c>
      <c r="AM22" s="112">
        <f t="shared" si="10"/>
        <v>0</v>
      </c>
      <c r="AN22" s="112">
        <f t="shared" si="10"/>
        <v>0</v>
      </c>
      <c r="AO22" s="113">
        <f t="shared" si="11"/>
        <v>1</v>
      </c>
      <c r="AP22" s="114" t="s">
        <v>70</v>
      </c>
      <c r="AR22" s="107" t="s">
        <v>58</v>
      </c>
      <c r="AS22" s="110">
        <f t="shared" si="12"/>
        <v>0</v>
      </c>
      <c r="AT22" s="111" t="str">
        <f t="shared" si="12"/>
        <v>より大きい</v>
      </c>
      <c r="AU22" s="112">
        <f t="shared" si="19"/>
        <v>0</v>
      </c>
      <c r="AV22" s="112">
        <f t="shared" si="13"/>
        <v>0</v>
      </c>
      <c r="AW22" s="112">
        <f t="shared" si="13"/>
        <v>0</v>
      </c>
      <c r="AX22" s="113">
        <f t="shared" si="14"/>
        <v>1</v>
      </c>
      <c r="AY22" s="114" t="s">
        <v>70</v>
      </c>
      <c r="BA22" s="107" t="s">
        <v>58</v>
      </c>
      <c r="BB22" s="110">
        <f t="shared" si="15"/>
        <v>0</v>
      </c>
      <c r="BC22" s="111" t="str">
        <f t="shared" si="15"/>
        <v>より大きい</v>
      </c>
      <c r="BD22" s="112">
        <f t="shared" si="20"/>
        <v>0</v>
      </c>
      <c r="BE22" s="112">
        <f t="shared" si="16"/>
        <v>0</v>
      </c>
      <c r="BF22" s="112">
        <f t="shared" si="16"/>
        <v>0</v>
      </c>
      <c r="BG22" s="113">
        <f t="shared" si="17"/>
        <v>1</v>
      </c>
      <c r="BH22" s="114" t="s">
        <v>70</v>
      </c>
      <c r="BM22" s="86"/>
      <c r="BW22" s="86"/>
      <c r="CB22" s="86"/>
      <c r="CC22" s="86"/>
      <c r="CK22" s="86"/>
      <c r="CL22" s="86"/>
    </row>
    <row r="23" spans="2:126" ht="18" customHeight="1">
      <c r="B23" s="1245"/>
      <c r="C23" s="1226"/>
      <c r="D23" s="1231"/>
      <c r="E23" s="1231"/>
      <c r="F23" s="98" t="s">
        <v>58</v>
      </c>
      <c r="G23" s="99">
        <v>0</v>
      </c>
      <c r="H23" s="100" t="s">
        <v>71</v>
      </c>
      <c r="I23" s="101">
        <v>1</v>
      </c>
      <c r="J23" s="1226"/>
      <c r="K23" s="1226"/>
      <c r="L23" s="1226"/>
      <c r="O23" s="137"/>
      <c r="P23" s="138"/>
      <c r="Q23" s="138"/>
      <c r="R23" s="138"/>
      <c r="S23" s="140" t="s">
        <v>80</v>
      </c>
      <c r="T23" s="141" t="b">
        <f ca="1">IF(R20=$Q$12,IF(AND(R21&lt;3,R21&gt;=1),T13))</f>
        <v>0</v>
      </c>
      <c r="X23" s="136">
        <f t="shared" si="7"/>
        <v>2029</v>
      </c>
      <c r="Y23" s="130">
        <f t="shared" si="8"/>
        <v>1</v>
      </c>
      <c r="Z23" s="130">
        <f t="shared" si="5"/>
        <v>1</v>
      </c>
      <c r="AA23" s="130">
        <f t="shared" si="5"/>
        <v>1</v>
      </c>
      <c r="AB23" s="131">
        <f t="shared" si="6"/>
        <v>4.5119914924797553E-42</v>
      </c>
      <c r="AC23" s="131">
        <f t="shared" si="6"/>
        <v>7.7598827933822448E-60</v>
      </c>
      <c r="AD23" s="132">
        <f t="shared" si="6"/>
        <v>2.3005971015275912E-9</v>
      </c>
      <c r="AI23" s="107" t="s">
        <v>58</v>
      </c>
      <c r="AJ23" s="110">
        <f t="shared" si="9"/>
        <v>0</v>
      </c>
      <c r="AK23" s="111" t="str">
        <f t="shared" si="9"/>
        <v>未満</v>
      </c>
      <c r="AL23" s="112">
        <f t="shared" si="18"/>
        <v>0</v>
      </c>
      <c r="AM23" s="112">
        <f t="shared" si="10"/>
        <v>0</v>
      </c>
      <c r="AN23" s="112">
        <f t="shared" si="10"/>
        <v>0</v>
      </c>
      <c r="AO23" s="113">
        <f t="shared" si="11"/>
        <v>0</v>
      </c>
      <c r="AP23" s="114" t="s">
        <v>70</v>
      </c>
      <c r="AR23" s="107" t="s">
        <v>58</v>
      </c>
      <c r="AS23" s="110">
        <f t="shared" si="12"/>
        <v>0</v>
      </c>
      <c r="AT23" s="111" t="str">
        <f t="shared" si="12"/>
        <v>未満</v>
      </c>
      <c r="AU23" s="112">
        <f t="shared" si="19"/>
        <v>0</v>
      </c>
      <c r="AV23" s="112">
        <f t="shared" si="13"/>
        <v>0</v>
      </c>
      <c r="AW23" s="112">
        <f t="shared" si="13"/>
        <v>0</v>
      </c>
      <c r="AX23" s="113">
        <f t="shared" si="14"/>
        <v>0</v>
      </c>
      <c r="AY23" s="114" t="s">
        <v>70</v>
      </c>
      <c r="BA23" s="107" t="s">
        <v>58</v>
      </c>
      <c r="BB23" s="110">
        <f t="shared" si="15"/>
        <v>0</v>
      </c>
      <c r="BC23" s="111" t="str">
        <f t="shared" si="15"/>
        <v>未満</v>
      </c>
      <c r="BD23" s="112">
        <f t="shared" si="20"/>
        <v>0</v>
      </c>
      <c r="BE23" s="112">
        <f t="shared" si="16"/>
        <v>0</v>
      </c>
      <c r="BF23" s="112">
        <f t="shared" si="16"/>
        <v>0</v>
      </c>
      <c r="BG23" s="113">
        <f t="shared" si="17"/>
        <v>0</v>
      </c>
      <c r="BH23" s="114" t="s">
        <v>70</v>
      </c>
      <c r="BM23" s="86"/>
      <c r="BW23" s="86"/>
      <c r="CB23" s="86"/>
      <c r="CC23" s="86"/>
      <c r="CK23" s="86"/>
      <c r="CL23" s="86"/>
    </row>
    <row r="24" spans="2:126" ht="18" customHeight="1">
      <c r="B24" s="1245"/>
      <c r="C24" s="1226"/>
      <c r="D24" s="1231"/>
      <c r="E24" s="1231"/>
      <c r="F24" s="98" t="s">
        <v>58</v>
      </c>
      <c r="G24" s="99">
        <v>0</v>
      </c>
      <c r="H24" s="100" t="s">
        <v>72</v>
      </c>
      <c r="I24" s="101">
        <v>0</v>
      </c>
      <c r="J24" s="1226"/>
      <c r="K24" s="1226"/>
      <c r="L24" s="1226"/>
      <c r="O24" s="137"/>
      <c r="P24" s="138"/>
      <c r="Q24" s="138"/>
      <c r="R24" s="138"/>
      <c r="S24" s="140" t="s">
        <v>80</v>
      </c>
      <c r="T24" s="141" t="b">
        <f ca="1">IF(R20=$Q$12,IF($R$21&lt;1,$T$14))</f>
        <v>0</v>
      </c>
      <c r="X24" s="136">
        <f t="shared" si="7"/>
        <v>2030</v>
      </c>
      <c r="Y24" s="130">
        <f t="shared" si="8"/>
        <v>1</v>
      </c>
      <c r="Z24" s="130">
        <f t="shared" si="5"/>
        <v>1</v>
      </c>
      <c r="AA24" s="130">
        <f t="shared" si="5"/>
        <v>1</v>
      </c>
      <c r="AB24" s="131">
        <f t="shared" si="6"/>
        <v>4.2954159008407273E-42</v>
      </c>
      <c r="AC24" s="131">
        <f t="shared" si="6"/>
        <v>7.2399706462256318E-60</v>
      </c>
      <c r="AD24" s="132">
        <f t="shared" si="6"/>
        <v>2.2729899363092613E-9</v>
      </c>
      <c r="AL24" s="143"/>
      <c r="BF24" s="87"/>
      <c r="BG24" s="87"/>
      <c r="BH24" s="87"/>
      <c r="BI24" s="87"/>
      <c r="BJ24" s="87"/>
      <c r="BK24" s="87"/>
      <c r="BL24" s="87"/>
      <c r="BN24" s="87"/>
      <c r="BO24" s="87"/>
      <c r="BP24" s="87"/>
      <c r="BQ24" s="87"/>
      <c r="BR24" s="87"/>
      <c r="BS24" s="87"/>
      <c r="BT24" s="87"/>
      <c r="BU24" s="87"/>
      <c r="BV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row>
    <row r="25" spans="2:126" ht="18" customHeight="1">
      <c r="B25" s="1245"/>
      <c r="C25" s="1226"/>
      <c r="D25" s="1231"/>
      <c r="E25" s="1231" t="s">
        <v>77</v>
      </c>
      <c r="F25" s="98" t="s">
        <v>58</v>
      </c>
      <c r="G25" s="99">
        <v>1</v>
      </c>
      <c r="H25" s="100" t="s">
        <v>59</v>
      </c>
      <c r="I25" s="101">
        <v>5</v>
      </c>
      <c r="J25" s="1226" t="str">
        <f>K3</f>
        <v>ー</v>
      </c>
      <c r="K25" s="1226"/>
      <c r="L25" s="1226" t="str">
        <f>K3</f>
        <v>ー</v>
      </c>
      <c r="O25" s="137"/>
      <c r="P25" s="138"/>
      <c r="Q25" s="138"/>
      <c r="R25" s="138"/>
      <c r="S25" s="140" t="s">
        <v>80</v>
      </c>
      <c r="T25" s="141" t="b">
        <f ca="1">IF(R20=$Q$15,IF($R$21=3,$T$15))</f>
        <v>0</v>
      </c>
      <c r="AL25" s="143"/>
      <c r="BF25" s="87"/>
      <c r="BG25" s="87"/>
      <c r="BH25" s="87"/>
      <c r="BI25" s="87"/>
      <c r="BJ25" s="87"/>
      <c r="BK25" s="87"/>
      <c r="BN25" s="87"/>
      <c r="BO25" s="87"/>
      <c r="BP25" s="87"/>
      <c r="BQ25" s="87"/>
      <c r="BR25" s="87"/>
      <c r="BS25" s="87"/>
      <c r="BU25" s="87"/>
      <c r="BV25" s="87"/>
      <c r="BX25" s="87"/>
      <c r="BY25" s="87"/>
      <c r="BZ25" s="87"/>
      <c r="CA25" s="87"/>
    </row>
    <row r="26" spans="2:126" ht="18" customHeight="1">
      <c r="B26" s="1245"/>
      <c r="C26" s="1226"/>
      <c r="D26" s="1231"/>
      <c r="E26" s="1231"/>
      <c r="F26" s="98" t="s">
        <v>58</v>
      </c>
      <c r="G26" s="99">
        <v>0.75</v>
      </c>
      <c r="H26" s="100" t="s">
        <v>59</v>
      </c>
      <c r="I26" s="101">
        <v>4</v>
      </c>
      <c r="J26" s="1226"/>
      <c r="K26" s="1226"/>
      <c r="L26" s="1226"/>
      <c r="O26" s="137"/>
      <c r="P26" s="138"/>
      <c r="Q26" s="138"/>
      <c r="R26" s="138"/>
      <c r="S26" s="140" t="s">
        <v>87</v>
      </c>
      <c r="T26" s="141" t="b">
        <f ca="1">IF(R20=$Q$15,IF($R$21&lt;3,$T$16))</f>
        <v>0</v>
      </c>
      <c r="W26" s="93" t="s">
        <v>100</v>
      </c>
      <c r="AG26" s="93" t="s">
        <v>101</v>
      </c>
      <c r="AJ26" s="144"/>
      <c r="AM26" s="145"/>
      <c r="AN26" s="145"/>
      <c r="AO26" s="145"/>
      <c r="AP26" s="145"/>
      <c r="AQ26" s="145"/>
      <c r="BF26" s="87"/>
      <c r="BG26" s="87"/>
      <c r="BH26" s="87"/>
      <c r="BI26" s="87"/>
      <c r="BJ26" s="87"/>
      <c r="BK26" s="87"/>
      <c r="BN26" s="87"/>
      <c r="BO26" s="87"/>
      <c r="BP26" s="87"/>
      <c r="BQ26" s="87"/>
      <c r="BR26" s="87"/>
      <c r="BS26" s="87"/>
      <c r="BU26" s="87"/>
      <c r="BV26" s="87"/>
      <c r="BX26" s="87"/>
      <c r="BY26" s="87"/>
      <c r="BZ26" s="87"/>
      <c r="CA26" s="87"/>
    </row>
    <row r="27" spans="2:126" ht="18" customHeight="1">
      <c r="B27" s="1245"/>
      <c r="C27" s="1226"/>
      <c r="D27" s="1231"/>
      <c r="E27" s="1231"/>
      <c r="F27" s="98" t="s">
        <v>58</v>
      </c>
      <c r="G27" s="99">
        <v>0.5</v>
      </c>
      <c r="H27" s="100" t="s">
        <v>59</v>
      </c>
      <c r="I27" s="101">
        <v>3</v>
      </c>
      <c r="J27" s="1226"/>
      <c r="K27" s="1226"/>
      <c r="L27" s="1226"/>
      <c r="O27" s="133"/>
      <c r="P27" s="134" t="s">
        <v>102</v>
      </c>
      <c r="Q27" s="134"/>
      <c r="R27" s="146"/>
      <c r="S27" s="134"/>
      <c r="T27" s="135"/>
      <c r="X27" s="147" t="s">
        <v>103</v>
      </c>
      <c r="Y27" s="148" t="s">
        <v>61</v>
      </c>
      <c r="Z27" s="148" t="s">
        <v>62</v>
      </c>
      <c r="AA27" s="148" t="s">
        <v>51</v>
      </c>
      <c r="AB27" s="149" t="s">
        <v>104</v>
      </c>
      <c r="AC27" s="1234" t="s">
        <v>105</v>
      </c>
      <c r="AD27" s="1234"/>
      <c r="AE27" s="1235"/>
      <c r="AI27" s="88" t="s">
        <v>106</v>
      </c>
      <c r="AJ27" s="150">
        <f ca="1">'B1.入力_第1面'!C39</f>
        <v>2025</v>
      </c>
      <c r="AR27" s="87" t="s">
        <v>107</v>
      </c>
      <c r="AZ27" s="145"/>
      <c r="BA27" s="87" t="s">
        <v>108</v>
      </c>
      <c r="BB27" s="88"/>
      <c r="BE27" s="86"/>
      <c r="BJ27" s="87" t="s">
        <v>109</v>
      </c>
      <c r="BK27" s="88"/>
      <c r="BM27" s="86"/>
      <c r="BR27" s="87"/>
      <c r="BZ27" s="87"/>
      <c r="CA27" s="87"/>
    </row>
    <row r="28" spans="2:126" ht="18" customHeight="1">
      <c r="B28" s="1245"/>
      <c r="C28" s="1226"/>
      <c r="D28" s="1231"/>
      <c r="E28" s="1231"/>
      <c r="F28" s="98" t="s">
        <v>58</v>
      </c>
      <c r="G28" s="99">
        <v>0.25</v>
      </c>
      <c r="H28" s="100" t="s">
        <v>59</v>
      </c>
      <c r="I28" s="101">
        <v>2</v>
      </c>
      <c r="J28" s="1226"/>
      <c r="K28" s="1226"/>
      <c r="L28" s="1226"/>
      <c r="O28" s="137"/>
      <c r="P28" s="138"/>
      <c r="Q28" s="138" t="s">
        <v>98</v>
      </c>
      <c r="R28" s="139" t="str">
        <f ca="1">参考1_評価結果!T10</f>
        <v/>
      </c>
      <c r="S28" s="140" t="s">
        <v>47</v>
      </c>
      <c r="T28" s="141" t="b">
        <f ca="1">IF(R28=$Q$5,$T$5)</f>
        <v>0</v>
      </c>
      <c r="X28" s="151">
        <f>X29-1</f>
        <v>2024</v>
      </c>
      <c r="Y28" s="152" t="s">
        <v>33</v>
      </c>
      <c r="Z28" s="152" t="s">
        <v>33</v>
      </c>
      <c r="AA28" s="152" t="s">
        <v>33</v>
      </c>
      <c r="AB28" s="153" t="s">
        <v>33</v>
      </c>
      <c r="AC28" s="152">
        <v>100</v>
      </c>
      <c r="AD28" s="152">
        <v>100</v>
      </c>
      <c r="AE28" s="154">
        <v>100</v>
      </c>
      <c r="AI28" s="102">
        <f>O29</f>
        <v>0</v>
      </c>
      <c r="AJ28" s="103" t="s">
        <v>64</v>
      </c>
      <c r="AK28" s="106"/>
      <c r="AL28" s="103" t="s">
        <v>61</v>
      </c>
      <c r="AM28" s="103" t="s">
        <v>62</v>
      </c>
      <c r="AN28" s="103" t="s">
        <v>51</v>
      </c>
      <c r="AO28" s="155" t="s">
        <v>68</v>
      </c>
      <c r="AP28" s="156"/>
      <c r="AR28" s="102">
        <f>X29</f>
        <v>2025</v>
      </c>
      <c r="AS28" s="103" t="s">
        <v>64</v>
      </c>
      <c r="AT28" s="106"/>
      <c r="AU28" s="103" t="s">
        <v>61</v>
      </c>
      <c r="AV28" s="103" t="s">
        <v>62</v>
      </c>
      <c r="AW28" s="103" t="s">
        <v>51</v>
      </c>
      <c r="AX28" s="155" t="s">
        <v>68</v>
      </c>
      <c r="AY28" s="156"/>
      <c r="AZ28" s="145"/>
      <c r="BA28" s="102">
        <f>X30</f>
        <v>2026</v>
      </c>
      <c r="BB28" s="103" t="s">
        <v>110</v>
      </c>
      <c r="BC28" s="106"/>
      <c r="BD28" s="103" t="s">
        <v>61</v>
      </c>
      <c r="BE28" s="103" t="s">
        <v>62</v>
      </c>
      <c r="BF28" s="103" t="s">
        <v>51</v>
      </c>
      <c r="BG28" s="155" t="s">
        <v>68</v>
      </c>
      <c r="BH28" s="156"/>
      <c r="BJ28" s="102">
        <f>X31</f>
        <v>2027</v>
      </c>
      <c r="BK28" s="103" t="s">
        <v>110</v>
      </c>
      <c r="BL28" s="106"/>
      <c r="BM28" s="103" t="s">
        <v>61</v>
      </c>
      <c r="BN28" s="103" t="s">
        <v>62</v>
      </c>
      <c r="BO28" s="103" t="s">
        <v>51</v>
      </c>
      <c r="BP28" s="155" t="s">
        <v>68</v>
      </c>
      <c r="BQ28" s="156"/>
      <c r="BR28" s="87"/>
      <c r="BZ28" s="87"/>
      <c r="CA28" s="87"/>
    </row>
    <row r="29" spans="2:126" ht="18" customHeight="1">
      <c r="B29" s="1245"/>
      <c r="C29" s="1226"/>
      <c r="D29" s="1231"/>
      <c r="E29" s="1231"/>
      <c r="F29" s="98" t="s">
        <v>58</v>
      </c>
      <c r="G29" s="99">
        <v>0</v>
      </c>
      <c r="H29" s="100" t="s">
        <v>71</v>
      </c>
      <c r="I29" s="101">
        <v>1</v>
      </c>
      <c r="J29" s="1226"/>
      <c r="K29" s="1226"/>
      <c r="L29" s="1226"/>
      <c r="O29" s="137"/>
      <c r="P29" s="138"/>
      <c r="Q29" s="138" t="s">
        <v>99</v>
      </c>
      <c r="R29" s="139">
        <f ca="1">参考1_評価結果!T16</f>
        <v>0</v>
      </c>
      <c r="S29" s="140"/>
      <c r="T29" s="141"/>
      <c r="X29" s="157">
        <f>参考1_評価結果!N7</f>
        <v>2025</v>
      </c>
      <c r="Y29" s="158">
        <f>ROUND(1-(AC29/AC$28),3)</f>
        <v>0.13700000000000001</v>
      </c>
      <c r="Z29" s="158">
        <f t="shared" ref="Z29:AA30" si="21">ROUND(1-(AD29/AD$28),3)</f>
        <v>0.188</v>
      </c>
      <c r="AA29" s="158">
        <f t="shared" si="21"/>
        <v>3.5999999999999997E-2</v>
      </c>
      <c r="AB29" s="159">
        <f>'B1.入力_第1面'!AJ43</f>
        <v>2027</v>
      </c>
      <c r="AC29" s="160">
        <f t="shared" ref="AC29:AE31" si="22">AC$28*(1-Y$31)^($AB29-$X29+1)</f>
        <v>86.280140799999984</v>
      </c>
      <c r="AD29" s="160">
        <f t="shared" si="22"/>
        <v>81.216623700000014</v>
      </c>
      <c r="AE29" s="161">
        <f t="shared" si="22"/>
        <v>96.443027200000003</v>
      </c>
      <c r="AI29" s="162" t="s">
        <v>58</v>
      </c>
      <c r="AJ29" s="110">
        <f>G31</f>
        <v>1</v>
      </c>
      <c r="AK29" s="111" t="str">
        <f>H31</f>
        <v>以上</v>
      </c>
      <c r="AL29" s="163">
        <f t="shared" ref="AL29:AN30" ca="1" si="23">ROUND(IF($AJ$27=$AR$28,AU$29,IF($AJ$27=$BA$28,BD$29,IF($AJ$27=$BJ$28,BM$29))),3)</f>
        <v>0.13700000000000001</v>
      </c>
      <c r="AM29" s="163">
        <f t="shared" ca="1" si="23"/>
        <v>0.188</v>
      </c>
      <c r="AN29" s="163">
        <f t="shared" ca="1" si="23"/>
        <v>3.5999999999999997E-2</v>
      </c>
      <c r="AO29" s="113">
        <f>I31</f>
        <v>1</v>
      </c>
      <c r="AP29" s="164" t="s">
        <v>70</v>
      </c>
      <c r="AR29" s="162" t="s">
        <v>58</v>
      </c>
      <c r="AS29" s="110">
        <f>G31</f>
        <v>1</v>
      </c>
      <c r="AT29" s="111" t="str">
        <f>H31</f>
        <v>以上</v>
      </c>
      <c r="AU29" s="165">
        <f>Y29</f>
        <v>0.13700000000000001</v>
      </c>
      <c r="AV29" s="165">
        <f t="shared" ref="AV29:AW29" si="24">Z29</f>
        <v>0.188</v>
      </c>
      <c r="AW29" s="165">
        <f t="shared" si="24"/>
        <v>3.5999999999999997E-2</v>
      </c>
      <c r="AX29" s="113">
        <f>I31</f>
        <v>1</v>
      </c>
      <c r="AY29" s="164" t="s">
        <v>70</v>
      </c>
      <c r="AZ29" s="145"/>
      <c r="BA29" s="162" t="s">
        <v>58</v>
      </c>
      <c r="BB29" s="110">
        <f>G31</f>
        <v>1</v>
      </c>
      <c r="BC29" s="111" t="str">
        <f>H31</f>
        <v>以上</v>
      </c>
      <c r="BD29" s="165">
        <f>Y30</f>
        <v>9.4E-2</v>
      </c>
      <c r="BE29" s="165">
        <f>Z30</f>
        <v>0.13</v>
      </c>
      <c r="BF29" s="165">
        <f>AA30</f>
        <v>2.4E-2</v>
      </c>
      <c r="BG29" s="113">
        <f>I31</f>
        <v>1</v>
      </c>
      <c r="BH29" s="164" t="s">
        <v>70</v>
      </c>
      <c r="BJ29" s="162" t="s">
        <v>58</v>
      </c>
      <c r="BK29" s="110">
        <f>G31</f>
        <v>1</v>
      </c>
      <c r="BL29" s="111" t="str">
        <f>H31</f>
        <v>以上</v>
      </c>
      <c r="BM29" s="165">
        <f>Y31</f>
        <v>4.8000000000000001E-2</v>
      </c>
      <c r="BN29" s="165">
        <f t="shared" ref="BN29:BO29" si="25">Z31</f>
        <v>6.7000000000000004E-2</v>
      </c>
      <c r="BO29" s="165">
        <f t="shared" si="25"/>
        <v>1.2E-2</v>
      </c>
      <c r="BP29" s="113">
        <f>I31</f>
        <v>1</v>
      </c>
      <c r="BQ29" s="164" t="s">
        <v>70</v>
      </c>
      <c r="BR29" s="87"/>
      <c r="BZ29" s="87"/>
      <c r="CA29" s="87"/>
    </row>
    <row r="30" spans="2:126" ht="18" customHeight="1">
      <c r="B30" s="1245"/>
      <c r="C30" s="1226"/>
      <c r="D30" s="1231"/>
      <c r="E30" s="1231"/>
      <c r="F30" s="98" t="s">
        <v>58</v>
      </c>
      <c r="G30" s="99">
        <v>0</v>
      </c>
      <c r="H30" s="100" t="s">
        <v>72</v>
      </c>
      <c r="I30" s="101">
        <v>0</v>
      </c>
      <c r="J30" s="1226"/>
      <c r="K30" s="1226"/>
      <c r="L30" s="1226"/>
      <c r="O30" s="137"/>
      <c r="P30" s="138"/>
      <c r="Q30" s="138" t="s">
        <v>41</v>
      </c>
      <c r="R30" s="142" t="str">
        <f ca="1">IF(T28&lt;&gt;FALSE,T28,IF(T30&lt;&gt;FALSE,T30,IF(T31&lt;&gt;FALSE,T31,IF(T32&lt;&gt;FALSE,T32,IF(T33&lt;&gt;FALSE,T33,IF(T34&lt;&gt;FALSE,T34,""))))))</f>
        <v/>
      </c>
      <c r="S30" s="140" t="s">
        <v>47</v>
      </c>
      <c r="T30" s="141" t="b">
        <f ca="1">IF(R28=$Q$12,IF(R29=3,$T$12))</f>
        <v>0</v>
      </c>
      <c r="X30" s="157">
        <f>参考1_評価結果!T7</f>
        <v>2026</v>
      </c>
      <c r="Y30" s="158">
        <f>ROUND(1-(AC30/AC$28),3)</f>
        <v>9.4E-2</v>
      </c>
      <c r="Z30" s="158">
        <f t="shared" si="21"/>
        <v>0.13</v>
      </c>
      <c r="AA30" s="158">
        <f t="shared" si="21"/>
        <v>2.4E-2</v>
      </c>
      <c r="AB30" s="159">
        <f>'B1.入力_第1面'!AJ43</f>
        <v>2027</v>
      </c>
      <c r="AC30" s="160">
        <f t="shared" si="22"/>
        <v>90.630399999999995</v>
      </c>
      <c r="AD30" s="160">
        <f t="shared" si="22"/>
        <v>87.048900000000003</v>
      </c>
      <c r="AE30" s="161">
        <f t="shared" si="22"/>
        <v>97.614400000000003</v>
      </c>
      <c r="AI30" s="162" t="s">
        <v>58</v>
      </c>
      <c r="AJ30" s="110">
        <f>G32</f>
        <v>1</v>
      </c>
      <c r="AK30" s="111" t="str">
        <f>H32</f>
        <v>未満</v>
      </c>
      <c r="AL30" s="163">
        <f t="shared" ca="1" si="23"/>
        <v>0.13700000000000001</v>
      </c>
      <c r="AM30" s="163">
        <f t="shared" ca="1" si="23"/>
        <v>0.188</v>
      </c>
      <c r="AN30" s="163">
        <f t="shared" ca="1" si="23"/>
        <v>3.5999999999999997E-2</v>
      </c>
      <c r="AO30" s="113">
        <f>I32</f>
        <v>0</v>
      </c>
      <c r="AP30" s="164" t="s">
        <v>70</v>
      </c>
      <c r="AR30" s="162" t="s">
        <v>58</v>
      </c>
      <c r="AS30" s="110">
        <f>G32</f>
        <v>1</v>
      </c>
      <c r="AT30" s="111" t="str">
        <f>H32</f>
        <v>未満</v>
      </c>
      <c r="AU30" s="166">
        <f>AU29</f>
        <v>0.13700000000000001</v>
      </c>
      <c r="AV30" s="166">
        <f>AV29</f>
        <v>0.188</v>
      </c>
      <c r="AW30" s="166">
        <f>AW29</f>
        <v>3.5999999999999997E-2</v>
      </c>
      <c r="AX30" s="113">
        <f>I32</f>
        <v>0</v>
      </c>
      <c r="AY30" s="164" t="s">
        <v>70</v>
      </c>
      <c r="AZ30" s="145"/>
      <c r="BA30" s="162" t="s">
        <v>58</v>
      </c>
      <c r="BB30" s="110">
        <f>G32</f>
        <v>1</v>
      </c>
      <c r="BC30" s="111" t="str">
        <f>H32</f>
        <v>未満</v>
      </c>
      <c r="BD30" s="167">
        <f>BD29</f>
        <v>9.4E-2</v>
      </c>
      <c r="BE30" s="167">
        <f>BE29</f>
        <v>0.13</v>
      </c>
      <c r="BF30" s="167">
        <f>BF29</f>
        <v>2.4E-2</v>
      </c>
      <c r="BG30" s="113">
        <f>I32</f>
        <v>0</v>
      </c>
      <c r="BH30" s="164" t="s">
        <v>70</v>
      </c>
      <c r="BJ30" s="162" t="s">
        <v>58</v>
      </c>
      <c r="BK30" s="110">
        <f>G32</f>
        <v>1</v>
      </c>
      <c r="BL30" s="111" t="str">
        <f>H32</f>
        <v>未満</v>
      </c>
      <c r="BM30" s="166">
        <f>BM29</f>
        <v>4.8000000000000001E-2</v>
      </c>
      <c r="BN30" s="166">
        <f>BN29</f>
        <v>6.7000000000000004E-2</v>
      </c>
      <c r="BO30" s="166">
        <f>BO29</f>
        <v>1.2E-2</v>
      </c>
      <c r="BP30" s="113">
        <f>I32</f>
        <v>0</v>
      </c>
      <c r="BQ30" s="164" t="s">
        <v>70</v>
      </c>
      <c r="BR30" s="87"/>
      <c r="BZ30" s="87"/>
      <c r="CA30" s="87"/>
    </row>
    <row r="31" spans="2:126" ht="18" customHeight="1">
      <c r="B31" s="1245"/>
      <c r="C31" s="1226" t="s">
        <v>111</v>
      </c>
      <c r="D31" s="1231" t="s">
        <v>112</v>
      </c>
      <c r="E31" s="1231" t="s">
        <v>113</v>
      </c>
      <c r="F31" s="98" t="s">
        <v>58</v>
      </c>
      <c r="G31" s="99">
        <v>1</v>
      </c>
      <c r="H31" s="100" t="s">
        <v>59</v>
      </c>
      <c r="I31" s="101">
        <v>1</v>
      </c>
      <c r="J31" s="1226" t="str">
        <f>J3</f>
        <v>●</v>
      </c>
      <c r="K31" s="1226"/>
      <c r="L31" s="1226" t="str">
        <f>J3</f>
        <v>●</v>
      </c>
      <c r="O31" s="137"/>
      <c r="P31" s="138"/>
      <c r="Q31" s="138"/>
      <c r="R31" s="138"/>
      <c r="S31" s="140" t="s">
        <v>80</v>
      </c>
      <c r="T31" s="141" t="b">
        <f ca="1">IF(R28=$Q$12,IF(AND(R29&lt;3,R29&gt;=1),$T$13))</f>
        <v>0</v>
      </c>
      <c r="X31" s="157">
        <f>参考1_評価結果!Z7</f>
        <v>2027</v>
      </c>
      <c r="Y31" s="168">
        <f>Y8</f>
        <v>4.8000000000000001E-2</v>
      </c>
      <c r="Z31" s="168">
        <f>Z8</f>
        <v>6.7000000000000004E-2</v>
      </c>
      <c r="AA31" s="168">
        <f>AA8</f>
        <v>1.2E-2</v>
      </c>
      <c r="AB31" s="159">
        <f>'B1.入力_第1面'!AJ43</f>
        <v>2027</v>
      </c>
      <c r="AC31" s="160">
        <f>AC$28*(1-Y$31)^($AB31-$X31+1)</f>
        <v>95.199999999999989</v>
      </c>
      <c r="AD31" s="160">
        <f t="shared" si="22"/>
        <v>93.300000000000011</v>
      </c>
      <c r="AE31" s="161">
        <f t="shared" si="22"/>
        <v>98.8</v>
      </c>
      <c r="AJ31" s="144"/>
      <c r="AL31" s="88"/>
      <c r="AM31" s="169"/>
      <c r="AN31" s="169"/>
      <c r="AO31" s="145"/>
      <c r="AP31" s="145"/>
      <c r="AQ31" s="145"/>
      <c r="BC31" s="87"/>
      <c r="BF31" s="87"/>
      <c r="BG31" s="87"/>
      <c r="BH31" s="87"/>
      <c r="BI31" s="87"/>
      <c r="BJ31" s="87"/>
      <c r="BK31" s="87"/>
      <c r="BN31" s="87"/>
      <c r="BO31" s="87"/>
      <c r="BP31" s="87"/>
      <c r="BQ31" s="87"/>
      <c r="BR31" s="87"/>
      <c r="BZ31" s="87"/>
      <c r="CA31" s="87"/>
    </row>
    <row r="32" spans="2:126" ht="18" customHeight="1">
      <c r="B32" s="1245"/>
      <c r="C32" s="1226"/>
      <c r="D32" s="1231"/>
      <c r="E32" s="1231"/>
      <c r="F32" s="98" t="s">
        <v>58</v>
      </c>
      <c r="G32" s="99">
        <v>1</v>
      </c>
      <c r="H32" s="100" t="s">
        <v>72</v>
      </c>
      <c r="I32" s="101">
        <v>0</v>
      </c>
      <c r="J32" s="1226"/>
      <c r="K32" s="1226"/>
      <c r="L32" s="1226"/>
      <c r="O32" s="137"/>
      <c r="P32" s="138"/>
      <c r="Q32" s="138"/>
      <c r="R32" s="138"/>
      <c r="S32" s="140" t="s">
        <v>80</v>
      </c>
      <c r="T32" s="141" t="b">
        <f ca="1">IF(R28=$Q$12,IF(R29&lt;1,$T$14))</f>
        <v>0</v>
      </c>
      <c r="V32" s="93" t="s">
        <v>114</v>
      </c>
      <c r="W32" s="93"/>
      <c r="AG32" s="93" t="s">
        <v>115</v>
      </c>
      <c r="AL32" s="170"/>
      <c r="AM32" s="88"/>
      <c r="AN32" s="88"/>
      <c r="BF32" s="87"/>
      <c r="BG32" s="87"/>
      <c r="BH32" s="87"/>
      <c r="BI32" s="87"/>
      <c r="BJ32" s="87"/>
      <c r="BK32" s="87"/>
      <c r="BN32" s="87"/>
      <c r="BO32" s="87"/>
      <c r="BP32" s="87"/>
      <c r="BQ32" s="87"/>
      <c r="BR32" s="87"/>
      <c r="BZ32" s="87"/>
      <c r="CA32" s="87"/>
    </row>
    <row r="33" spans="2:79" ht="18" customHeight="1">
      <c r="B33" s="1245"/>
      <c r="C33" s="1226"/>
      <c r="D33" s="1231"/>
      <c r="E33" s="1231" t="s">
        <v>116</v>
      </c>
      <c r="F33" s="98" t="s">
        <v>58</v>
      </c>
      <c r="G33" s="99">
        <v>1</v>
      </c>
      <c r="H33" s="100" t="s">
        <v>59</v>
      </c>
      <c r="I33" s="101">
        <v>1</v>
      </c>
      <c r="J33" s="1226" t="str">
        <f>J3</f>
        <v>●</v>
      </c>
      <c r="K33" s="1226"/>
      <c r="L33" s="1226" t="str">
        <f>J3</f>
        <v>●</v>
      </c>
      <c r="O33" s="137"/>
      <c r="P33" s="138"/>
      <c r="Q33" s="138"/>
      <c r="R33" s="138"/>
      <c r="S33" s="140" t="s">
        <v>80</v>
      </c>
      <c r="T33" s="141" t="b">
        <f ca="1">IF(R28=$Q$15,IF(R29=3,$T$15))</f>
        <v>0</v>
      </c>
      <c r="X33" s="171" t="s">
        <v>60</v>
      </c>
      <c r="Y33" s="172" t="s">
        <v>61</v>
      </c>
      <c r="Z33" s="172" t="s">
        <v>62</v>
      </c>
      <c r="AA33" s="173" t="s">
        <v>51</v>
      </c>
      <c r="AI33" s="171" t="str">
        <f>X34</f>
        <v>毎年度</v>
      </c>
      <c r="AJ33" s="172"/>
      <c r="AK33" s="174"/>
      <c r="AL33" s="172" t="s">
        <v>61</v>
      </c>
      <c r="AM33" s="172" t="s">
        <v>62</v>
      </c>
      <c r="AN33" s="172" t="s">
        <v>51</v>
      </c>
      <c r="AO33" s="172" t="s">
        <v>68</v>
      </c>
      <c r="AP33" s="175"/>
      <c r="BF33" s="87"/>
      <c r="BG33" s="87"/>
      <c r="BH33" s="87"/>
      <c r="BI33" s="87"/>
      <c r="BJ33" s="87"/>
      <c r="BK33" s="87"/>
      <c r="BN33" s="87"/>
      <c r="BO33" s="87"/>
      <c r="BP33" s="87"/>
      <c r="BQ33" s="87"/>
      <c r="BR33" s="87"/>
      <c r="BZ33" s="87"/>
      <c r="CA33" s="87"/>
    </row>
    <row r="34" spans="2:79" ht="18" customHeight="1">
      <c r="B34" s="1245"/>
      <c r="C34" s="1226"/>
      <c r="D34" s="1231"/>
      <c r="E34" s="1231"/>
      <c r="F34" s="98" t="s">
        <v>58</v>
      </c>
      <c r="G34" s="99">
        <v>1</v>
      </c>
      <c r="H34" s="100" t="s">
        <v>72</v>
      </c>
      <c r="I34" s="101">
        <v>0</v>
      </c>
      <c r="J34" s="1226"/>
      <c r="K34" s="1226"/>
      <c r="L34" s="1226"/>
      <c r="O34" s="137"/>
      <c r="P34" s="138"/>
      <c r="Q34" s="138"/>
      <c r="R34" s="138"/>
      <c r="S34" s="140" t="s">
        <v>87</v>
      </c>
      <c r="T34" s="141" t="b">
        <f ca="1">IF(R28=$Q$15,IF(R29&lt;3,$T$16))</f>
        <v>0</v>
      </c>
      <c r="X34" s="107" t="s">
        <v>69</v>
      </c>
      <c r="Y34" s="176">
        <f>G35</f>
        <v>0.01</v>
      </c>
      <c r="Z34" s="176">
        <f>Y34</f>
        <v>0.01</v>
      </c>
      <c r="AA34" s="177">
        <f>Z34</f>
        <v>0.01</v>
      </c>
      <c r="AI34" s="107" t="s">
        <v>36</v>
      </c>
      <c r="AJ34" s="178" t="s">
        <v>33</v>
      </c>
      <c r="AK34" s="138" t="str">
        <f>H35</f>
        <v>以上削減</v>
      </c>
      <c r="AL34" s="176">
        <f>Y34</f>
        <v>0.01</v>
      </c>
      <c r="AM34" s="176">
        <f>Z34</f>
        <v>0.01</v>
      </c>
      <c r="AN34" s="176">
        <f>AA34</f>
        <v>0.01</v>
      </c>
      <c r="AO34" s="179" t="str">
        <f>I35</f>
        <v>○</v>
      </c>
      <c r="AP34" s="164"/>
      <c r="AQ34" s="145"/>
      <c r="BF34" s="87"/>
      <c r="BG34" s="87"/>
      <c r="BH34" s="87"/>
      <c r="BI34" s="87"/>
      <c r="BJ34" s="87"/>
      <c r="BK34" s="87"/>
      <c r="BN34" s="87"/>
      <c r="BO34" s="87"/>
      <c r="BP34" s="87"/>
      <c r="BQ34" s="87"/>
      <c r="BR34" s="87"/>
      <c r="BZ34" s="87"/>
      <c r="CA34" s="87"/>
    </row>
    <row r="35" spans="2:79" ht="18" customHeight="1">
      <c r="B35" s="1233" t="s">
        <v>117</v>
      </c>
      <c r="C35" s="1226">
        <v>1</v>
      </c>
      <c r="D35" s="1231" t="s">
        <v>118</v>
      </c>
      <c r="E35" s="1231" t="s">
        <v>119</v>
      </c>
      <c r="F35" s="98" t="s">
        <v>120</v>
      </c>
      <c r="G35" s="99">
        <v>0.01</v>
      </c>
      <c r="H35" s="100" t="s">
        <v>121</v>
      </c>
      <c r="I35" s="180" t="s">
        <v>122</v>
      </c>
      <c r="J35" s="1226" t="str">
        <f>J3</f>
        <v>●</v>
      </c>
      <c r="K35" s="1226"/>
      <c r="L35" s="1226" t="str">
        <f>J3</f>
        <v>●</v>
      </c>
      <c r="O35" s="133"/>
      <c r="P35" s="134" t="s">
        <v>123</v>
      </c>
      <c r="Q35" s="134"/>
      <c r="R35" s="134"/>
      <c r="S35" s="134"/>
      <c r="T35" s="135"/>
      <c r="AI35" s="107" t="s">
        <v>36</v>
      </c>
      <c r="AJ35" s="178" t="s">
        <v>33</v>
      </c>
      <c r="AK35" s="138" t="str">
        <f>H36</f>
        <v>未満削減</v>
      </c>
      <c r="AL35" s="176">
        <f>AL34</f>
        <v>0.01</v>
      </c>
      <c r="AM35" s="176">
        <f>AM34</f>
        <v>0.01</v>
      </c>
      <c r="AN35" s="176">
        <f>AN34</f>
        <v>0.01</v>
      </c>
      <c r="AO35" s="179" t="str">
        <f>I36</f>
        <v>✕</v>
      </c>
      <c r="AP35" s="164"/>
      <c r="AQ35" s="145"/>
      <c r="BF35" s="87"/>
      <c r="BG35" s="87"/>
      <c r="BH35" s="87"/>
      <c r="BI35" s="87"/>
      <c r="BJ35" s="87"/>
      <c r="BK35" s="87"/>
      <c r="BN35" s="87"/>
      <c r="BO35" s="87"/>
      <c r="BP35" s="87"/>
      <c r="BQ35" s="87"/>
      <c r="BR35" s="87"/>
      <c r="BZ35" s="87"/>
      <c r="CA35" s="87"/>
    </row>
    <row r="36" spans="2:79" ht="18" customHeight="1">
      <c r="B36" s="1233"/>
      <c r="C36" s="1226"/>
      <c r="D36" s="1231"/>
      <c r="E36" s="1231"/>
      <c r="F36" s="98" t="s">
        <v>124</v>
      </c>
      <c r="G36" s="99">
        <v>0.01</v>
      </c>
      <c r="H36" s="100" t="s">
        <v>125</v>
      </c>
      <c r="I36" s="180" t="s">
        <v>126</v>
      </c>
      <c r="J36" s="1226"/>
      <c r="K36" s="1226"/>
      <c r="L36" s="1226"/>
      <c r="O36" s="137"/>
      <c r="P36" s="138"/>
      <c r="Q36" s="138" t="s">
        <v>98</v>
      </c>
      <c r="R36" s="139" t="str">
        <f>参考1_評価結果!Z10</f>
        <v/>
      </c>
      <c r="S36" s="140" t="s">
        <v>47</v>
      </c>
      <c r="T36" s="141" t="b">
        <f>IF(R36=$Q$5,$T$5)</f>
        <v>0</v>
      </c>
    </row>
    <row r="37" spans="2:79" ht="18" customHeight="1">
      <c r="B37" s="1233"/>
      <c r="C37" s="1226">
        <v>2</v>
      </c>
      <c r="D37" s="1231" t="s">
        <v>127</v>
      </c>
      <c r="E37" s="1231" t="s">
        <v>128</v>
      </c>
      <c r="F37" s="98" t="s">
        <v>36</v>
      </c>
      <c r="G37" s="181" t="s">
        <v>129</v>
      </c>
      <c r="H37" s="96" t="s">
        <v>130</v>
      </c>
      <c r="I37" s="90" t="s">
        <v>122</v>
      </c>
      <c r="J37" s="1226" t="str">
        <f>J3</f>
        <v>●</v>
      </c>
      <c r="K37" s="1226"/>
      <c r="L37" s="1226" t="str">
        <f>K3</f>
        <v>ー</v>
      </c>
      <c r="O37" s="137"/>
      <c r="P37" s="138"/>
      <c r="Q37" s="138" t="s">
        <v>99</v>
      </c>
      <c r="R37" s="139">
        <f ca="1">参考1_評価結果!Z16</f>
        <v>0</v>
      </c>
      <c r="S37" s="140"/>
      <c r="T37" s="141"/>
      <c r="V37" s="93" t="s">
        <v>131</v>
      </c>
      <c r="W37" s="93"/>
      <c r="AG37" s="93" t="str">
        <f>V37</f>
        <v>2.使用電力の再エネ電源比率・契約電力のCO₂排出係数</v>
      </c>
      <c r="AJ37" s="144"/>
      <c r="AM37" s="145"/>
      <c r="AN37" s="145"/>
      <c r="AO37" s="145"/>
      <c r="AP37" s="145"/>
      <c r="AQ37" s="145"/>
      <c r="BF37" s="182"/>
      <c r="BI37" s="183"/>
    </row>
    <row r="38" spans="2:79" ht="18" customHeight="1">
      <c r="B38" s="1233"/>
      <c r="C38" s="1226"/>
      <c r="D38" s="1231"/>
      <c r="E38" s="1231"/>
      <c r="F38" s="98" t="s">
        <v>36</v>
      </c>
      <c r="G38" s="181" t="s">
        <v>129</v>
      </c>
      <c r="H38" s="96" t="s">
        <v>132</v>
      </c>
      <c r="I38" s="90" t="s">
        <v>126</v>
      </c>
      <c r="J38" s="1226"/>
      <c r="K38" s="1226"/>
      <c r="L38" s="1226"/>
      <c r="O38" s="137"/>
      <c r="P38" s="138"/>
      <c r="Q38" s="138" t="s">
        <v>41</v>
      </c>
      <c r="R38" s="142" t="str">
        <f>IF(T36&lt;&gt;FALSE,T36,IF(T38&lt;&gt;FALSE,T38,IF(T39&lt;&gt;FALSE,T39,IF(T40&lt;&gt;FALSE,T40,IF(T41&lt;&gt;FALSE,T41,IF(T42&lt;&gt;FALSE,T42,""))))))</f>
        <v/>
      </c>
      <c r="S38" s="140" t="s">
        <v>47</v>
      </c>
      <c r="T38" s="141" t="b">
        <f>IF(R36=$Q$12,IF(R37=3,$T$12))</f>
        <v>0</v>
      </c>
      <c r="W38" s="93" t="s">
        <v>133</v>
      </c>
      <c r="AH38" s="93" t="str">
        <f>W38</f>
        <v>再エネ電源比率</v>
      </c>
      <c r="AJ38" s="144"/>
      <c r="AM38" s="145"/>
      <c r="AN38" s="145"/>
      <c r="AO38" s="145"/>
      <c r="AP38" s="145"/>
      <c r="AQ38" s="145"/>
      <c r="BF38" s="182"/>
      <c r="BI38" s="184"/>
    </row>
    <row r="39" spans="2:79" ht="18" customHeight="1">
      <c r="B39" s="1233"/>
      <c r="C39" s="1226"/>
      <c r="D39" s="1231"/>
      <c r="E39" s="1231" t="s">
        <v>134</v>
      </c>
      <c r="F39" s="98" t="s">
        <v>58</v>
      </c>
      <c r="G39" s="181" t="s">
        <v>129</v>
      </c>
      <c r="H39" s="96" t="s">
        <v>130</v>
      </c>
      <c r="I39" s="90" t="s">
        <v>122</v>
      </c>
      <c r="J39" s="1226" t="str">
        <f>K3</f>
        <v>ー</v>
      </c>
      <c r="K39" s="1226"/>
      <c r="L39" s="1226" t="str">
        <f>J3</f>
        <v>●</v>
      </c>
      <c r="O39" s="137"/>
      <c r="P39" s="138"/>
      <c r="Q39" s="138"/>
      <c r="R39" s="138"/>
      <c r="S39" s="140" t="s">
        <v>80</v>
      </c>
      <c r="T39" s="141" t="b">
        <f>IF(R36=$Q$12,IF(AND(R37&lt;3,R37&gt;=1),$T$13))</f>
        <v>0</v>
      </c>
      <c r="X39" s="171" t="s">
        <v>60</v>
      </c>
      <c r="Y39" s="172" t="s">
        <v>61</v>
      </c>
      <c r="Z39" s="172" t="s">
        <v>62</v>
      </c>
      <c r="AA39" s="173" t="s">
        <v>51</v>
      </c>
      <c r="AI39" s="185" t="s">
        <v>135</v>
      </c>
      <c r="AJ39" s="186"/>
      <c r="AK39" s="186"/>
      <c r="AL39" s="174"/>
      <c r="AM39" s="175"/>
      <c r="BE39" s="86"/>
      <c r="BM39" s="86"/>
      <c r="BW39" s="86"/>
    </row>
    <row r="40" spans="2:79" ht="18" customHeight="1">
      <c r="B40" s="1233"/>
      <c r="C40" s="1226"/>
      <c r="D40" s="1231"/>
      <c r="E40" s="1231"/>
      <c r="F40" s="98" t="s">
        <v>58</v>
      </c>
      <c r="G40" s="181" t="s">
        <v>129</v>
      </c>
      <c r="H40" s="96" t="s">
        <v>132</v>
      </c>
      <c r="I40" s="90" t="s">
        <v>126</v>
      </c>
      <c r="J40" s="1226"/>
      <c r="K40" s="1226"/>
      <c r="L40" s="1226"/>
      <c r="O40" s="137"/>
      <c r="P40" s="138"/>
      <c r="Q40" s="138"/>
      <c r="R40" s="138"/>
      <c r="S40" s="140" t="s">
        <v>80</v>
      </c>
      <c r="T40" s="141" t="b">
        <f>IF(R36=$Q$12,IF(R37&lt;1,$T$14))</f>
        <v>0</v>
      </c>
      <c r="X40" s="187">
        <v>2025</v>
      </c>
      <c r="Y40" s="188">
        <v>0.28000000000000003</v>
      </c>
      <c r="Z40" s="188">
        <v>0.28000000000000003</v>
      </c>
      <c r="AA40" s="189" t="s">
        <v>33</v>
      </c>
      <c r="AI40" s="190" t="s">
        <v>136</v>
      </c>
      <c r="AJ40" s="191"/>
      <c r="AK40" s="192"/>
      <c r="AL40" s="140" t="s">
        <v>50</v>
      </c>
      <c r="AM40" s="193" t="s">
        <v>62</v>
      </c>
      <c r="BE40" s="86"/>
      <c r="BM40" s="86"/>
      <c r="BW40" s="86"/>
    </row>
    <row r="41" spans="2:79" ht="18" customHeight="1">
      <c r="B41" s="1233"/>
      <c r="C41" s="1226"/>
      <c r="D41" s="1231"/>
      <c r="E41" s="1230" t="s">
        <v>137</v>
      </c>
      <c r="F41" s="98" t="s">
        <v>58</v>
      </c>
      <c r="G41" s="116">
        <v>1</v>
      </c>
      <c r="H41" s="194" t="s">
        <v>138</v>
      </c>
      <c r="I41" s="90" t="s">
        <v>122</v>
      </c>
      <c r="J41" s="1226" t="str">
        <f>K3</f>
        <v>ー</v>
      </c>
      <c r="K41" s="1226"/>
      <c r="L41" s="1226" t="str">
        <f>J3</f>
        <v>●</v>
      </c>
      <c r="O41" s="137"/>
      <c r="P41" s="138"/>
      <c r="Q41" s="138"/>
      <c r="R41" s="138"/>
      <c r="S41" s="140" t="s">
        <v>80</v>
      </c>
      <c r="T41" s="141" t="b">
        <f>IF(R36=$Q$15,IF(R37=3,$T$15))</f>
        <v>0</v>
      </c>
      <c r="X41" s="187">
        <v>2026</v>
      </c>
      <c r="Y41" s="188">
        <v>0.3</v>
      </c>
      <c r="Z41" s="188">
        <v>0.3</v>
      </c>
      <c r="AA41" s="189" t="s">
        <v>33</v>
      </c>
      <c r="AI41" s="190" t="s">
        <v>139</v>
      </c>
      <c r="AJ41" s="191" t="s">
        <v>97</v>
      </c>
      <c r="AK41" s="195">
        <f>'B1.入力_第1面'!P43</f>
        <v>2025</v>
      </c>
      <c r="AL41" s="196">
        <f>IF(AK41=X40,Y40,IF(AK41=X41,Y41,IF(AK41=X42,Y42,IF(AK41=X43,Y43,IF(AK41=X44,Y44,IF(AK41=X45,Y45,""))))))</f>
        <v>0.28000000000000003</v>
      </c>
      <c r="AM41" s="197">
        <f>IF(AK41=X40,Z40,IF(AK41=X41,Z41,IF(AK41=X42,Z42,IF(AK41=X43,Z43,IF(AK41=X44,Z44,IF(AK41=X45,Z45,""))))))</f>
        <v>0.28000000000000003</v>
      </c>
      <c r="BE41" s="86"/>
      <c r="BM41" s="86"/>
      <c r="BW41" s="86"/>
    </row>
    <row r="42" spans="2:79" ht="18" customHeight="1">
      <c r="B42" s="1233"/>
      <c r="C42" s="1226"/>
      <c r="D42" s="1231"/>
      <c r="E42" s="1230"/>
      <c r="F42" s="98" t="s">
        <v>58</v>
      </c>
      <c r="G42" s="116">
        <v>1</v>
      </c>
      <c r="H42" s="194" t="s">
        <v>140</v>
      </c>
      <c r="I42" s="90" t="s">
        <v>126</v>
      </c>
      <c r="J42" s="1226"/>
      <c r="K42" s="1226"/>
      <c r="L42" s="1226"/>
      <c r="O42" s="137"/>
      <c r="P42" s="138"/>
      <c r="Q42" s="138"/>
      <c r="R42" s="138"/>
      <c r="S42" s="140" t="s">
        <v>87</v>
      </c>
      <c r="T42" s="141" t="b">
        <f>IF(R36=$Q$15,IF(R37&lt;3,$T$16))</f>
        <v>0</v>
      </c>
      <c r="X42" s="187">
        <v>2027</v>
      </c>
      <c r="Y42" s="188">
        <v>0.32</v>
      </c>
      <c r="Z42" s="188">
        <v>0.32</v>
      </c>
      <c r="AA42" s="189" t="s">
        <v>33</v>
      </c>
      <c r="AI42" s="107"/>
      <c r="AJ42" s="191" t="s">
        <v>102</v>
      </c>
      <c r="AK42" s="195">
        <f>'B1.入力_第1面'!Z43</f>
        <v>2026</v>
      </c>
      <c r="AL42" s="196">
        <f>IF(AK42=X40,Y40,IF(AK42=X41,Y41,IF(AK42=X42,Y42,IF(AK42=X43,Y43,IF(AK42=X44,Y44,IF(AK42=X45,Y45,""))))))</f>
        <v>0.3</v>
      </c>
      <c r="AM42" s="197">
        <f>IF(AK42=X40,Z40,IF(AK42=X41,Z41,IF(AK42=X42,Z42,IF(AK42=X43,Z43,IF(AK42=X44,Z44,IF(AK42=X45,Z45,""))))))</f>
        <v>0.3</v>
      </c>
      <c r="BE42" s="86"/>
      <c r="BM42" s="86"/>
      <c r="BW42" s="86"/>
    </row>
    <row r="43" spans="2:79" ht="18" customHeight="1">
      <c r="B43" s="1233"/>
      <c r="C43" s="1226">
        <v>3</v>
      </c>
      <c r="D43" s="1232" t="s">
        <v>141</v>
      </c>
      <c r="E43" s="1231" t="s">
        <v>142</v>
      </c>
      <c r="F43" s="98"/>
      <c r="G43" s="198" t="str">
        <f>非表示_リスト!G133</f>
        <v>有り</v>
      </c>
      <c r="H43" s="90"/>
      <c r="I43" s="90" t="s">
        <v>122</v>
      </c>
      <c r="J43" s="1230" t="str">
        <f>J3</f>
        <v>●</v>
      </c>
      <c r="K43" s="1226"/>
      <c r="L43" s="1226" t="str">
        <f>J3</f>
        <v>●</v>
      </c>
      <c r="X43" s="187">
        <v>2028</v>
      </c>
      <c r="Y43" s="188">
        <v>0.34</v>
      </c>
      <c r="Z43" s="188">
        <v>0.34</v>
      </c>
      <c r="AA43" s="189" t="s">
        <v>33</v>
      </c>
      <c r="AI43" s="107"/>
      <c r="AJ43" s="191" t="s">
        <v>123</v>
      </c>
      <c r="AK43" s="195">
        <f>'B1.入力_第1面'!AJ43</f>
        <v>2027</v>
      </c>
      <c r="AL43" s="196">
        <f>IF(AK43=X40,Y40,IF(AK43=X41,Y41,IF(AK43=X42,Y42,IF(AK43=X43,Y43,IF(AK43=X44,Y44,IF(AK43=X45,Y45,""))))))</f>
        <v>0.32</v>
      </c>
      <c r="AM43" s="197">
        <f>IF(AK43=X40,Z40,IF(AK43=X41,Z41,IF(AK43=X42,Z42,IF(AK43=X43,Z43,IF(AK43=X44,Z44,IF(AK43=X45,Z45,""))))))</f>
        <v>0.32</v>
      </c>
    </row>
    <row r="44" spans="2:79" ht="18" customHeight="1">
      <c r="B44" s="1233"/>
      <c r="C44" s="1226"/>
      <c r="D44" s="1232"/>
      <c r="E44" s="1231"/>
      <c r="F44" s="98"/>
      <c r="G44" s="198" t="str">
        <f>非表示_リスト!H133</f>
        <v>無し</v>
      </c>
      <c r="H44" s="90"/>
      <c r="I44" s="90" t="s">
        <v>126</v>
      </c>
      <c r="J44" s="1230"/>
      <c r="K44" s="1226"/>
      <c r="L44" s="1226"/>
      <c r="O44" s="126" t="s">
        <v>143</v>
      </c>
      <c r="P44" s="127"/>
      <c r="Q44" s="127"/>
      <c r="R44" s="127"/>
      <c r="S44" s="127"/>
      <c r="T44" s="128"/>
      <c r="X44" s="187">
        <v>2029</v>
      </c>
      <c r="Y44" s="188">
        <v>0.36</v>
      </c>
      <c r="Z44" s="188">
        <v>0.36</v>
      </c>
      <c r="AA44" s="189" t="s">
        <v>33</v>
      </c>
      <c r="AI44" s="107" t="s">
        <v>68</v>
      </c>
      <c r="AJ44" s="199" t="str">
        <f>I37</f>
        <v>○</v>
      </c>
      <c r="AK44" s="138"/>
      <c r="AL44" s="138"/>
      <c r="AM44" s="114"/>
    </row>
    <row r="45" spans="2:79" ht="18" customHeight="1">
      <c r="B45" s="1233"/>
      <c r="C45" s="1226"/>
      <c r="D45" s="1232"/>
      <c r="E45" s="1231"/>
      <c r="F45" s="98"/>
      <c r="G45" s="198" t="str">
        <f>非表示_リスト!I133</f>
        <v>未定</v>
      </c>
      <c r="H45" s="90"/>
      <c r="I45" s="90" t="s">
        <v>126</v>
      </c>
      <c r="J45" s="1230"/>
      <c r="K45" s="1226"/>
      <c r="L45" s="1226"/>
      <c r="O45" s="133"/>
      <c r="P45" s="134" t="s">
        <v>97</v>
      </c>
      <c r="Q45" s="134"/>
      <c r="R45" s="134"/>
      <c r="S45" s="134"/>
      <c r="T45" s="135"/>
      <c r="X45" s="187">
        <v>2030</v>
      </c>
      <c r="Y45" s="188">
        <v>0.38</v>
      </c>
      <c r="Z45" s="188">
        <v>0.38</v>
      </c>
      <c r="AA45" s="189" t="s">
        <v>33</v>
      </c>
      <c r="AI45" s="200"/>
      <c r="AJ45" s="199" t="str">
        <f>I38</f>
        <v>✕</v>
      </c>
      <c r="AK45" s="138"/>
      <c r="AL45" s="138"/>
      <c r="AM45" s="114"/>
    </row>
    <row r="46" spans="2:79" ht="18" customHeight="1">
      <c r="B46" s="1233"/>
      <c r="C46" s="1226">
        <v>4</v>
      </c>
      <c r="D46" s="1226" t="s">
        <v>144</v>
      </c>
      <c r="E46" s="1230" t="s">
        <v>145</v>
      </c>
      <c r="F46" s="98"/>
      <c r="G46" s="198" t="str">
        <f>非表示_リスト!G138</f>
        <v>公表</v>
      </c>
      <c r="H46" s="96"/>
      <c r="I46" s="90" t="s">
        <v>122</v>
      </c>
      <c r="J46" s="1226" t="str">
        <f t="shared" ref="J46" si="26">K3</f>
        <v>ー</v>
      </c>
      <c r="K46" s="1226"/>
      <c r="L46" s="1226" t="str">
        <f>K3</f>
        <v>ー</v>
      </c>
      <c r="O46" s="137"/>
      <c r="P46" s="138"/>
      <c r="Q46" s="138" t="s">
        <v>98</v>
      </c>
      <c r="R46" s="139" t="str">
        <f ca="1">参考1_評価結果!N31</f>
        <v/>
      </c>
      <c r="S46" s="140" t="s">
        <v>47</v>
      </c>
      <c r="T46" s="141" t="b">
        <f ca="1">IF(R46=$Q$5,$T$5)</f>
        <v>0</v>
      </c>
    </row>
    <row r="47" spans="2:79" ht="18" customHeight="1">
      <c r="B47" s="1233"/>
      <c r="C47" s="1226"/>
      <c r="D47" s="1226"/>
      <c r="E47" s="1230"/>
      <c r="F47" s="98"/>
      <c r="G47" s="198" t="str">
        <f>非表示_リスト!H138</f>
        <v>非公表（策定済）</v>
      </c>
      <c r="H47" s="96"/>
      <c r="I47" s="90" t="s">
        <v>1478</v>
      </c>
      <c r="J47" s="1226"/>
      <c r="K47" s="1226"/>
      <c r="L47" s="1226"/>
      <c r="O47" s="137"/>
      <c r="P47" s="138"/>
      <c r="Q47" s="138" t="s">
        <v>99</v>
      </c>
      <c r="R47" s="139">
        <f ca="1">参考1_評価結果!N37</f>
        <v>0</v>
      </c>
      <c r="S47" s="140"/>
      <c r="T47" s="141"/>
    </row>
    <row r="48" spans="2:79" ht="18" customHeight="1">
      <c r="B48" s="1233"/>
      <c r="C48" s="1226"/>
      <c r="D48" s="1226"/>
      <c r="E48" s="1230"/>
      <c r="F48" s="98"/>
      <c r="G48" s="198" t="str">
        <f>非表示_リスト!I138</f>
        <v>未策定</v>
      </c>
      <c r="H48" s="96"/>
      <c r="I48" s="90" t="s">
        <v>126</v>
      </c>
      <c r="J48" s="1226"/>
      <c r="K48" s="1226"/>
      <c r="L48" s="1226"/>
      <c r="O48" s="137"/>
      <c r="P48" s="138"/>
      <c r="Q48" s="138" t="s">
        <v>41</v>
      </c>
      <c r="R48" s="142" t="str">
        <f ca="1">IF(T46&lt;&gt;FALSE,T46,IF(T48&lt;&gt;FALSE,T48,IF(T49&lt;&gt;FALSE,T49,IF(T50&lt;&gt;FALSE,T50,IF(T51&lt;&gt;FALSE,T51,IF(T52&lt;&gt;FALSE,T52,""))))))</f>
        <v/>
      </c>
      <c r="S48" s="140" t="s">
        <v>47</v>
      </c>
      <c r="T48" s="141" t="b">
        <f ca="1">IF(R46=$Q$12,IF(R47=3,$T$12))</f>
        <v>0</v>
      </c>
    </row>
    <row r="49" spans="2:90" ht="18" customHeight="1">
      <c r="B49" s="1233"/>
      <c r="C49" s="1226"/>
      <c r="D49" s="1226"/>
      <c r="E49" s="1230" t="s">
        <v>146</v>
      </c>
      <c r="F49" s="1231" t="s">
        <v>147</v>
      </c>
      <c r="G49" s="198" t="str">
        <f>非表示_リスト!G143</f>
        <v>有り</v>
      </c>
      <c r="H49" s="90"/>
      <c r="I49" s="90" t="s">
        <v>122</v>
      </c>
      <c r="J49" s="1226"/>
      <c r="K49" s="1226"/>
      <c r="L49" s="1226"/>
      <c r="O49" s="137"/>
      <c r="P49" s="138"/>
      <c r="Q49" s="138"/>
      <c r="R49" s="138"/>
      <c r="S49" s="140" t="s">
        <v>80</v>
      </c>
      <c r="T49" s="141" t="b">
        <f ca="1">IF(R46=$Q$12,IF(AND(R47&lt;3,R47&gt;=1),$T$13))</f>
        <v>0</v>
      </c>
      <c r="W49" s="93" t="s">
        <v>148</v>
      </c>
      <c r="AH49" s="93" t="str">
        <f>W49</f>
        <v>乗用自動車における電気自動車及び燃料電池自動車の導入割合</v>
      </c>
      <c r="AR49" s="86"/>
      <c r="AS49" s="86"/>
      <c r="BE49" s="86"/>
      <c r="BM49" s="86"/>
      <c r="BW49" s="86"/>
      <c r="CB49" s="86"/>
      <c r="CC49" s="86"/>
      <c r="CK49" s="86"/>
      <c r="CL49" s="86"/>
    </row>
    <row r="50" spans="2:90" ht="18" customHeight="1">
      <c r="B50" s="1233"/>
      <c r="C50" s="1226"/>
      <c r="D50" s="1226"/>
      <c r="E50" s="1230"/>
      <c r="F50" s="1231"/>
      <c r="G50" s="198" t="str">
        <f>非表示_リスト!H143</f>
        <v>無し</v>
      </c>
      <c r="H50" s="90"/>
      <c r="I50" s="90" t="s">
        <v>126</v>
      </c>
      <c r="J50" s="1226"/>
      <c r="K50" s="1226"/>
      <c r="L50" s="1226"/>
      <c r="O50" s="137"/>
      <c r="P50" s="138"/>
      <c r="Q50" s="138"/>
      <c r="R50" s="138"/>
      <c r="S50" s="140" t="s">
        <v>80</v>
      </c>
      <c r="T50" s="141" t="b">
        <f ca="1">IF(R46=$Q$12,IF($R$21&lt;1,$T$14))</f>
        <v>0</v>
      </c>
      <c r="X50" s="171" t="s">
        <v>60</v>
      </c>
      <c r="Y50" s="172" t="s">
        <v>61</v>
      </c>
      <c r="Z50" s="172" t="s">
        <v>62</v>
      </c>
      <c r="AA50" s="173" t="s">
        <v>51</v>
      </c>
      <c r="AI50" s="201" t="s">
        <v>135</v>
      </c>
      <c r="AJ50" s="202"/>
      <c r="AK50" s="202"/>
      <c r="AL50" s="175"/>
      <c r="AR50" s="86"/>
      <c r="AS50" s="86"/>
      <c r="BE50" s="86"/>
      <c r="BM50" s="86"/>
      <c r="BW50" s="86"/>
      <c r="CB50" s="86"/>
      <c r="CC50" s="86"/>
      <c r="CK50" s="86"/>
      <c r="CL50" s="86"/>
    </row>
    <row r="51" spans="2:90" ht="18" customHeight="1">
      <c r="B51" s="1233"/>
      <c r="C51" s="1226"/>
      <c r="D51" s="1226"/>
      <c r="E51" s="1230"/>
      <c r="F51" s="1232" t="s">
        <v>149</v>
      </c>
      <c r="G51" s="98" t="str">
        <f t="shared" ref="G51:G56" si="27">G49</f>
        <v>有り</v>
      </c>
      <c r="H51" s="90"/>
      <c r="I51" s="90" t="s">
        <v>122</v>
      </c>
      <c r="J51" s="1226"/>
      <c r="K51" s="1226"/>
      <c r="L51" s="1226"/>
      <c r="O51" s="137"/>
      <c r="P51" s="138"/>
      <c r="Q51" s="138"/>
      <c r="R51" s="138"/>
      <c r="S51" s="140" t="s">
        <v>80</v>
      </c>
      <c r="T51" s="141" t="b">
        <f ca="1">IF(R46=$Q$15,IF($R$21=3,$T$15))</f>
        <v>0</v>
      </c>
      <c r="X51" s="187">
        <v>2025</v>
      </c>
      <c r="Y51" s="203" t="s">
        <v>33</v>
      </c>
      <c r="Z51" s="203" t="s">
        <v>33</v>
      </c>
      <c r="AA51" s="204">
        <v>0.06</v>
      </c>
      <c r="AI51" s="205" t="s">
        <v>136</v>
      </c>
      <c r="AJ51" s="206"/>
      <c r="AK51" s="207"/>
      <c r="AL51" s="193" t="s">
        <v>51</v>
      </c>
      <c r="AR51" s="86"/>
      <c r="AS51" s="86"/>
      <c r="BE51" s="86"/>
      <c r="BM51" s="86"/>
      <c r="BW51" s="86"/>
      <c r="CB51" s="86"/>
      <c r="CC51" s="86"/>
      <c r="CK51" s="86"/>
      <c r="CL51" s="86"/>
    </row>
    <row r="52" spans="2:90" ht="18" customHeight="1">
      <c r="B52" s="1233"/>
      <c r="C52" s="1226"/>
      <c r="D52" s="1226"/>
      <c r="E52" s="1230"/>
      <c r="F52" s="1232"/>
      <c r="G52" s="98" t="str">
        <f t="shared" si="27"/>
        <v>無し</v>
      </c>
      <c r="H52" s="90"/>
      <c r="I52" s="90" t="s">
        <v>126</v>
      </c>
      <c r="J52" s="1226"/>
      <c r="K52" s="1226"/>
      <c r="L52" s="1226"/>
      <c r="O52" s="137"/>
      <c r="P52" s="138"/>
      <c r="Q52" s="138"/>
      <c r="R52" s="138"/>
      <c r="S52" s="140" t="s">
        <v>87</v>
      </c>
      <c r="T52" s="141" t="b">
        <f ca="1">IF(R46=$Q$15,IF($R$21&lt;3,$T$16))</f>
        <v>0</v>
      </c>
      <c r="X52" s="187">
        <v>2026</v>
      </c>
      <c r="Y52" s="203" t="s">
        <v>33</v>
      </c>
      <c r="Z52" s="203" t="s">
        <v>33</v>
      </c>
      <c r="AA52" s="204">
        <v>0.08</v>
      </c>
      <c r="AI52" s="205" t="s">
        <v>139</v>
      </c>
      <c r="AJ52" s="206" t="s">
        <v>97</v>
      </c>
      <c r="AK52" s="195">
        <f>'B1.入力_第1面'!P43</f>
        <v>2025</v>
      </c>
      <c r="AL52" s="197">
        <f>IF(AK52=X51,AA51,IF(AK52=X52,AA52,IF(AK52=X53,AA53,IF(AK52=X54,AA54,IF(AK52=X55,AA55,IF(AK52=X56,AA56,""))))))</f>
        <v>0.06</v>
      </c>
      <c r="AR52" s="86"/>
      <c r="AS52" s="86"/>
      <c r="BE52" s="86"/>
      <c r="BM52" s="86"/>
      <c r="BW52" s="86"/>
      <c r="CB52" s="86"/>
      <c r="CC52" s="86"/>
      <c r="CK52" s="86"/>
      <c r="CL52" s="86"/>
    </row>
    <row r="53" spans="2:90" ht="18" customHeight="1">
      <c r="B53" s="1233"/>
      <c r="C53" s="1226"/>
      <c r="D53" s="1226"/>
      <c r="E53" s="1230"/>
      <c r="F53" s="1232" t="s">
        <v>150</v>
      </c>
      <c r="G53" s="98" t="str">
        <f t="shared" si="27"/>
        <v>有り</v>
      </c>
      <c r="H53" s="90"/>
      <c r="I53" s="90" t="s">
        <v>122</v>
      </c>
      <c r="J53" s="1226"/>
      <c r="K53" s="1226"/>
      <c r="L53" s="1226"/>
      <c r="O53" s="133"/>
      <c r="P53" s="134" t="s">
        <v>102</v>
      </c>
      <c r="Q53" s="134"/>
      <c r="R53" s="146"/>
      <c r="S53" s="134"/>
      <c r="T53" s="135"/>
      <c r="X53" s="187">
        <v>2027</v>
      </c>
      <c r="Y53" s="203" t="s">
        <v>33</v>
      </c>
      <c r="Z53" s="203" t="s">
        <v>33</v>
      </c>
      <c r="AA53" s="204">
        <v>0.1</v>
      </c>
      <c r="AI53" s="107"/>
      <c r="AJ53" s="206" t="s">
        <v>102</v>
      </c>
      <c r="AK53" s="195">
        <f>'B1.入力_第1面'!Z43</f>
        <v>2026</v>
      </c>
      <c r="AL53" s="197">
        <f>IF(AK53=X51,AA51,IF(AK53=X52,AA52,IF(AK53=X53,AA53,IF(AK53=X54,AA54,IF(AK53=X55,AA55,IF(AK53=X56,AA56,""))))))</f>
        <v>0.08</v>
      </c>
      <c r="AR53" s="86"/>
      <c r="AS53" s="86"/>
      <c r="BE53" s="86"/>
      <c r="BM53" s="86"/>
      <c r="BW53" s="86"/>
      <c r="CB53" s="86"/>
      <c r="CC53" s="86"/>
      <c r="CK53" s="86"/>
      <c r="CL53" s="86"/>
    </row>
    <row r="54" spans="2:90" ht="18" customHeight="1">
      <c r="B54" s="1233"/>
      <c r="C54" s="1226"/>
      <c r="D54" s="1226"/>
      <c r="E54" s="1230"/>
      <c r="F54" s="1232"/>
      <c r="G54" s="98" t="str">
        <f t="shared" si="27"/>
        <v>無し</v>
      </c>
      <c r="H54" s="90"/>
      <c r="I54" s="90" t="s">
        <v>126</v>
      </c>
      <c r="J54" s="1226"/>
      <c r="K54" s="1226"/>
      <c r="L54" s="1226"/>
      <c r="O54" s="137"/>
      <c r="P54" s="138"/>
      <c r="Q54" s="138" t="s">
        <v>98</v>
      </c>
      <c r="R54" s="139" t="str">
        <f ca="1">参考1_評価結果!T31</f>
        <v/>
      </c>
      <c r="S54" s="140" t="s">
        <v>47</v>
      </c>
      <c r="T54" s="141" t="b">
        <f ca="1">IF(R54=$Q$5,$T$5)</f>
        <v>0</v>
      </c>
      <c r="X54" s="187">
        <v>2028</v>
      </c>
      <c r="Y54" s="203" t="s">
        <v>33</v>
      </c>
      <c r="Z54" s="203" t="s">
        <v>33</v>
      </c>
      <c r="AA54" s="204">
        <v>0.12</v>
      </c>
      <c r="AI54" s="107"/>
      <c r="AJ54" s="206" t="s">
        <v>123</v>
      </c>
      <c r="AK54" s="195">
        <f>'B1.入力_第1面'!AJ43</f>
        <v>2027</v>
      </c>
      <c r="AL54" s="197">
        <f>IF(AK54=X51,AA51,IF(AK54=X52,AA52,IF(AK54=X53,AA53,IF(AK54=X54,AA54,IF(AK54=X55,AA55,IF(AK54=X56,AA56,""))))))</f>
        <v>0.1</v>
      </c>
      <c r="AR54" s="86"/>
      <c r="AS54" s="86"/>
      <c r="BE54" s="86"/>
      <c r="BM54" s="86"/>
      <c r="BW54" s="86"/>
      <c r="CB54" s="86"/>
      <c r="CC54" s="86"/>
      <c r="CK54" s="86"/>
      <c r="CL54" s="86"/>
    </row>
    <row r="55" spans="2:90" ht="18" customHeight="1">
      <c r="B55" s="1233"/>
      <c r="C55" s="1226"/>
      <c r="D55" s="1226"/>
      <c r="E55" s="1230"/>
      <c r="F55" s="1232" t="s">
        <v>151</v>
      </c>
      <c r="G55" s="98" t="str">
        <f t="shared" si="27"/>
        <v>有り</v>
      </c>
      <c r="H55" s="90"/>
      <c r="I55" s="90" t="s">
        <v>122</v>
      </c>
      <c r="J55" s="1226"/>
      <c r="K55" s="1226"/>
      <c r="L55" s="1226"/>
      <c r="O55" s="137"/>
      <c r="P55" s="138"/>
      <c r="Q55" s="138" t="s">
        <v>99</v>
      </c>
      <c r="R55" s="139">
        <f ca="1">参考1_評価結果!T37</f>
        <v>0</v>
      </c>
      <c r="S55" s="140"/>
      <c r="T55" s="141"/>
      <c r="X55" s="187">
        <v>2029</v>
      </c>
      <c r="Y55" s="203" t="s">
        <v>33</v>
      </c>
      <c r="Z55" s="203" t="s">
        <v>33</v>
      </c>
      <c r="AA55" s="204">
        <v>0.14000000000000001</v>
      </c>
      <c r="AI55" s="107" t="s">
        <v>68</v>
      </c>
      <c r="AJ55" s="199" t="str">
        <f>I39</f>
        <v>○</v>
      </c>
      <c r="AK55" s="138"/>
      <c r="AL55" s="114"/>
      <c r="AR55" s="86"/>
      <c r="AS55" s="86"/>
      <c r="BE55" s="86"/>
      <c r="BM55" s="86"/>
      <c r="BW55" s="86"/>
      <c r="CB55" s="86"/>
      <c r="CC55" s="86"/>
      <c r="CK55" s="86"/>
      <c r="CL55" s="86"/>
    </row>
    <row r="56" spans="2:90" ht="18" customHeight="1">
      <c r="B56" s="1233"/>
      <c r="C56" s="1226"/>
      <c r="D56" s="1226"/>
      <c r="E56" s="1230"/>
      <c r="F56" s="1232"/>
      <c r="G56" s="98" t="str">
        <f t="shared" si="27"/>
        <v>無し</v>
      </c>
      <c r="H56" s="90"/>
      <c r="I56" s="90" t="s">
        <v>126</v>
      </c>
      <c r="J56" s="1226"/>
      <c r="K56" s="1226"/>
      <c r="L56" s="1226"/>
      <c r="O56" s="137"/>
      <c r="P56" s="138"/>
      <c r="Q56" s="138" t="s">
        <v>41</v>
      </c>
      <c r="R56" s="142" t="str">
        <f ca="1">IF(T54&lt;&gt;FALSE,T54,IF(T56&lt;&gt;FALSE,T56,IF(T57&lt;&gt;FALSE,T57,IF(T58&lt;&gt;FALSE,T58,IF(T59&lt;&gt;FALSE,T59,IF(T60&lt;&gt;FALSE,T60,""))))))</f>
        <v/>
      </c>
      <c r="S56" s="140" t="s">
        <v>47</v>
      </c>
      <c r="T56" s="141" t="b">
        <f ca="1">IF(R54=$Q$12,IF(R55=3,$T$12))</f>
        <v>0</v>
      </c>
      <c r="X56" s="187">
        <v>2030</v>
      </c>
      <c r="Y56" s="203" t="s">
        <v>33</v>
      </c>
      <c r="Z56" s="203" t="s">
        <v>33</v>
      </c>
      <c r="AA56" s="204">
        <v>0.16</v>
      </c>
      <c r="AI56" s="208"/>
      <c r="AJ56" s="199" t="str">
        <f>I40</f>
        <v>✕</v>
      </c>
      <c r="AK56" s="138"/>
      <c r="AL56" s="114"/>
    </row>
    <row r="57" spans="2:90" ht="18" customHeight="1">
      <c r="B57" s="1233"/>
      <c r="C57" s="1226"/>
      <c r="D57" s="1226"/>
      <c r="E57" s="1231" t="s">
        <v>152</v>
      </c>
      <c r="F57" s="98"/>
      <c r="G57" s="198" t="str">
        <f>非表示_リスト!G148</f>
        <v>実施した</v>
      </c>
      <c r="H57" s="90"/>
      <c r="I57" s="90" t="s">
        <v>122</v>
      </c>
      <c r="J57" s="1226"/>
      <c r="K57" s="1226"/>
      <c r="L57" s="1226"/>
      <c r="O57" s="137"/>
      <c r="P57" s="138"/>
      <c r="Q57" s="138"/>
      <c r="R57" s="138"/>
      <c r="S57" s="140" t="s">
        <v>80</v>
      </c>
      <c r="T57" s="141" t="b">
        <f ca="1">IF(R54=$Q$12,IF(AND(R55&lt;3,R55&gt;=1),$T$13))</f>
        <v>0</v>
      </c>
    </row>
    <row r="58" spans="2:90" ht="18" customHeight="1">
      <c r="B58" s="1233"/>
      <c r="C58" s="1226"/>
      <c r="D58" s="1226"/>
      <c r="E58" s="1231"/>
      <c r="F58" s="98"/>
      <c r="G58" s="198" t="str">
        <f>非表示_リスト!H148</f>
        <v>実施しなかった</v>
      </c>
      <c r="H58" s="90"/>
      <c r="I58" s="90" t="s">
        <v>126</v>
      </c>
      <c r="J58" s="1226"/>
      <c r="K58" s="1226"/>
      <c r="L58" s="1226"/>
      <c r="O58" s="137"/>
      <c r="P58" s="138"/>
      <c r="Q58" s="138"/>
      <c r="R58" s="138"/>
      <c r="S58" s="140" t="s">
        <v>80</v>
      </c>
      <c r="T58" s="141" t="b">
        <f ca="1">IF(R54=$Q$12,IF(R55&lt;1,$T$14))</f>
        <v>0</v>
      </c>
      <c r="W58" s="93" t="s">
        <v>153</v>
      </c>
      <c r="AH58" s="93" t="str">
        <f>W58</f>
        <v>バス・貨物自動車における電気自動車及び燃料電池自動車の導入状況</v>
      </c>
      <c r="AR58" s="86"/>
      <c r="AS58" s="86"/>
      <c r="BE58" s="86"/>
      <c r="BM58" s="86"/>
      <c r="BW58" s="86"/>
      <c r="CB58" s="86"/>
      <c r="CC58" s="86"/>
      <c r="CK58" s="86"/>
      <c r="CL58" s="86"/>
    </row>
    <row r="59" spans="2:90" ht="18" customHeight="1">
      <c r="O59" s="137"/>
      <c r="P59" s="138"/>
      <c r="Q59" s="138"/>
      <c r="R59" s="138"/>
      <c r="S59" s="140" t="s">
        <v>80</v>
      </c>
      <c r="T59" s="141" t="b">
        <f ca="1">IF(R54=$Q$15,IF(R55=3,$T$15))</f>
        <v>0</v>
      </c>
      <c r="X59" s="171" t="s">
        <v>60</v>
      </c>
      <c r="Y59" s="172" t="s">
        <v>61</v>
      </c>
      <c r="Z59" s="172" t="s">
        <v>62</v>
      </c>
      <c r="AA59" s="172" t="s">
        <v>51</v>
      </c>
      <c r="AB59" s="173"/>
      <c r="AI59" s="201" t="s">
        <v>135</v>
      </c>
      <c r="AJ59" s="202"/>
      <c r="AK59" s="202"/>
      <c r="AL59" s="174"/>
      <c r="AM59" s="175"/>
      <c r="AR59" s="86"/>
      <c r="AS59" s="86"/>
      <c r="BE59" s="86"/>
      <c r="BM59" s="86"/>
      <c r="BW59" s="86"/>
      <c r="CB59" s="86"/>
      <c r="CC59" s="86"/>
      <c r="CK59" s="86"/>
      <c r="CL59" s="86"/>
    </row>
    <row r="60" spans="2:90" ht="18" customHeight="1">
      <c r="O60" s="137"/>
      <c r="P60" s="138"/>
      <c r="Q60" s="138"/>
      <c r="R60" s="138"/>
      <c r="S60" s="140" t="s">
        <v>87</v>
      </c>
      <c r="T60" s="141" t="b">
        <f ca="1">IF(R54=$Q$15,IF(R55&lt;3,$T$16))</f>
        <v>0</v>
      </c>
      <c r="X60" s="187">
        <v>2025</v>
      </c>
      <c r="Y60" s="203" t="s">
        <v>33</v>
      </c>
      <c r="Z60" s="203" t="s">
        <v>33</v>
      </c>
      <c r="AA60" s="209">
        <f>G41</f>
        <v>1</v>
      </c>
      <c r="AB60" s="210" t="s">
        <v>138</v>
      </c>
      <c r="AI60" s="205" t="s">
        <v>136</v>
      </c>
      <c r="AJ60" s="206"/>
      <c r="AK60" s="207"/>
      <c r="AL60" s="140" t="s">
        <v>51</v>
      </c>
      <c r="AM60" s="114"/>
      <c r="AR60" s="86"/>
      <c r="AS60" s="86"/>
      <c r="BE60" s="86"/>
      <c r="BM60" s="86"/>
      <c r="BW60" s="86"/>
      <c r="CB60" s="86"/>
      <c r="CC60" s="86"/>
      <c r="CK60" s="86"/>
      <c r="CL60" s="86"/>
    </row>
    <row r="61" spans="2:90" ht="18" customHeight="1">
      <c r="O61" s="133"/>
      <c r="P61" s="134" t="s">
        <v>123</v>
      </c>
      <c r="Q61" s="134"/>
      <c r="R61" s="134"/>
      <c r="S61" s="134"/>
      <c r="T61" s="135"/>
      <c r="X61" s="187">
        <v>2026</v>
      </c>
      <c r="Y61" s="203" t="s">
        <v>33</v>
      </c>
      <c r="Z61" s="203" t="s">
        <v>33</v>
      </c>
      <c r="AA61" s="209">
        <f>G41</f>
        <v>1</v>
      </c>
      <c r="AB61" s="210" t="s">
        <v>138</v>
      </c>
      <c r="AI61" s="205" t="s">
        <v>139</v>
      </c>
      <c r="AJ61" s="206" t="s">
        <v>97</v>
      </c>
      <c r="AK61" s="195">
        <f>'B1.入力_第1面'!P43</f>
        <v>2025</v>
      </c>
      <c r="AL61" s="211">
        <f>IF(AK61=X60,AA60,IF(AK61=X61,AA61,IF(AK61=X62,AA62,IF(AK61=X63,AA63,IF(AK61=X64,AA64,IF(AK61=X65,AA65,""))))))</f>
        <v>1</v>
      </c>
      <c r="AM61" s="114" t="s">
        <v>138</v>
      </c>
      <c r="AR61" s="86"/>
      <c r="AS61" s="86"/>
      <c r="BE61" s="86"/>
      <c r="BM61" s="86"/>
      <c r="BW61" s="86"/>
      <c r="CB61" s="86"/>
      <c r="CC61" s="86"/>
      <c r="CK61" s="86"/>
      <c r="CL61" s="86"/>
    </row>
    <row r="62" spans="2:90" ht="18" customHeight="1">
      <c r="O62" s="137"/>
      <c r="P62" s="138"/>
      <c r="Q62" s="138" t="s">
        <v>98</v>
      </c>
      <c r="R62" s="139" t="str">
        <f>参考1_評価結果!Z31</f>
        <v/>
      </c>
      <c r="S62" s="140" t="s">
        <v>47</v>
      </c>
      <c r="T62" s="141" t="b">
        <f>IF(R62=$Q$5,$T$5)</f>
        <v>0</v>
      </c>
      <c r="X62" s="187">
        <v>2027</v>
      </c>
      <c r="Y62" s="203" t="s">
        <v>33</v>
      </c>
      <c r="Z62" s="203" t="s">
        <v>33</v>
      </c>
      <c r="AA62" s="209">
        <f>G41</f>
        <v>1</v>
      </c>
      <c r="AB62" s="210" t="s">
        <v>138</v>
      </c>
      <c r="AI62" s="107"/>
      <c r="AJ62" s="206" t="s">
        <v>102</v>
      </c>
      <c r="AK62" s="195">
        <f>'B1.入力_第1面'!Z43</f>
        <v>2026</v>
      </c>
      <c r="AL62" s="211">
        <f>IF(AK62=X60,AA60,IF(AK62=X61,AA61,IF(AK62=X62,AA62,IF(AK62=X63,AA63,IF(AK62=X64,AA64,IF(AK62=X65,AA65,""))))))</f>
        <v>1</v>
      </c>
      <c r="AM62" s="114" t="s">
        <v>138</v>
      </c>
      <c r="AR62" s="86"/>
      <c r="AS62" s="86"/>
      <c r="BE62" s="86"/>
      <c r="BM62" s="86"/>
      <c r="BW62" s="86"/>
      <c r="CB62" s="86"/>
      <c r="CC62" s="86"/>
      <c r="CK62" s="86"/>
      <c r="CL62" s="86"/>
    </row>
    <row r="63" spans="2:90" ht="18" customHeight="1">
      <c r="O63" s="137"/>
      <c r="P63" s="138"/>
      <c r="Q63" s="138" t="s">
        <v>99</v>
      </c>
      <c r="R63" s="139">
        <f ca="1">参考1_評価結果!Z37</f>
        <v>0</v>
      </c>
      <c r="S63" s="140"/>
      <c r="T63" s="141"/>
      <c r="X63" s="187">
        <v>2028</v>
      </c>
      <c r="Y63" s="203" t="s">
        <v>33</v>
      </c>
      <c r="Z63" s="203" t="s">
        <v>33</v>
      </c>
      <c r="AA63" s="209">
        <f>G41</f>
        <v>1</v>
      </c>
      <c r="AB63" s="210" t="s">
        <v>138</v>
      </c>
      <c r="AI63" s="107"/>
      <c r="AJ63" s="206" t="s">
        <v>123</v>
      </c>
      <c r="AK63" s="195">
        <f>'B1.入力_第1面'!AJ43</f>
        <v>2027</v>
      </c>
      <c r="AL63" s="211">
        <f>IF(AK63=X60,AA60,IF(AK63=X61,AA61,IF(AK63=X62,AA62,IF(AK63=X63,AA63,IF(AK63=X64,AA64,IF(AK63=X65,AA65,""))))))</f>
        <v>1</v>
      </c>
      <c r="AM63" s="114" t="s">
        <v>138</v>
      </c>
      <c r="AR63" s="86"/>
      <c r="AS63" s="86"/>
      <c r="BE63" s="86"/>
      <c r="BM63" s="86"/>
      <c r="BW63" s="86"/>
      <c r="CB63" s="86"/>
      <c r="CC63" s="86"/>
      <c r="CK63" s="86"/>
      <c r="CL63" s="86"/>
    </row>
    <row r="64" spans="2:90" ht="18" customHeight="1">
      <c r="O64" s="137"/>
      <c r="P64" s="138"/>
      <c r="Q64" s="138" t="s">
        <v>41</v>
      </c>
      <c r="R64" s="142" t="str">
        <f>IF(T62&lt;&gt;FALSE,T62,IF(T64&lt;&gt;FALSE,T64,IF(T65&lt;&gt;FALSE,T65,IF(T66&lt;&gt;FALSE,T66,IF(T67&lt;&gt;FALSE,T67,IF(T68&lt;&gt;FALSE,T68,""))))))</f>
        <v/>
      </c>
      <c r="S64" s="140" t="s">
        <v>47</v>
      </c>
      <c r="T64" s="141" t="b">
        <f>IF(R62=$Q$12,IF(R63=3,$T$12))</f>
        <v>0</v>
      </c>
      <c r="X64" s="187">
        <v>2029</v>
      </c>
      <c r="Y64" s="203" t="s">
        <v>33</v>
      </c>
      <c r="Z64" s="203" t="s">
        <v>33</v>
      </c>
      <c r="AA64" s="209">
        <f>G41</f>
        <v>1</v>
      </c>
      <c r="AB64" s="210" t="s">
        <v>138</v>
      </c>
      <c r="AI64" s="107" t="s">
        <v>68</v>
      </c>
      <c r="AJ64" s="199" t="str">
        <f>I41</f>
        <v>○</v>
      </c>
      <c r="AK64" s="138"/>
      <c r="AL64" s="138"/>
      <c r="AM64" s="114"/>
      <c r="AR64" s="86"/>
      <c r="AS64" s="86"/>
      <c r="BE64" s="86"/>
      <c r="BM64" s="86"/>
      <c r="BW64" s="86"/>
      <c r="CB64" s="86"/>
      <c r="CC64" s="86"/>
      <c r="CK64" s="86"/>
      <c r="CL64" s="86"/>
    </row>
    <row r="65" spans="15:90" ht="18" customHeight="1">
      <c r="O65" s="137"/>
      <c r="P65" s="138"/>
      <c r="Q65" s="138"/>
      <c r="R65" s="138"/>
      <c r="S65" s="140" t="s">
        <v>80</v>
      </c>
      <c r="T65" s="141" t="b">
        <f>IF(R62=$Q$12,IF(AND(R63&lt;3,R63&gt;=1),$T$13))</f>
        <v>0</v>
      </c>
      <c r="X65" s="187">
        <v>2030</v>
      </c>
      <c r="Y65" s="203" t="s">
        <v>33</v>
      </c>
      <c r="Z65" s="203" t="s">
        <v>33</v>
      </c>
      <c r="AA65" s="209">
        <f>G41</f>
        <v>1</v>
      </c>
      <c r="AB65" s="210" t="s">
        <v>138</v>
      </c>
      <c r="AI65" s="208"/>
      <c r="AJ65" s="199" t="str">
        <f>I42</f>
        <v>✕</v>
      </c>
      <c r="AK65" s="138"/>
      <c r="AL65" s="138"/>
      <c r="AM65" s="114"/>
      <c r="AR65" s="86"/>
      <c r="AS65" s="86"/>
      <c r="BE65" s="86"/>
      <c r="BM65" s="86"/>
      <c r="BW65" s="86"/>
      <c r="CB65" s="86"/>
      <c r="CC65" s="86"/>
      <c r="CK65" s="86"/>
      <c r="CL65" s="86"/>
    </row>
    <row r="66" spans="15:90" ht="18" customHeight="1">
      <c r="O66" s="137"/>
      <c r="P66" s="138"/>
      <c r="Q66" s="138"/>
      <c r="R66" s="138"/>
      <c r="S66" s="140" t="s">
        <v>80</v>
      </c>
      <c r="T66" s="141" t="b">
        <f>IF(R62=$Q$12,IF(R63&lt;1,$T$14))</f>
        <v>0</v>
      </c>
    </row>
    <row r="67" spans="15:90" ht="18" customHeight="1">
      <c r="O67" s="137"/>
      <c r="P67" s="138"/>
      <c r="Q67" s="138"/>
      <c r="R67" s="138"/>
      <c r="S67" s="140" t="s">
        <v>80</v>
      </c>
      <c r="T67" s="141" t="b">
        <f>IF(R62=$Q$15,IF(R63=3,$T$15))</f>
        <v>0</v>
      </c>
      <c r="AG67" s="93" t="s">
        <v>154</v>
      </c>
    </row>
    <row r="68" spans="15:90" ht="18" customHeight="1">
      <c r="O68" s="137"/>
      <c r="P68" s="138"/>
      <c r="Q68" s="138"/>
      <c r="R68" s="138"/>
      <c r="S68" s="140" t="s">
        <v>87</v>
      </c>
      <c r="T68" s="141" t="b">
        <f>IF(R62=$Q$15,IF(R63&lt;3,$T$16))</f>
        <v>0</v>
      </c>
      <c r="AH68" s="95" t="s">
        <v>155</v>
      </c>
    </row>
    <row r="69" spans="15:90" ht="18" customHeight="1">
      <c r="AI69" s="171" t="s">
        <v>135</v>
      </c>
      <c r="AJ69" s="172"/>
      <c r="AK69" s="174"/>
      <c r="AL69" s="172"/>
      <c r="AM69" s="174"/>
      <c r="AN69" s="174"/>
      <c r="AO69" s="174"/>
      <c r="AP69" s="174"/>
      <c r="AQ69" s="174"/>
      <c r="AR69" s="175"/>
    </row>
    <row r="70" spans="15:90" ht="18" customHeight="1">
      <c r="AI70" s="107" t="s">
        <v>156</v>
      </c>
      <c r="AJ70" s="140" t="s">
        <v>157</v>
      </c>
      <c r="AK70" s="140" t="str">
        <f>IF(SUM(AK71:AK74)&gt;0,非表示_リスト!G146,"無し・未定")</f>
        <v>無し・未定</v>
      </c>
      <c r="AL70" s="140" t="s">
        <v>97</v>
      </c>
      <c r="AM70" s="140" t="str">
        <f>IF(SUM(AM71:AM74)&gt;0,G57,G58)</f>
        <v>実施しなかった</v>
      </c>
      <c r="AN70" s="140" t="s">
        <v>158</v>
      </c>
      <c r="AO70" s="140" t="str">
        <f>IF(SUM(AO71:AO74)&gt;0,G57,G58)</f>
        <v>実施しなかった</v>
      </c>
      <c r="AP70" s="138"/>
      <c r="AQ70" s="140" t="s">
        <v>159</v>
      </c>
      <c r="AR70" s="193" t="str">
        <f>IF(SUM(AR71:AR74)&gt;0,G57,G58)</f>
        <v>実施しなかった</v>
      </c>
    </row>
    <row r="71" spans="15:90" ht="18" customHeight="1">
      <c r="AI71" s="212" t="s">
        <v>160</v>
      </c>
      <c r="AJ71" s="140">
        <f>'B2.入力_第2~4面'!I172</f>
        <v>0</v>
      </c>
      <c r="AK71" s="138">
        <f>IF(AJ71=非表示_リスト!G146,1,0)</f>
        <v>0</v>
      </c>
      <c r="AL71" s="140">
        <f>'B2.入力_第2~4面'!L172</f>
        <v>0</v>
      </c>
      <c r="AM71" s="140">
        <f>IF(AL71=$G$57,1,0)</f>
        <v>0</v>
      </c>
      <c r="AN71" s="140">
        <f>'B2.入力_第2~4面'!O172</f>
        <v>0</v>
      </c>
      <c r="AO71" s="140">
        <f>IF(AN71=$G$57,1,0)</f>
        <v>0</v>
      </c>
      <c r="AP71" s="138"/>
      <c r="AQ71" s="140">
        <f>'B2.入力_第2~4面'!R172</f>
        <v>0</v>
      </c>
      <c r="AR71" s="193">
        <f>IF(AQ71=$G$57,1,0)</f>
        <v>0</v>
      </c>
    </row>
    <row r="72" spans="15:90" ht="18" customHeight="1">
      <c r="AI72" s="212" t="s">
        <v>161</v>
      </c>
      <c r="AJ72" s="140">
        <f>'B2.入力_第2~4面'!I173</f>
        <v>0</v>
      </c>
      <c r="AK72" s="138">
        <f>IF(AJ72=非表示_リスト!G146,1,0)</f>
        <v>0</v>
      </c>
      <c r="AL72" s="140">
        <f>'B2.入力_第2~4面'!L173</f>
        <v>0</v>
      </c>
      <c r="AM72" s="140">
        <f>IF(AL72=$G$57,1,0)</f>
        <v>0</v>
      </c>
      <c r="AN72" s="140">
        <f>'B2.入力_第2~4面'!O173</f>
        <v>0</v>
      </c>
      <c r="AO72" s="140">
        <f>IF(AN72=$G$57,1,0)</f>
        <v>0</v>
      </c>
      <c r="AP72" s="138"/>
      <c r="AQ72" s="140">
        <f>'B2.入力_第2~4面'!R173</f>
        <v>0</v>
      </c>
      <c r="AR72" s="193">
        <f>IF(AQ72=$G$57,1,0)</f>
        <v>0</v>
      </c>
    </row>
    <row r="73" spans="15:90" ht="18" customHeight="1">
      <c r="AI73" s="212" t="s">
        <v>162</v>
      </c>
      <c r="AJ73" s="140">
        <f>'B2.入力_第2~4面'!I174</f>
        <v>0</v>
      </c>
      <c r="AK73" s="138">
        <f>IF(AJ73=非表示_リスト!G146,1,0)</f>
        <v>0</v>
      </c>
      <c r="AL73" s="140">
        <f>'B2.入力_第2~4面'!L174</f>
        <v>0</v>
      </c>
      <c r="AM73" s="140">
        <f>IF(AL73=$G$57,1,0)</f>
        <v>0</v>
      </c>
      <c r="AN73" s="140">
        <f>'B2.入力_第2~4面'!O174</f>
        <v>0</v>
      </c>
      <c r="AO73" s="140">
        <f>IF(AN73=$G$57,1,0)</f>
        <v>0</v>
      </c>
      <c r="AP73" s="138"/>
      <c r="AQ73" s="140">
        <f>'B2.入力_第2~4面'!R174</f>
        <v>0</v>
      </c>
      <c r="AR73" s="193">
        <f>IF(AQ73=$G$57,1,0)</f>
        <v>0</v>
      </c>
    </row>
    <row r="74" spans="15:90" ht="18" customHeight="1">
      <c r="AI74" s="212" t="s">
        <v>163</v>
      </c>
      <c r="AJ74" s="140">
        <f>'B2.入力_第2~4面'!I175</f>
        <v>0</v>
      </c>
      <c r="AK74" s="138">
        <f>IF(AJ74=非表示_リスト!G146,1,0)</f>
        <v>0</v>
      </c>
      <c r="AL74" s="140">
        <f>'B2.入力_第2~4面'!L175</f>
        <v>0</v>
      </c>
      <c r="AM74" s="140">
        <f>IF(AL74=$G$57,1,0)</f>
        <v>0</v>
      </c>
      <c r="AN74" s="140">
        <f>'B2.入力_第2~4面'!O175</f>
        <v>0</v>
      </c>
      <c r="AO74" s="140">
        <f>IF(AN74=$G$57,1,0)</f>
        <v>0</v>
      </c>
      <c r="AP74" s="138"/>
      <c r="AQ74" s="140">
        <f>'B2.入力_第2~4面'!R175</f>
        <v>0</v>
      </c>
      <c r="AR74" s="193">
        <f>IF(AQ74=$G$57,1,0)</f>
        <v>0</v>
      </c>
    </row>
  </sheetData>
  <mergeCells count="93">
    <mergeCell ref="B4:B6"/>
    <mergeCell ref="C4:E5"/>
    <mergeCell ref="F4:H6"/>
    <mergeCell ref="I4:I6"/>
    <mergeCell ref="J4:L4"/>
    <mergeCell ref="Q12:Q14"/>
    <mergeCell ref="E13:E18"/>
    <mergeCell ref="R4:S4"/>
    <mergeCell ref="N5:N16"/>
    <mergeCell ref="O5:O11"/>
    <mergeCell ref="P5:P11"/>
    <mergeCell ref="Q5:Q11"/>
    <mergeCell ref="J13:J18"/>
    <mergeCell ref="K13:K18"/>
    <mergeCell ref="N4:Q4"/>
    <mergeCell ref="R12:R16"/>
    <mergeCell ref="R5:R11"/>
    <mergeCell ref="S5:S11"/>
    <mergeCell ref="K7:K12"/>
    <mergeCell ref="L7:L12"/>
    <mergeCell ref="B7:B34"/>
    <mergeCell ref="C7:C18"/>
    <mergeCell ref="D7:D18"/>
    <mergeCell ref="E7:E12"/>
    <mergeCell ref="J7:J12"/>
    <mergeCell ref="AB16:AD16"/>
    <mergeCell ref="C19:C30"/>
    <mergeCell ref="D19:D30"/>
    <mergeCell ref="E19:E24"/>
    <mergeCell ref="J19:J24"/>
    <mergeCell ref="K19:K24"/>
    <mergeCell ref="L19:L24"/>
    <mergeCell ref="E25:E30"/>
    <mergeCell ref="J25:J30"/>
    <mergeCell ref="K25:K30"/>
    <mergeCell ref="L13:L18"/>
    <mergeCell ref="O13:O14"/>
    <mergeCell ref="P13:P14"/>
    <mergeCell ref="O15:O16"/>
    <mergeCell ref="P15:P16"/>
    <mergeCell ref="Q15:Q16"/>
    <mergeCell ref="AC27:AE27"/>
    <mergeCell ref="C31:C34"/>
    <mergeCell ref="D31:D34"/>
    <mergeCell ref="E31:E32"/>
    <mergeCell ref="J31:J32"/>
    <mergeCell ref="K31:K32"/>
    <mergeCell ref="L31:L32"/>
    <mergeCell ref="E33:E34"/>
    <mergeCell ref="J33:J34"/>
    <mergeCell ref="L25:L30"/>
    <mergeCell ref="B35:B58"/>
    <mergeCell ref="C35:C36"/>
    <mergeCell ref="D35:D36"/>
    <mergeCell ref="E35:E36"/>
    <mergeCell ref="J35:J36"/>
    <mergeCell ref="C37:C42"/>
    <mergeCell ref="D37:D42"/>
    <mergeCell ref="E37:E38"/>
    <mergeCell ref="J37:J38"/>
    <mergeCell ref="E41:E42"/>
    <mergeCell ref="F55:F56"/>
    <mergeCell ref="E57:E58"/>
    <mergeCell ref="E43:E45"/>
    <mergeCell ref="J43:J45"/>
    <mergeCell ref="E39:E40"/>
    <mergeCell ref="J39:J40"/>
    <mergeCell ref="T5:T11"/>
    <mergeCell ref="C46:C58"/>
    <mergeCell ref="D46:D58"/>
    <mergeCell ref="E46:E48"/>
    <mergeCell ref="J46:J58"/>
    <mergeCell ref="K46:K58"/>
    <mergeCell ref="L46:L58"/>
    <mergeCell ref="E49:E56"/>
    <mergeCell ref="F49:F50"/>
    <mergeCell ref="F51:F52"/>
    <mergeCell ref="F53:F54"/>
    <mergeCell ref="J41:J42"/>
    <mergeCell ref="K41:K42"/>
    <mergeCell ref="L41:L42"/>
    <mergeCell ref="C43:C45"/>
    <mergeCell ref="D43:D45"/>
    <mergeCell ref="K43:K45"/>
    <mergeCell ref="L43:L45"/>
    <mergeCell ref="K33:K34"/>
    <mergeCell ref="L33:L34"/>
    <mergeCell ref="K35:K36"/>
    <mergeCell ref="L35:L36"/>
    <mergeCell ref="K37:K38"/>
    <mergeCell ref="L37:L38"/>
    <mergeCell ref="K39:K40"/>
    <mergeCell ref="L39:L40"/>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1:AB154"/>
  <sheetViews>
    <sheetView workbookViewId="0"/>
  </sheetViews>
  <sheetFormatPr defaultColWidth="8.69921875" defaultRowHeight="18" customHeight="1"/>
  <cols>
    <col min="1" max="4" width="3.69921875" style="1" customWidth="1"/>
    <col min="5" max="5" width="5.3984375" style="1" customWidth="1"/>
    <col min="6" max="16384" width="8.69921875" style="1"/>
  </cols>
  <sheetData>
    <row r="1" spans="2:28" ht="18" customHeight="1">
      <c r="B1" s="3" t="s">
        <v>186</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187</v>
      </c>
      <c r="D2" s="2"/>
      <c r="E2" s="2"/>
      <c r="F2" s="2"/>
      <c r="G2" s="2"/>
      <c r="H2" s="2"/>
      <c r="I2" s="2"/>
      <c r="J2" s="2"/>
      <c r="K2" s="2"/>
      <c r="L2" s="2"/>
      <c r="M2" s="2"/>
      <c r="N2" s="2"/>
      <c r="O2" s="2"/>
      <c r="P2" s="2"/>
      <c r="Q2" s="2"/>
      <c r="R2" s="2"/>
      <c r="S2" s="2"/>
      <c r="T2" s="2"/>
      <c r="U2" s="2"/>
      <c r="V2" s="2"/>
      <c r="W2" s="2"/>
      <c r="X2" s="2"/>
      <c r="Y2" s="2"/>
      <c r="Z2" s="2"/>
      <c r="AA2" s="2"/>
      <c r="AB2" s="2"/>
    </row>
    <row r="3" spans="2:28" ht="18" customHeight="1">
      <c r="C3" s="50"/>
      <c r="D3" s="50" t="s">
        <v>188</v>
      </c>
      <c r="E3" s="50"/>
      <c r="F3" s="50"/>
      <c r="G3" s="50"/>
      <c r="H3" s="50"/>
      <c r="I3" s="50"/>
      <c r="J3" s="50"/>
      <c r="K3" s="50"/>
      <c r="L3" s="50"/>
      <c r="M3" s="50"/>
      <c r="N3" s="50"/>
      <c r="O3" s="50"/>
      <c r="P3" s="50"/>
      <c r="Q3" s="50"/>
      <c r="R3" s="50"/>
      <c r="S3" s="50"/>
      <c r="T3" s="50"/>
      <c r="U3" s="50"/>
      <c r="V3" s="50"/>
      <c r="W3" s="50"/>
      <c r="X3" s="50"/>
      <c r="Y3" s="50"/>
      <c r="Z3" s="50"/>
      <c r="AA3" s="50"/>
      <c r="AB3" s="50"/>
    </row>
    <row r="4" spans="2:28" ht="18" customHeight="1">
      <c r="C4" s="50"/>
      <c r="D4" s="50"/>
      <c r="E4" s="50"/>
      <c r="F4" s="50" t="s">
        <v>1495</v>
      </c>
      <c r="G4" s="50" t="s">
        <v>189</v>
      </c>
      <c r="H4" s="50" t="s">
        <v>190</v>
      </c>
      <c r="I4" s="50" t="s">
        <v>191</v>
      </c>
      <c r="J4" s="50" t="s">
        <v>192</v>
      </c>
      <c r="K4" s="50" t="s">
        <v>193</v>
      </c>
      <c r="L4" s="50" t="s">
        <v>194</v>
      </c>
      <c r="M4" s="50"/>
      <c r="N4" s="50"/>
      <c r="O4" s="50"/>
      <c r="P4" s="50"/>
      <c r="Q4" s="50"/>
      <c r="R4" s="50"/>
      <c r="S4" s="50"/>
      <c r="T4" s="50"/>
      <c r="U4" s="50"/>
      <c r="V4" s="50"/>
      <c r="W4" s="50"/>
      <c r="X4" s="50"/>
      <c r="Y4" s="50"/>
      <c r="Z4" s="50"/>
      <c r="AA4" s="50"/>
      <c r="AB4" s="50"/>
    </row>
    <row r="5" spans="2:28" ht="18" customHeight="1">
      <c r="C5" s="50"/>
      <c r="D5" s="50"/>
      <c r="E5" s="50"/>
      <c r="F5" s="50" t="s">
        <v>195</v>
      </c>
      <c r="G5" s="50" t="s">
        <v>189</v>
      </c>
      <c r="H5" s="50" t="s">
        <v>190</v>
      </c>
      <c r="I5" s="50" t="s">
        <v>191</v>
      </c>
      <c r="J5" s="50" t="s">
        <v>192</v>
      </c>
      <c r="K5" s="50" t="s">
        <v>193</v>
      </c>
      <c r="L5" s="50"/>
      <c r="M5" s="50"/>
      <c r="N5" s="50"/>
      <c r="O5" s="50"/>
      <c r="P5" s="50"/>
      <c r="Q5" s="50"/>
      <c r="R5" s="50"/>
      <c r="S5" s="50"/>
      <c r="T5" s="50"/>
      <c r="U5" s="50"/>
      <c r="V5" s="50"/>
      <c r="W5" s="50"/>
      <c r="X5" s="50"/>
      <c r="Y5" s="50"/>
      <c r="Z5" s="50"/>
      <c r="AA5" s="50"/>
      <c r="AB5" s="50"/>
    </row>
    <row r="6" spans="2:28" ht="18" customHeight="1">
      <c r="C6" s="50"/>
      <c r="D6" s="50"/>
      <c r="E6" s="50"/>
      <c r="F6" s="50" t="s">
        <v>196</v>
      </c>
      <c r="G6" s="50" t="s">
        <v>189</v>
      </c>
      <c r="H6" s="50" t="s">
        <v>190</v>
      </c>
      <c r="I6" s="50" t="s">
        <v>191</v>
      </c>
      <c r="J6" s="50" t="s">
        <v>192</v>
      </c>
      <c r="K6" s="50" t="s">
        <v>193</v>
      </c>
      <c r="L6" s="50"/>
      <c r="M6" s="50"/>
      <c r="N6" s="50"/>
      <c r="O6" s="50"/>
      <c r="P6" s="50"/>
      <c r="Q6" s="50"/>
      <c r="R6" s="50"/>
      <c r="S6" s="50"/>
      <c r="T6" s="50"/>
      <c r="U6" s="50"/>
      <c r="V6" s="50"/>
      <c r="W6" s="50"/>
      <c r="X6" s="50"/>
      <c r="Y6" s="50"/>
      <c r="Z6" s="50"/>
      <c r="AA6" s="50"/>
      <c r="AB6" s="50"/>
    </row>
    <row r="7" spans="2:28" ht="18" customHeight="1">
      <c r="C7" s="50"/>
      <c r="D7" s="50"/>
      <c r="E7" s="50"/>
      <c r="F7" s="50" t="s">
        <v>197</v>
      </c>
      <c r="G7" s="50" t="s">
        <v>189</v>
      </c>
      <c r="H7" s="50" t="s">
        <v>190</v>
      </c>
      <c r="I7" s="50" t="s">
        <v>191</v>
      </c>
      <c r="J7" s="50" t="s">
        <v>192</v>
      </c>
      <c r="K7" s="50" t="s">
        <v>193</v>
      </c>
      <c r="L7" s="50"/>
      <c r="M7" s="50"/>
      <c r="N7" s="50"/>
      <c r="O7" s="50"/>
      <c r="P7" s="50"/>
      <c r="Q7" s="50"/>
      <c r="R7" s="50"/>
      <c r="S7" s="50"/>
      <c r="T7" s="50"/>
      <c r="U7" s="50"/>
      <c r="V7" s="50"/>
      <c r="W7" s="50"/>
      <c r="X7" s="50"/>
      <c r="Y7" s="50"/>
      <c r="Z7" s="50"/>
      <c r="AA7" s="50"/>
      <c r="AB7" s="50"/>
    </row>
    <row r="8" spans="2:28" ht="18" customHeight="1">
      <c r="C8" s="50"/>
      <c r="D8" s="50" t="s">
        <v>198</v>
      </c>
      <c r="E8" s="50"/>
      <c r="F8" s="50"/>
      <c r="G8" s="50"/>
      <c r="H8" s="50"/>
      <c r="I8" s="50"/>
      <c r="J8" s="50"/>
      <c r="K8" s="50"/>
      <c r="L8" s="50"/>
      <c r="M8" s="50"/>
      <c r="N8" s="50"/>
      <c r="O8" s="50"/>
      <c r="P8" s="50"/>
      <c r="Q8" s="50"/>
      <c r="R8" s="50"/>
      <c r="S8" s="50"/>
      <c r="T8" s="50"/>
      <c r="U8" s="50"/>
      <c r="V8" s="50"/>
      <c r="W8" s="50"/>
      <c r="X8" s="50"/>
      <c r="Y8" s="50"/>
      <c r="Z8" s="50"/>
      <c r="AA8" s="50"/>
      <c r="AB8" s="50"/>
    </row>
    <row r="9" spans="2:28" ht="18" customHeight="1">
      <c r="C9" s="50"/>
      <c r="D9" s="50"/>
      <c r="E9" s="1268" t="s">
        <v>1496</v>
      </c>
      <c r="F9" s="50" t="s">
        <v>1492</v>
      </c>
      <c r="G9" s="50" t="s">
        <v>199</v>
      </c>
      <c r="H9" s="50" t="s">
        <v>200</v>
      </c>
      <c r="I9" s="50"/>
      <c r="J9" s="50"/>
      <c r="K9" s="50"/>
      <c r="L9" s="50"/>
      <c r="M9" s="50"/>
      <c r="N9" s="50"/>
      <c r="O9" s="50"/>
      <c r="P9" s="50"/>
      <c r="Q9" s="50"/>
      <c r="R9" s="50"/>
      <c r="S9" s="50"/>
      <c r="T9" s="50"/>
      <c r="U9" s="50"/>
      <c r="V9" s="50"/>
      <c r="W9" s="50"/>
      <c r="X9" s="50"/>
      <c r="Y9" s="50"/>
      <c r="Z9" s="50"/>
      <c r="AA9" s="50"/>
      <c r="AB9" s="50"/>
    </row>
    <row r="10" spans="2:28" ht="18" customHeight="1">
      <c r="C10" s="50"/>
      <c r="D10" s="50"/>
      <c r="E10" s="1269"/>
      <c r="F10" s="50" t="s">
        <v>1493</v>
      </c>
      <c r="G10" s="50" t="s">
        <v>199</v>
      </c>
      <c r="H10" s="50" t="s">
        <v>200</v>
      </c>
      <c r="I10" s="50"/>
      <c r="J10" s="50"/>
      <c r="K10" s="50"/>
      <c r="L10" s="50"/>
      <c r="M10" s="50"/>
      <c r="N10" s="50"/>
      <c r="O10" s="50"/>
      <c r="P10" s="50"/>
      <c r="Q10" s="50"/>
      <c r="R10" s="50"/>
      <c r="S10" s="50"/>
      <c r="T10" s="50"/>
      <c r="U10" s="50"/>
      <c r="V10" s="50"/>
      <c r="W10" s="50"/>
      <c r="X10" s="50"/>
      <c r="Y10" s="50"/>
      <c r="Z10" s="50"/>
      <c r="AA10" s="50"/>
      <c r="AB10" s="50"/>
    </row>
    <row r="11" spans="2:28" ht="18" customHeight="1">
      <c r="C11" s="50"/>
      <c r="D11" s="50"/>
      <c r="E11" s="1270"/>
      <c r="F11" s="50" t="s">
        <v>201</v>
      </c>
      <c r="G11" s="50" t="s">
        <v>199</v>
      </c>
      <c r="H11" s="50" t="s">
        <v>200</v>
      </c>
      <c r="I11" s="50"/>
      <c r="J11" s="50"/>
      <c r="K11" s="50"/>
      <c r="L11" s="50"/>
      <c r="M11" s="50"/>
      <c r="N11" s="50"/>
      <c r="O11" s="50"/>
      <c r="P11" s="50"/>
      <c r="Q11" s="50"/>
      <c r="R11" s="50"/>
      <c r="S11" s="50"/>
      <c r="T11" s="50"/>
      <c r="U11" s="50"/>
      <c r="V11" s="50"/>
      <c r="W11" s="50"/>
      <c r="X11" s="50"/>
      <c r="Y11" s="50"/>
      <c r="Z11" s="50"/>
      <c r="AA11" s="50"/>
      <c r="AB11" s="50"/>
    </row>
    <row r="12" spans="2:28" ht="18" customHeight="1">
      <c r="C12" s="50"/>
      <c r="D12" s="50"/>
      <c r="E12" s="1268" t="s">
        <v>1497</v>
      </c>
      <c r="F12" s="50" t="s">
        <v>1492</v>
      </c>
      <c r="G12" s="50" t="s">
        <v>199</v>
      </c>
      <c r="H12" s="50" t="s">
        <v>200</v>
      </c>
      <c r="I12" s="50"/>
      <c r="J12" s="50"/>
      <c r="K12" s="50"/>
      <c r="L12" s="50"/>
      <c r="M12" s="50"/>
      <c r="N12" s="50"/>
      <c r="O12" s="50"/>
      <c r="P12" s="50"/>
      <c r="Q12" s="50"/>
      <c r="R12" s="50"/>
      <c r="S12" s="50"/>
      <c r="T12" s="50"/>
      <c r="U12" s="50"/>
      <c r="V12" s="50"/>
      <c r="W12" s="50"/>
      <c r="X12" s="50"/>
      <c r="Y12" s="50"/>
      <c r="Z12" s="50"/>
      <c r="AA12" s="50"/>
      <c r="AB12" s="50"/>
    </row>
    <row r="13" spans="2:28" ht="18" customHeight="1">
      <c r="C13" s="50"/>
      <c r="D13" s="50"/>
      <c r="E13" s="1269"/>
      <c r="F13" s="50" t="s">
        <v>1493</v>
      </c>
      <c r="G13" s="50" t="s">
        <v>199</v>
      </c>
      <c r="H13" s="50" t="s">
        <v>200</v>
      </c>
      <c r="I13" s="50"/>
      <c r="J13" s="50"/>
      <c r="K13" s="50"/>
      <c r="L13" s="50"/>
      <c r="M13" s="50"/>
      <c r="N13" s="50"/>
      <c r="O13" s="50"/>
      <c r="P13" s="50"/>
      <c r="Q13" s="50"/>
      <c r="R13" s="50"/>
      <c r="S13" s="50"/>
      <c r="T13" s="50"/>
      <c r="U13" s="50"/>
      <c r="V13" s="50"/>
      <c r="W13" s="50"/>
      <c r="X13" s="50"/>
      <c r="Y13" s="50"/>
      <c r="Z13" s="50"/>
      <c r="AA13" s="50"/>
      <c r="AB13" s="50"/>
    </row>
    <row r="14" spans="2:28" ht="18" customHeight="1">
      <c r="C14" s="50"/>
      <c r="D14" s="50"/>
      <c r="E14" s="1270"/>
      <c r="F14" s="50" t="s">
        <v>201</v>
      </c>
      <c r="G14" s="50" t="s">
        <v>199</v>
      </c>
      <c r="H14" s="50" t="s">
        <v>200</v>
      </c>
      <c r="I14" s="50"/>
      <c r="J14" s="50"/>
      <c r="K14" s="50"/>
      <c r="L14" s="50"/>
      <c r="M14" s="50"/>
      <c r="N14" s="50"/>
      <c r="O14" s="50"/>
      <c r="P14" s="50"/>
      <c r="Q14" s="50"/>
      <c r="R14" s="50"/>
      <c r="S14" s="50"/>
      <c r="T14" s="50"/>
      <c r="U14" s="50"/>
      <c r="V14" s="50"/>
      <c r="W14" s="50"/>
      <c r="X14" s="50"/>
      <c r="Y14" s="50"/>
      <c r="Z14" s="50"/>
      <c r="AA14" s="50"/>
      <c r="AB14" s="50"/>
    </row>
    <row r="15" spans="2:28" ht="18" customHeight="1">
      <c r="C15" s="50"/>
      <c r="D15" s="50"/>
      <c r="E15" s="1268" t="s">
        <v>1498</v>
      </c>
      <c r="F15" s="50" t="s">
        <v>1492</v>
      </c>
      <c r="G15" s="50" t="s">
        <v>199</v>
      </c>
      <c r="H15" s="50" t="s">
        <v>200</v>
      </c>
      <c r="I15" s="50"/>
      <c r="J15" s="50"/>
      <c r="K15" s="50"/>
      <c r="L15" s="50"/>
      <c r="M15" s="50"/>
      <c r="N15" s="50"/>
      <c r="O15" s="50"/>
      <c r="P15" s="50"/>
      <c r="Q15" s="50"/>
      <c r="R15" s="50"/>
      <c r="S15" s="50"/>
      <c r="T15" s="50"/>
      <c r="U15" s="50"/>
      <c r="V15" s="50"/>
      <c r="W15" s="50"/>
      <c r="X15" s="50"/>
      <c r="Y15" s="50"/>
      <c r="Z15" s="50"/>
      <c r="AA15" s="50"/>
      <c r="AB15" s="50"/>
    </row>
    <row r="16" spans="2:28" ht="18" customHeight="1">
      <c r="C16" s="50"/>
      <c r="D16" s="50"/>
      <c r="E16" s="1269"/>
      <c r="F16" s="50" t="s">
        <v>1493</v>
      </c>
      <c r="G16" s="50" t="s">
        <v>199</v>
      </c>
      <c r="H16" s="50" t="s">
        <v>200</v>
      </c>
      <c r="I16" s="50"/>
      <c r="J16" s="50"/>
      <c r="K16" s="50"/>
      <c r="L16" s="50"/>
      <c r="M16" s="50"/>
      <c r="N16" s="50"/>
      <c r="O16" s="50"/>
      <c r="P16" s="50"/>
      <c r="Q16" s="50"/>
      <c r="R16" s="50"/>
      <c r="S16" s="50"/>
      <c r="T16" s="50"/>
      <c r="U16" s="50"/>
      <c r="V16" s="50"/>
      <c r="W16" s="50"/>
      <c r="X16" s="50"/>
      <c r="Y16" s="50"/>
      <c r="Z16" s="50"/>
      <c r="AA16" s="50"/>
      <c r="AB16" s="50"/>
    </row>
    <row r="17" spans="3:28" ht="18" customHeight="1">
      <c r="C17" s="50"/>
      <c r="D17" s="50"/>
      <c r="E17" s="1270"/>
      <c r="F17" s="50" t="s">
        <v>201</v>
      </c>
      <c r="G17" s="50" t="s">
        <v>199</v>
      </c>
      <c r="H17" s="50" t="s">
        <v>200</v>
      </c>
      <c r="I17" s="50"/>
      <c r="J17" s="50"/>
      <c r="K17" s="50"/>
      <c r="L17" s="50"/>
      <c r="M17" s="50"/>
      <c r="N17" s="50"/>
      <c r="O17" s="50"/>
      <c r="P17" s="50"/>
      <c r="Q17" s="50"/>
      <c r="R17" s="50"/>
      <c r="S17" s="50"/>
      <c r="T17" s="50"/>
      <c r="U17" s="50"/>
      <c r="V17" s="50"/>
      <c r="W17" s="50"/>
      <c r="X17" s="50"/>
      <c r="Y17" s="50"/>
      <c r="Z17" s="50"/>
      <c r="AA17" s="50"/>
      <c r="AB17" s="50"/>
    </row>
    <row r="18" spans="3:28" ht="18" customHeight="1">
      <c r="C18" s="50"/>
      <c r="D18" s="50"/>
      <c r="E18" s="1268" t="s">
        <v>1499</v>
      </c>
      <c r="F18" s="50" t="s">
        <v>1492</v>
      </c>
      <c r="G18" s="50" t="s">
        <v>199</v>
      </c>
      <c r="H18" s="50" t="s">
        <v>200</v>
      </c>
      <c r="I18" s="50"/>
      <c r="J18" s="50"/>
      <c r="K18" s="50"/>
      <c r="L18" s="50"/>
      <c r="M18" s="50"/>
      <c r="N18" s="50"/>
      <c r="O18" s="50"/>
      <c r="P18" s="50"/>
      <c r="Q18" s="50"/>
      <c r="R18" s="50"/>
      <c r="S18" s="50"/>
      <c r="T18" s="50"/>
      <c r="U18" s="50"/>
      <c r="V18" s="50"/>
      <c r="W18" s="50"/>
      <c r="X18" s="50"/>
      <c r="Y18" s="50"/>
      <c r="Z18" s="50"/>
      <c r="AA18" s="50"/>
      <c r="AB18" s="50"/>
    </row>
    <row r="19" spans="3:28" ht="18" customHeight="1">
      <c r="C19" s="50"/>
      <c r="D19" s="50"/>
      <c r="E19" s="1269"/>
      <c r="F19" s="50" t="s">
        <v>1493</v>
      </c>
      <c r="G19" s="50" t="s">
        <v>199</v>
      </c>
      <c r="H19" s="50" t="s">
        <v>200</v>
      </c>
      <c r="I19" s="50"/>
      <c r="J19" s="50"/>
      <c r="K19" s="50"/>
      <c r="L19" s="50"/>
      <c r="M19" s="50"/>
      <c r="N19" s="50"/>
      <c r="O19" s="50"/>
      <c r="P19" s="50"/>
      <c r="Q19" s="50"/>
      <c r="R19" s="50"/>
      <c r="S19" s="50"/>
      <c r="T19" s="50"/>
      <c r="U19" s="50"/>
      <c r="V19" s="50"/>
      <c r="W19" s="50"/>
      <c r="X19" s="50"/>
      <c r="Y19" s="50"/>
      <c r="Z19" s="50"/>
      <c r="AA19" s="50"/>
      <c r="AB19" s="50"/>
    </row>
    <row r="20" spans="3:28" ht="18" customHeight="1">
      <c r="C20" s="50"/>
      <c r="D20" s="50"/>
      <c r="E20" s="1270"/>
      <c r="F20" s="50" t="s">
        <v>201</v>
      </c>
      <c r="G20" s="50" t="s">
        <v>199</v>
      </c>
      <c r="H20" s="50" t="s">
        <v>200</v>
      </c>
      <c r="I20" s="50"/>
      <c r="J20" s="50"/>
      <c r="K20" s="50"/>
      <c r="L20" s="50"/>
      <c r="M20" s="50"/>
      <c r="N20" s="50"/>
      <c r="O20" s="50"/>
      <c r="P20" s="50"/>
      <c r="Q20" s="50"/>
      <c r="R20" s="50"/>
      <c r="S20" s="50"/>
      <c r="T20" s="50"/>
      <c r="U20" s="50"/>
      <c r="V20" s="50"/>
      <c r="W20" s="50"/>
      <c r="X20" s="50"/>
      <c r="Y20" s="50"/>
      <c r="Z20" s="50"/>
      <c r="AA20" s="50"/>
      <c r="AB20" s="50"/>
    </row>
    <row r="21" spans="3:28" ht="18" customHeight="1">
      <c r="C21" s="50"/>
      <c r="D21" s="50" t="s">
        <v>202</v>
      </c>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3:28" ht="18" customHeight="1">
      <c r="C22" s="50"/>
      <c r="D22" s="50"/>
      <c r="E22" s="1268" t="s">
        <v>1496</v>
      </c>
      <c r="F22" s="50" t="s">
        <v>1494</v>
      </c>
      <c r="G22" s="50" t="s">
        <v>199</v>
      </c>
      <c r="H22" s="50" t="s">
        <v>200</v>
      </c>
      <c r="I22" s="50"/>
      <c r="J22" s="50"/>
      <c r="K22" s="50"/>
      <c r="L22" s="50"/>
      <c r="M22" s="50"/>
      <c r="N22" s="50"/>
      <c r="O22" s="50"/>
      <c r="P22" s="50"/>
      <c r="Q22" s="50"/>
      <c r="R22" s="50"/>
      <c r="S22" s="50"/>
      <c r="T22" s="50"/>
      <c r="U22" s="50"/>
      <c r="V22" s="50"/>
      <c r="W22" s="50"/>
      <c r="X22" s="50"/>
      <c r="Y22" s="50"/>
      <c r="Z22" s="50"/>
      <c r="AA22" s="50"/>
      <c r="AB22" s="50"/>
    </row>
    <row r="23" spans="3:28" ht="18" customHeight="1">
      <c r="C23" s="50"/>
      <c r="D23" s="50"/>
      <c r="E23" s="1269"/>
      <c r="F23" s="50" t="s">
        <v>203</v>
      </c>
      <c r="G23" s="50" t="s">
        <v>199</v>
      </c>
      <c r="H23" s="50" t="s">
        <v>200</v>
      </c>
      <c r="I23" s="50"/>
      <c r="J23" s="50"/>
      <c r="K23" s="50"/>
      <c r="L23" s="50"/>
      <c r="M23" s="50"/>
      <c r="N23" s="50"/>
      <c r="O23" s="50"/>
      <c r="P23" s="50"/>
      <c r="Q23" s="50"/>
      <c r="R23" s="50"/>
      <c r="S23" s="50"/>
      <c r="T23" s="50"/>
      <c r="U23" s="50"/>
      <c r="V23" s="50"/>
      <c r="W23" s="50"/>
      <c r="X23" s="50"/>
      <c r="Y23" s="50"/>
      <c r="Z23" s="50"/>
      <c r="AA23" s="50"/>
      <c r="AB23" s="50"/>
    </row>
    <row r="24" spans="3:28" ht="18" customHeight="1">
      <c r="C24" s="50"/>
      <c r="D24" s="50"/>
      <c r="E24" s="1268" t="s">
        <v>1497</v>
      </c>
      <c r="F24" s="50" t="s">
        <v>1494</v>
      </c>
      <c r="G24" s="50" t="s">
        <v>199</v>
      </c>
      <c r="H24" s="50" t="s">
        <v>200</v>
      </c>
      <c r="I24" s="50"/>
      <c r="J24" s="50"/>
      <c r="K24" s="50"/>
      <c r="L24" s="50"/>
      <c r="M24" s="50"/>
      <c r="N24" s="50"/>
      <c r="O24" s="50"/>
      <c r="P24" s="50"/>
      <c r="Q24" s="50"/>
      <c r="R24" s="50"/>
      <c r="S24" s="50"/>
      <c r="T24" s="50"/>
      <c r="U24" s="50"/>
      <c r="V24" s="50"/>
      <c r="W24" s="50"/>
      <c r="X24" s="50"/>
      <c r="Y24" s="50"/>
      <c r="Z24" s="50"/>
      <c r="AA24" s="50"/>
      <c r="AB24" s="50"/>
    </row>
    <row r="25" spans="3:28" ht="18" customHeight="1">
      <c r="C25" s="50"/>
      <c r="D25" s="50"/>
      <c r="E25" s="1269"/>
      <c r="F25" s="50" t="s">
        <v>203</v>
      </c>
      <c r="G25" s="50" t="s">
        <v>199</v>
      </c>
      <c r="H25" s="50" t="s">
        <v>200</v>
      </c>
      <c r="I25" s="50"/>
      <c r="J25" s="50"/>
      <c r="K25" s="50"/>
      <c r="L25" s="50"/>
      <c r="M25" s="50"/>
      <c r="N25" s="50"/>
      <c r="O25" s="50"/>
      <c r="P25" s="50"/>
      <c r="Q25" s="50"/>
      <c r="R25" s="50"/>
      <c r="S25" s="50"/>
      <c r="T25" s="50"/>
      <c r="U25" s="50"/>
      <c r="V25" s="50"/>
      <c r="W25" s="50"/>
      <c r="X25" s="50"/>
      <c r="Y25" s="50"/>
      <c r="Z25" s="50"/>
      <c r="AA25" s="50"/>
      <c r="AB25" s="50"/>
    </row>
    <row r="26" spans="3:28" ht="18" customHeight="1">
      <c r="C26" s="50"/>
      <c r="D26" s="50"/>
      <c r="E26" s="1268" t="s">
        <v>1498</v>
      </c>
      <c r="F26" s="50" t="s">
        <v>1494</v>
      </c>
      <c r="G26" s="50" t="s">
        <v>199</v>
      </c>
      <c r="H26" s="50" t="s">
        <v>200</v>
      </c>
      <c r="I26" s="50"/>
      <c r="J26" s="50"/>
      <c r="K26" s="50"/>
      <c r="L26" s="50"/>
      <c r="M26" s="50"/>
      <c r="N26" s="50"/>
      <c r="O26" s="50"/>
      <c r="P26" s="50"/>
      <c r="Q26" s="50"/>
      <c r="R26" s="50"/>
      <c r="S26" s="50"/>
      <c r="T26" s="50"/>
      <c r="U26" s="50"/>
      <c r="V26" s="50"/>
      <c r="W26" s="50"/>
      <c r="X26" s="50"/>
      <c r="Y26" s="50"/>
      <c r="Z26" s="50"/>
      <c r="AA26" s="50"/>
      <c r="AB26" s="50"/>
    </row>
    <row r="27" spans="3:28" ht="18" customHeight="1">
      <c r="C27" s="50"/>
      <c r="D27" s="50"/>
      <c r="E27" s="1269"/>
      <c r="F27" s="50" t="s">
        <v>203</v>
      </c>
      <c r="G27" s="50" t="s">
        <v>199</v>
      </c>
      <c r="H27" s="50" t="s">
        <v>200</v>
      </c>
      <c r="I27" s="50"/>
      <c r="J27" s="50"/>
      <c r="K27" s="50"/>
      <c r="L27" s="50"/>
      <c r="M27" s="50"/>
      <c r="N27" s="50"/>
      <c r="O27" s="50"/>
      <c r="P27" s="50"/>
      <c r="Q27" s="50"/>
      <c r="R27" s="50"/>
      <c r="S27" s="50"/>
      <c r="T27" s="50"/>
      <c r="U27" s="50"/>
      <c r="V27" s="50"/>
      <c r="W27" s="50"/>
      <c r="X27" s="50"/>
      <c r="Y27" s="50"/>
      <c r="Z27" s="50"/>
      <c r="AA27" s="50"/>
      <c r="AB27" s="50"/>
    </row>
    <row r="28" spans="3:28" ht="18" customHeight="1">
      <c r="C28" s="50"/>
      <c r="D28" s="50"/>
      <c r="E28" s="1268" t="s">
        <v>1499</v>
      </c>
      <c r="F28" s="50" t="s">
        <v>1494</v>
      </c>
      <c r="G28" s="50" t="s">
        <v>199</v>
      </c>
      <c r="H28" s="50" t="s">
        <v>200</v>
      </c>
      <c r="I28" s="50"/>
      <c r="J28" s="50"/>
      <c r="K28" s="50"/>
      <c r="L28" s="50"/>
      <c r="M28" s="50"/>
      <c r="N28" s="50"/>
      <c r="O28" s="50"/>
      <c r="P28" s="50"/>
      <c r="Q28" s="50"/>
      <c r="R28" s="50"/>
      <c r="S28" s="50"/>
      <c r="T28" s="50"/>
      <c r="U28" s="50"/>
      <c r="V28" s="50"/>
      <c r="W28" s="50"/>
      <c r="X28" s="50"/>
      <c r="Y28" s="50"/>
      <c r="Z28" s="50"/>
      <c r="AA28" s="50"/>
      <c r="AB28" s="50"/>
    </row>
    <row r="29" spans="3:28" ht="18" customHeight="1">
      <c r="C29" s="50"/>
      <c r="D29" s="50"/>
      <c r="E29" s="1269"/>
      <c r="F29" s="50" t="s">
        <v>203</v>
      </c>
      <c r="G29" s="50" t="s">
        <v>199</v>
      </c>
      <c r="H29" s="50" t="s">
        <v>200</v>
      </c>
      <c r="I29" s="50"/>
      <c r="J29" s="50"/>
      <c r="K29" s="50"/>
      <c r="L29" s="50"/>
      <c r="M29" s="50"/>
      <c r="N29" s="50"/>
      <c r="O29" s="50"/>
      <c r="P29" s="50"/>
      <c r="Q29" s="50"/>
      <c r="R29" s="50"/>
      <c r="S29" s="50"/>
      <c r="T29" s="50"/>
      <c r="U29" s="50"/>
      <c r="V29" s="50"/>
      <c r="W29" s="50"/>
      <c r="X29" s="50"/>
      <c r="Y29" s="50"/>
      <c r="Z29" s="50"/>
      <c r="AA29" s="50"/>
      <c r="AB29" s="50"/>
    </row>
    <row r="30" spans="3:28" ht="18" customHeight="1">
      <c r="C30" s="50"/>
      <c r="D30" s="50" t="s">
        <v>1658</v>
      </c>
      <c r="E30" s="325"/>
      <c r="F30" s="50"/>
      <c r="G30" s="50"/>
      <c r="H30" s="50"/>
      <c r="I30" s="50"/>
      <c r="J30" s="50"/>
      <c r="K30" s="50"/>
      <c r="L30" s="50"/>
      <c r="M30" s="50"/>
      <c r="N30" s="50"/>
      <c r="O30" s="50"/>
      <c r="P30" s="50"/>
      <c r="Q30" s="50"/>
      <c r="R30" s="50"/>
      <c r="S30" s="50"/>
      <c r="T30" s="50"/>
      <c r="U30" s="50"/>
      <c r="V30" s="50"/>
      <c r="W30" s="50"/>
      <c r="X30" s="50"/>
      <c r="Y30" s="50"/>
      <c r="Z30" s="50"/>
      <c r="AA30" s="50"/>
      <c r="AB30" s="50"/>
    </row>
    <row r="31" spans="3:28" ht="18" customHeight="1">
      <c r="C31" s="50"/>
      <c r="D31" s="50"/>
      <c r="E31" s="325" t="s">
        <v>464</v>
      </c>
      <c r="F31" s="50" t="s">
        <v>1632</v>
      </c>
      <c r="G31" s="50" t="s">
        <v>573</v>
      </c>
      <c r="H31" s="50" t="s">
        <v>1633</v>
      </c>
      <c r="I31" s="50" t="s">
        <v>574</v>
      </c>
      <c r="J31" s="50" t="s">
        <v>1634</v>
      </c>
      <c r="K31" s="50" t="s">
        <v>1635</v>
      </c>
      <c r="L31" s="50" t="s">
        <v>1636</v>
      </c>
      <c r="M31" s="50"/>
      <c r="N31" s="50"/>
      <c r="O31" s="50"/>
      <c r="P31" s="50"/>
      <c r="Q31" s="50"/>
      <c r="R31" s="50"/>
      <c r="S31" s="50"/>
      <c r="T31" s="50"/>
      <c r="U31" s="50"/>
      <c r="V31" s="50"/>
      <c r="W31" s="50"/>
      <c r="X31" s="50"/>
      <c r="Y31" s="50"/>
      <c r="Z31" s="50"/>
      <c r="AA31" s="50"/>
      <c r="AB31" s="50"/>
    </row>
    <row r="32" spans="3:28" ht="18" customHeight="1">
      <c r="C32" s="50"/>
      <c r="D32" s="50"/>
      <c r="E32" s="325" t="s">
        <v>1394</v>
      </c>
      <c r="F32" s="50" t="s">
        <v>1637</v>
      </c>
      <c r="G32" s="50" t="s">
        <v>573</v>
      </c>
      <c r="H32" s="50" t="s">
        <v>1633</v>
      </c>
      <c r="I32" s="50" t="s">
        <v>574</v>
      </c>
      <c r="J32" s="50" t="s">
        <v>1634</v>
      </c>
      <c r="K32" s="50" t="s">
        <v>1635</v>
      </c>
      <c r="L32" s="50" t="s">
        <v>1636</v>
      </c>
      <c r="M32" s="50"/>
      <c r="N32" s="50"/>
      <c r="O32" s="50"/>
      <c r="P32" s="50"/>
      <c r="Q32" s="50"/>
      <c r="R32" s="50"/>
      <c r="S32" s="50"/>
      <c r="T32" s="50"/>
      <c r="U32" s="50"/>
      <c r="V32" s="50"/>
      <c r="W32" s="50"/>
      <c r="X32" s="50"/>
      <c r="Y32" s="50"/>
      <c r="Z32" s="50"/>
      <c r="AA32" s="50"/>
      <c r="AB32" s="50"/>
    </row>
    <row r="33" spans="3:28" ht="18" customHeight="1">
      <c r="C33" s="50"/>
      <c r="D33" s="50"/>
      <c r="E33" s="325" t="s">
        <v>464</v>
      </c>
      <c r="F33" s="50" t="s">
        <v>1638</v>
      </c>
      <c r="G33" s="50" t="s">
        <v>573</v>
      </c>
      <c r="H33" s="50" t="s">
        <v>1633</v>
      </c>
      <c r="I33" s="50" t="s">
        <v>574</v>
      </c>
      <c r="J33" s="50" t="s">
        <v>1634</v>
      </c>
      <c r="K33" s="50" t="s">
        <v>1635</v>
      </c>
      <c r="L33" s="50" t="s">
        <v>1636</v>
      </c>
      <c r="M33" s="50"/>
      <c r="N33" s="50"/>
      <c r="O33" s="50"/>
      <c r="P33" s="50"/>
      <c r="Q33" s="50"/>
      <c r="R33" s="50"/>
      <c r="S33" s="50"/>
      <c r="T33" s="50"/>
      <c r="U33" s="50"/>
      <c r="V33" s="50"/>
      <c r="W33" s="50"/>
      <c r="X33" s="50"/>
      <c r="Y33" s="50"/>
      <c r="Z33" s="50"/>
      <c r="AA33" s="50"/>
      <c r="AB33" s="50"/>
    </row>
    <row r="34" spans="3:28" ht="18" customHeight="1">
      <c r="C34" s="50"/>
      <c r="D34" s="50"/>
      <c r="E34" s="325" t="s">
        <v>1394</v>
      </c>
      <c r="F34" s="50" t="s">
        <v>1665</v>
      </c>
      <c r="G34" s="50" t="s">
        <v>573</v>
      </c>
      <c r="H34" s="50" t="s">
        <v>1633</v>
      </c>
      <c r="I34" s="50" t="s">
        <v>574</v>
      </c>
      <c r="J34" s="50" t="s">
        <v>1634</v>
      </c>
      <c r="K34" s="50" t="s">
        <v>1635</v>
      </c>
      <c r="L34" s="50" t="s">
        <v>1636</v>
      </c>
      <c r="M34" s="50"/>
      <c r="N34" s="50"/>
      <c r="O34" s="50"/>
      <c r="P34" s="50"/>
      <c r="Q34" s="50"/>
      <c r="R34" s="50"/>
      <c r="S34" s="50"/>
      <c r="T34" s="50"/>
      <c r="U34" s="50"/>
      <c r="V34" s="50"/>
      <c r="W34" s="50"/>
      <c r="X34" s="50"/>
      <c r="Y34" s="50"/>
      <c r="Z34" s="50"/>
      <c r="AA34" s="50"/>
      <c r="AB34" s="50"/>
    </row>
    <row r="35" spans="3:28" ht="18" customHeight="1">
      <c r="C35" s="50"/>
      <c r="D35" s="50" t="s">
        <v>1659</v>
      </c>
      <c r="E35" s="325"/>
      <c r="F35" s="50"/>
      <c r="G35" s="50"/>
      <c r="H35" s="50"/>
      <c r="I35" s="50"/>
      <c r="J35" s="50"/>
      <c r="K35" s="50"/>
      <c r="L35" s="50"/>
      <c r="M35" s="50"/>
      <c r="N35" s="50"/>
      <c r="O35" s="50"/>
      <c r="P35" s="50"/>
      <c r="Q35" s="50"/>
      <c r="R35" s="50"/>
      <c r="S35" s="50"/>
      <c r="T35" s="50"/>
      <c r="U35" s="50"/>
      <c r="V35" s="50"/>
      <c r="W35" s="50"/>
      <c r="X35" s="50"/>
      <c r="Y35" s="50"/>
      <c r="Z35" s="50"/>
      <c r="AA35" s="50"/>
      <c r="AB35" s="50"/>
    </row>
    <row r="36" spans="3:28" ht="18" customHeight="1">
      <c r="C36" s="50"/>
      <c r="D36" s="50"/>
      <c r="E36" s="325" t="s">
        <v>464</v>
      </c>
      <c r="F36" s="50" t="s">
        <v>1639</v>
      </c>
      <c r="G36" s="50" t="s">
        <v>548</v>
      </c>
      <c r="H36" s="50" t="s">
        <v>1640</v>
      </c>
      <c r="I36" s="50" t="s">
        <v>575</v>
      </c>
      <c r="J36" s="50" t="s">
        <v>1641</v>
      </c>
      <c r="K36" s="50" t="s">
        <v>1642</v>
      </c>
      <c r="L36" s="50" t="s">
        <v>1643</v>
      </c>
      <c r="M36" s="50"/>
      <c r="N36" s="50"/>
      <c r="O36" s="50"/>
      <c r="P36" s="50"/>
      <c r="Q36" s="50"/>
      <c r="R36" s="50"/>
      <c r="S36" s="50"/>
      <c r="T36" s="50"/>
      <c r="U36" s="50"/>
      <c r="V36" s="50"/>
      <c r="W36" s="50"/>
      <c r="X36" s="50"/>
      <c r="Y36" s="50"/>
      <c r="Z36" s="50"/>
      <c r="AA36" s="50"/>
      <c r="AB36" s="50"/>
    </row>
    <row r="37" spans="3:28" ht="18" customHeight="1">
      <c r="C37" s="50"/>
      <c r="D37" s="50"/>
      <c r="E37" s="325" t="s">
        <v>1394</v>
      </c>
      <c r="F37" s="50" t="s">
        <v>1644</v>
      </c>
      <c r="G37" s="50" t="s">
        <v>548</v>
      </c>
      <c r="H37" s="50" t="s">
        <v>1640</v>
      </c>
      <c r="I37" s="50" t="s">
        <v>575</v>
      </c>
      <c r="J37" s="50" t="s">
        <v>1641</v>
      </c>
      <c r="K37" s="50" t="s">
        <v>1642</v>
      </c>
      <c r="L37" s="50" t="s">
        <v>1643</v>
      </c>
      <c r="M37" s="50"/>
      <c r="N37" s="50"/>
      <c r="O37" s="50"/>
      <c r="P37" s="50"/>
      <c r="Q37" s="50"/>
      <c r="R37" s="50"/>
      <c r="S37" s="50"/>
      <c r="T37" s="50"/>
      <c r="U37" s="50"/>
      <c r="V37" s="50"/>
      <c r="W37" s="50"/>
      <c r="X37" s="50"/>
      <c r="Y37" s="50"/>
      <c r="Z37" s="50"/>
      <c r="AA37" s="50"/>
      <c r="AB37" s="50"/>
    </row>
    <row r="38" spans="3:28" ht="18" customHeight="1">
      <c r="C38" s="50"/>
      <c r="D38" s="50"/>
      <c r="E38" s="325" t="s">
        <v>464</v>
      </c>
      <c r="F38" s="50" t="s">
        <v>1645</v>
      </c>
      <c r="G38" s="50" t="s">
        <v>548</v>
      </c>
      <c r="H38" s="50" t="s">
        <v>1640</v>
      </c>
      <c r="I38" s="50" t="s">
        <v>575</v>
      </c>
      <c r="J38" s="50" t="s">
        <v>1641</v>
      </c>
      <c r="K38" s="50" t="s">
        <v>1642</v>
      </c>
      <c r="L38" s="50" t="s">
        <v>1643</v>
      </c>
      <c r="M38" s="50"/>
      <c r="N38" s="50"/>
      <c r="O38" s="50"/>
      <c r="P38" s="50"/>
      <c r="Q38" s="50"/>
      <c r="R38" s="50"/>
      <c r="S38" s="50"/>
      <c r="T38" s="50"/>
      <c r="U38" s="50"/>
      <c r="V38" s="50"/>
      <c r="W38" s="50"/>
      <c r="X38" s="50"/>
      <c r="Y38" s="50"/>
      <c r="Z38" s="50"/>
      <c r="AA38" s="50"/>
      <c r="AB38" s="50"/>
    </row>
    <row r="39" spans="3:28" ht="18" customHeight="1">
      <c r="C39" s="50"/>
      <c r="D39" s="50"/>
      <c r="E39" s="325" t="s">
        <v>1394</v>
      </c>
      <c r="F39" s="50" t="s">
        <v>1664</v>
      </c>
      <c r="G39" s="50" t="s">
        <v>548</v>
      </c>
      <c r="H39" s="50" t="s">
        <v>1640</v>
      </c>
      <c r="I39" s="50" t="s">
        <v>575</v>
      </c>
      <c r="J39" s="50" t="s">
        <v>1641</v>
      </c>
      <c r="K39" s="50" t="s">
        <v>1642</v>
      </c>
      <c r="L39" s="50" t="s">
        <v>1643</v>
      </c>
      <c r="M39" s="50"/>
      <c r="N39" s="50"/>
      <c r="O39" s="50"/>
      <c r="P39" s="50"/>
      <c r="Q39" s="50"/>
      <c r="R39" s="50"/>
      <c r="S39" s="50"/>
      <c r="T39" s="50"/>
      <c r="U39" s="50"/>
      <c r="V39" s="50"/>
      <c r="W39" s="50"/>
      <c r="X39" s="50"/>
      <c r="Y39" s="50"/>
      <c r="Z39" s="50"/>
      <c r="AA39" s="50"/>
      <c r="AB39" s="50"/>
    </row>
    <row r="40" spans="3:28" ht="18" customHeight="1">
      <c r="C40" s="50"/>
      <c r="D40" s="50" t="s">
        <v>1660</v>
      </c>
      <c r="E40" s="325"/>
      <c r="F40" s="50"/>
      <c r="G40" s="50"/>
      <c r="H40" s="50"/>
      <c r="I40" s="50"/>
      <c r="J40" s="50"/>
      <c r="K40" s="50"/>
      <c r="L40" s="50"/>
      <c r="M40" s="50"/>
      <c r="N40" s="50"/>
      <c r="O40" s="50"/>
      <c r="P40" s="50"/>
      <c r="Q40" s="50"/>
      <c r="R40" s="50"/>
      <c r="S40" s="50"/>
      <c r="T40" s="50"/>
      <c r="U40" s="50"/>
      <c r="V40" s="50"/>
      <c r="W40" s="50"/>
      <c r="X40" s="50"/>
      <c r="Y40" s="50"/>
      <c r="Z40" s="50"/>
      <c r="AA40" s="50"/>
      <c r="AB40" s="50"/>
    </row>
    <row r="41" spans="3:28" ht="18" customHeight="1">
      <c r="C41" s="50"/>
      <c r="D41" s="50"/>
      <c r="E41" s="325" t="s">
        <v>464</v>
      </c>
      <c r="F41" s="50" t="s">
        <v>1646</v>
      </c>
      <c r="G41" s="50" t="s">
        <v>1647</v>
      </c>
      <c r="H41" s="50" t="s">
        <v>1648</v>
      </c>
      <c r="I41" s="50" t="s">
        <v>1649</v>
      </c>
      <c r="J41" s="50"/>
      <c r="K41" s="50"/>
      <c r="L41" s="50"/>
      <c r="M41" s="50"/>
      <c r="N41" s="50"/>
      <c r="O41" s="50"/>
      <c r="P41" s="50"/>
      <c r="Q41" s="50"/>
      <c r="R41" s="50"/>
      <c r="S41" s="50"/>
      <c r="T41" s="50"/>
      <c r="U41" s="50"/>
      <c r="V41" s="50"/>
      <c r="W41" s="50"/>
      <c r="X41" s="50"/>
      <c r="Y41" s="50"/>
      <c r="Z41" s="50"/>
      <c r="AA41" s="50"/>
      <c r="AB41" s="50"/>
    </row>
    <row r="42" spans="3:28" ht="18" customHeight="1">
      <c r="C42" s="50"/>
      <c r="D42" s="50"/>
      <c r="E42" s="325" t="s">
        <v>1394</v>
      </c>
      <c r="F42" s="50" t="s">
        <v>1650</v>
      </c>
      <c r="G42" s="50" t="s">
        <v>1647</v>
      </c>
      <c r="H42" s="50" t="s">
        <v>1648</v>
      </c>
      <c r="I42" s="50" t="s">
        <v>1649</v>
      </c>
      <c r="J42" s="50"/>
      <c r="K42" s="50"/>
      <c r="L42" s="50"/>
      <c r="M42" s="50"/>
      <c r="N42" s="50"/>
      <c r="O42" s="50"/>
      <c r="P42" s="50"/>
      <c r="Q42" s="50"/>
      <c r="R42" s="50"/>
      <c r="S42" s="50"/>
      <c r="T42" s="50"/>
      <c r="U42" s="50"/>
      <c r="V42" s="50"/>
      <c r="W42" s="50"/>
      <c r="X42" s="50"/>
      <c r="Y42" s="50"/>
      <c r="Z42" s="50"/>
      <c r="AA42" s="50"/>
      <c r="AB42" s="50"/>
    </row>
    <row r="43" spans="3:28" ht="18" customHeight="1">
      <c r="C43" s="50"/>
      <c r="D43" s="50" t="s">
        <v>1661</v>
      </c>
      <c r="E43" s="325"/>
      <c r="F43" s="50"/>
      <c r="G43" s="50"/>
      <c r="H43" s="50"/>
      <c r="I43" s="50"/>
      <c r="J43" s="50"/>
      <c r="K43" s="50"/>
      <c r="L43" s="50"/>
      <c r="M43" s="50"/>
      <c r="N43" s="50"/>
      <c r="O43" s="50"/>
      <c r="P43" s="50"/>
      <c r="Q43" s="50"/>
      <c r="R43" s="50"/>
      <c r="S43" s="50"/>
      <c r="T43" s="50"/>
      <c r="U43" s="50"/>
      <c r="V43" s="50"/>
      <c r="W43" s="50"/>
      <c r="X43" s="50"/>
      <c r="Y43" s="50"/>
      <c r="Z43" s="50"/>
      <c r="AA43" s="50"/>
      <c r="AB43" s="50"/>
    </row>
    <row r="44" spans="3:28" ht="18" customHeight="1">
      <c r="C44" s="50"/>
      <c r="D44" s="50"/>
      <c r="E44" s="325" t="s">
        <v>464</v>
      </c>
      <c r="F44" s="50" t="s">
        <v>1651</v>
      </c>
      <c r="G44" s="50" t="s">
        <v>1652</v>
      </c>
      <c r="H44" s="50" t="s">
        <v>1653</v>
      </c>
      <c r="I44" s="50" t="s">
        <v>1641</v>
      </c>
      <c r="J44" s="50"/>
      <c r="K44" s="50"/>
      <c r="L44" s="50"/>
      <c r="M44" s="50"/>
      <c r="N44" s="50"/>
      <c r="O44" s="50"/>
      <c r="P44" s="50"/>
      <c r="Q44" s="50"/>
      <c r="R44" s="50"/>
      <c r="S44" s="50"/>
      <c r="T44" s="50"/>
      <c r="U44" s="50"/>
      <c r="V44" s="50"/>
      <c r="W44" s="50"/>
      <c r="X44" s="50"/>
      <c r="Y44" s="50"/>
      <c r="Z44" s="50"/>
      <c r="AA44" s="50"/>
      <c r="AB44" s="50"/>
    </row>
    <row r="45" spans="3:28" ht="18" customHeight="1">
      <c r="C45" s="50"/>
      <c r="D45" s="50"/>
      <c r="E45" s="325" t="s">
        <v>1394</v>
      </c>
      <c r="F45" s="50" t="s">
        <v>1654</v>
      </c>
      <c r="G45" s="50" t="s">
        <v>1652</v>
      </c>
      <c r="H45" s="50" t="s">
        <v>1653</v>
      </c>
      <c r="I45" s="50" t="s">
        <v>1641</v>
      </c>
      <c r="J45" s="50"/>
      <c r="K45" s="50"/>
      <c r="L45" s="50"/>
      <c r="M45" s="50"/>
      <c r="N45" s="50"/>
      <c r="O45" s="50"/>
      <c r="P45" s="50"/>
      <c r="Q45" s="50"/>
      <c r="R45" s="50"/>
      <c r="S45" s="50"/>
      <c r="T45" s="50"/>
      <c r="U45" s="50"/>
      <c r="V45" s="50"/>
      <c r="W45" s="50"/>
      <c r="X45" s="50"/>
      <c r="Y45" s="50"/>
      <c r="Z45" s="50"/>
      <c r="AA45" s="50"/>
      <c r="AB45" s="50"/>
    </row>
    <row r="46" spans="3:28" ht="18" customHeight="1">
      <c r="C46" s="50"/>
      <c r="D46" s="50" t="s">
        <v>1658</v>
      </c>
      <c r="E46" s="325"/>
      <c r="F46" s="50"/>
      <c r="G46" s="50"/>
      <c r="H46" s="50"/>
      <c r="I46" s="50"/>
      <c r="J46" s="50"/>
      <c r="K46" s="50"/>
      <c r="L46" s="50"/>
      <c r="M46" s="50"/>
      <c r="N46" s="50"/>
      <c r="O46" s="50"/>
      <c r="P46" s="50"/>
      <c r="Q46" s="50"/>
      <c r="R46" s="50"/>
      <c r="S46" s="50"/>
      <c r="T46" s="50"/>
      <c r="U46" s="50"/>
      <c r="V46" s="50"/>
      <c r="W46" s="50"/>
      <c r="X46" s="50"/>
      <c r="Y46" s="50"/>
      <c r="Z46" s="50"/>
      <c r="AA46" s="50"/>
      <c r="AB46" s="50"/>
    </row>
    <row r="47" spans="3:28" ht="18" customHeight="1">
      <c r="C47" s="50"/>
      <c r="D47" s="50"/>
      <c r="E47" s="523" t="s">
        <v>1655</v>
      </c>
      <c r="F47" s="50" t="s">
        <v>1656</v>
      </c>
      <c r="G47" s="50" t="s">
        <v>573</v>
      </c>
      <c r="H47" s="50" t="s">
        <v>1633</v>
      </c>
      <c r="I47" s="50" t="s">
        <v>574</v>
      </c>
      <c r="J47" s="50" t="s">
        <v>1634</v>
      </c>
      <c r="K47" s="50" t="s">
        <v>1635</v>
      </c>
      <c r="L47" s="50" t="s">
        <v>1636</v>
      </c>
      <c r="M47" s="50"/>
      <c r="N47" s="50"/>
      <c r="O47" s="50"/>
      <c r="P47" s="50"/>
      <c r="Q47" s="50"/>
      <c r="R47" s="50"/>
      <c r="S47" s="50"/>
      <c r="T47" s="50"/>
      <c r="U47" s="50"/>
      <c r="V47" s="50"/>
      <c r="W47" s="50"/>
      <c r="X47" s="50"/>
      <c r="Y47" s="50"/>
      <c r="Z47" s="50"/>
      <c r="AA47" s="50"/>
      <c r="AB47" s="50"/>
    </row>
    <row r="48" spans="3:28" ht="18" customHeight="1">
      <c r="C48" s="50"/>
      <c r="D48" s="50" t="s">
        <v>1659</v>
      </c>
      <c r="E48" s="325"/>
      <c r="F48" s="50"/>
      <c r="G48" s="50"/>
      <c r="H48" s="50"/>
      <c r="I48" s="50"/>
      <c r="J48" s="50"/>
      <c r="K48" s="50"/>
      <c r="L48" s="50"/>
      <c r="M48" s="50"/>
      <c r="N48" s="50"/>
      <c r="O48" s="50"/>
      <c r="P48" s="50"/>
      <c r="Q48" s="50"/>
      <c r="R48" s="50"/>
      <c r="S48" s="50"/>
      <c r="T48" s="50"/>
      <c r="U48" s="50"/>
      <c r="V48" s="50"/>
      <c r="W48" s="50"/>
      <c r="X48" s="50"/>
      <c r="Y48" s="50"/>
      <c r="Z48" s="50"/>
      <c r="AA48" s="50"/>
      <c r="AB48" s="50"/>
    </row>
    <row r="49" spans="2:28" ht="18" customHeight="1">
      <c r="C49" s="50"/>
      <c r="D49" s="50"/>
      <c r="E49" s="523" t="s">
        <v>1655</v>
      </c>
      <c r="F49" s="50" t="s">
        <v>1657</v>
      </c>
      <c r="G49" s="50" t="s">
        <v>548</v>
      </c>
      <c r="H49" s="50" t="s">
        <v>1640</v>
      </c>
      <c r="I49" s="50" t="s">
        <v>575</v>
      </c>
      <c r="J49" s="50" t="s">
        <v>1641</v>
      </c>
      <c r="K49" s="50" t="s">
        <v>1642</v>
      </c>
      <c r="L49" s="50" t="s">
        <v>1643</v>
      </c>
      <c r="M49" s="50"/>
      <c r="N49" s="50"/>
      <c r="O49" s="50"/>
      <c r="P49" s="50"/>
      <c r="Q49" s="50"/>
      <c r="R49" s="50"/>
      <c r="S49" s="50"/>
      <c r="T49" s="50"/>
      <c r="U49" s="50"/>
      <c r="V49" s="50"/>
      <c r="W49" s="50"/>
      <c r="X49" s="50"/>
      <c r="Y49" s="50"/>
      <c r="Z49" s="50"/>
      <c r="AA49" s="50"/>
      <c r="AB49" s="50"/>
    </row>
    <row r="50" spans="2:28" ht="18" customHeight="1">
      <c r="C50" s="50"/>
      <c r="D50" s="50" t="s">
        <v>1196</v>
      </c>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2:28" ht="18" customHeight="1">
      <c r="C51" s="50"/>
      <c r="D51" s="50"/>
      <c r="E51" s="280" t="s">
        <v>1496</v>
      </c>
      <c r="F51" s="50" t="s">
        <v>1489</v>
      </c>
      <c r="G51" s="50" t="s">
        <v>199</v>
      </c>
      <c r="H51" s="50" t="s">
        <v>200</v>
      </c>
      <c r="I51" s="50"/>
      <c r="J51" s="50"/>
      <c r="K51" s="50"/>
      <c r="L51" s="50"/>
      <c r="M51" s="50"/>
      <c r="N51" s="50"/>
      <c r="O51" s="50"/>
      <c r="P51" s="50"/>
      <c r="Q51" s="50"/>
      <c r="R51" s="50"/>
      <c r="S51" s="50"/>
      <c r="T51" s="50"/>
      <c r="U51" s="50"/>
      <c r="V51" s="50"/>
      <c r="W51" s="50"/>
      <c r="X51" s="50"/>
      <c r="Y51" s="50"/>
      <c r="Z51" s="50"/>
      <c r="AA51" s="50"/>
      <c r="AB51" s="50"/>
    </row>
    <row r="52" spans="2:28" ht="18" customHeight="1">
      <c r="C52" s="50"/>
      <c r="D52" s="50"/>
      <c r="E52" s="280" t="s">
        <v>1497</v>
      </c>
      <c r="F52" s="50" t="s">
        <v>1489</v>
      </c>
      <c r="G52" s="50" t="s">
        <v>199</v>
      </c>
      <c r="H52" s="50" t="s">
        <v>200</v>
      </c>
      <c r="I52" s="50"/>
      <c r="J52" s="50"/>
      <c r="K52" s="50"/>
      <c r="L52" s="50"/>
      <c r="M52" s="50"/>
      <c r="N52" s="50"/>
      <c r="O52" s="50"/>
      <c r="P52" s="50"/>
      <c r="Q52" s="50"/>
      <c r="R52" s="50"/>
      <c r="S52" s="50"/>
      <c r="T52" s="50"/>
      <c r="U52" s="50"/>
      <c r="V52" s="50"/>
      <c r="W52" s="50"/>
      <c r="X52" s="50"/>
      <c r="Y52" s="50"/>
      <c r="Z52" s="50"/>
      <c r="AA52" s="50"/>
      <c r="AB52" s="50"/>
    </row>
    <row r="53" spans="2:28" ht="18" customHeight="1">
      <c r="C53" s="50"/>
      <c r="D53" s="50"/>
      <c r="E53" s="280" t="s">
        <v>1498</v>
      </c>
      <c r="F53" s="50" t="s">
        <v>1489</v>
      </c>
      <c r="G53" s="50" t="s">
        <v>199</v>
      </c>
      <c r="H53" s="50" t="s">
        <v>200</v>
      </c>
      <c r="I53" s="50"/>
      <c r="J53" s="50"/>
      <c r="K53" s="50"/>
      <c r="L53" s="50"/>
      <c r="M53" s="50"/>
      <c r="N53" s="50"/>
      <c r="O53" s="50"/>
      <c r="P53" s="50"/>
      <c r="Q53" s="50"/>
      <c r="R53" s="50"/>
      <c r="S53" s="50"/>
      <c r="T53" s="50"/>
      <c r="U53" s="50"/>
      <c r="V53" s="50"/>
      <c r="W53" s="50"/>
      <c r="X53" s="50"/>
      <c r="Y53" s="50"/>
      <c r="Z53" s="50"/>
      <c r="AA53" s="50"/>
      <c r="AB53" s="50"/>
    </row>
    <row r="54" spans="2:28" ht="18" customHeight="1">
      <c r="C54" s="50"/>
      <c r="D54" s="50"/>
      <c r="E54" s="280" t="s">
        <v>1499</v>
      </c>
      <c r="F54" s="50" t="s">
        <v>1489</v>
      </c>
      <c r="G54" s="50" t="s">
        <v>199</v>
      </c>
      <c r="H54" s="50" t="s">
        <v>200</v>
      </c>
      <c r="I54" s="50"/>
      <c r="J54" s="50"/>
      <c r="K54" s="50"/>
      <c r="L54" s="50"/>
      <c r="M54" s="50"/>
      <c r="N54" s="50"/>
      <c r="O54" s="50"/>
      <c r="P54" s="50"/>
      <c r="Q54" s="50"/>
      <c r="R54" s="50"/>
      <c r="S54" s="50"/>
      <c r="T54" s="50"/>
      <c r="U54" s="50"/>
      <c r="V54" s="50"/>
      <c r="W54" s="50"/>
      <c r="X54" s="50"/>
      <c r="Y54" s="50"/>
      <c r="Z54" s="50"/>
      <c r="AA54" s="50"/>
      <c r="AB54" s="50"/>
    </row>
    <row r="57" spans="2:28" ht="18" customHeight="1">
      <c r="B57" s="3" t="s">
        <v>204</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15</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50"/>
      <c r="D59" s="51" t="s">
        <v>205</v>
      </c>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2:28" ht="18" customHeight="1">
      <c r="C60" s="50"/>
      <c r="D60" s="50"/>
      <c r="E60" s="50" t="s">
        <v>206</v>
      </c>
      <c r="F60" s="50"/>
      <c r="G60" s="50"/>
      <c r="H60" s="50"/>
      <c r="I60" s="50"/>
      <c r="J60" s="50"/>
      <c r="K60" s="50"/>
      <c r="L60" s="50"/>
      <c r="M60" s="50"/>
      <c r="N60" s="50"/>
      <c r="O60" s="50"/>
      <c r="P60" s="50"/>
      <c r="Q60" s="50"/>
      <c r="R60" s="50"/>
      <c r="S60" s="50"/>
      <c r="T60" s="50"/>
      <c r="U60" s="50"/>
      <c r="V60" s="50"/>
      <c r="W60" s="50"/>
      <c r="X60" s="50"/>
      <c r="Y60" s="50"/>
      <c r="Z60" s="50"/>
      <c r="AA60" s="50"/>
      <c r="AB60" s="50"/>
    </row>
    <row r="61" spans="2:28" ht="18" customHeight="1">
      <c r="C61" s="50"/>
      <c r="D61" s="50"/>
      <c r="E61" s="50"/>
      <c r="F61" s="50" t="s">
        <v>207</v>
      </c>
      <c r="G61" s="50" t="s">
        <v>199</v>
      </c>
      <c r="H61" s="50" t="s">
        <v>200</v>
      </c>
      <c r="I61" s="50"/>
      <c r="J61" s="50"/>
      <c r="K61" s="50"/>
      <c r="L61" s="50"/>
      <c r="M61" s="50"/>
      <c r="N61" s="50"/>
      <c r="O61" s="50"/>
      <c r="P61" s="50"/>
      <c r="Q61" s="50"/>
      <c r="R61" s="50"/>
      <c r="S61" s="50"/>
      <c r="T61" s="50"/>
      <c r="U61" s="50"/>
      <c r="V61" s="50"/>
      <c r="W61" s="50"/>
      <c r="X61" s="50"/>
      <c r="Y61" s="50"/>
      <c r="Z61" s="50"/>
      <c r="AA61" s="50"/>
      <c r="AB61" s="50"/>
    </row>
    <row r="62" spans="2:28" ht="18" customHeight="1">
      <c r="C62" s="50"/>
      <c r="D62" s="50"/>
      <c r="E62" s="50"/>
      <c r="F62" s="50" t="s">
        <v>208</v>
      </c>
      <c r="G62" s="50" t="s">
        <v>199</v>
      </c>
      <c r="H62" s="50" t="s">
        <v>200</v>
      </c>
      <c r="I62" s="50"/>
      <c r="J62" s="50"/>
      <c r="K62" s="50"/>
      <c r="L62" s="50"/>
      <c r="M62" s="50"/>
      <c r="N62" s="50"/>
      <c r="O62" s="50"/>
      <c r="P62" s="50"/>
      <c r="Q62" s="50"/>
      <c r="R62" s="50"/>
      <c r="S62" s="50"/>
      <c r="T62" s="50"/>
      <c r="U62" s="50"/>
      <c r="V62" s="50"/>
      <c r="W62" s="50"/>
      <c r="X62" s="50"/>
      <c r="Y62" s="50"/>
      <c r="Z62" s="50"/>
      <c r="AA62" s="50"/>
      <c r="AB62" s="50"/>
    </row>
    <row r="63" spans="2:28" ht="18" customHeight="1">
      <c r="C63" s="50"/>
      <c r="D63" s="50"/>
      <c r="E63" s="50"/>
      <c r="F63" s="50" t="s">
        <v>209</v>
      </c>
      <c r="G63" s="50" t="s">
        <v>199</v>
      </c>
      <c r="H63" s="50" t="s">
        <v>200</v>
      </c>
      <c r="I63" s="50"/>
      <c r="J63" s="50"/>
      <c r="K63" s="50"/>
      <c r="L63" s="50"/>
      <c r="M63" s="50"/>
      <c r="N63" s="50"/>
      <c r="O63" s="50"/>
      <c r="P63" s="50"/>
      <c r="Q63" s="50"/>
      <c r="R63" s="50"/>
      <c r="S63" s="50"/>
      <c r="T63" s="50"/>
      <c r="U63" s="50"/>
      <c r="V63" s="50"/>
      <c r="W63" s="50"/>
      <c r="X63" s="50"/>
      <c r="Y63" s="50"/>
      <c r="Z63" s="50"/>
      <c r="AA63" s="50"/>
      <c r="AB63" s="50"/>
    </row>
    <row r="64" spans="2:28" ht="18" customHeight="1">
      <c r="C64" s="50"/>
      <c r="D64" s="50"/>
      <c r="E64" s="50"/>
      <c r="F64" s="50" t="s">
        <v>210</v>
      </c>
      <c r="G64" s="50" t="s">
        <v>211</v>
      </c>
      <c r="H64" s="50" t="s">
        <v>212</v>
      </c>
      <c r="I64" s="50"/>
      <c r="J64" s="50"/>
      <c r="K64" s="50"/>
      <c r="L64" s="50"/>
      <c r="M64" s="50"/>
      <c r="N64" s="50"/>
      <c r="O64" s="50"/>
      <c r="P64" s="50"/>
      <c r="Q64" s="50"/>
      <c r="R64" s="50"/>
      <c r="S64" s="50"/>
      <c r="T64" s="50"/>
      <c r="U64" s="50"/>
      <c r="V64" s="50"/>
      <c r="W64" s="50"/>
      <c r="X64" s="50"/>
      <c r="Y64" s="50"/>
      <c r="Z64" s="50"/>
      <c r="AA64" s="50"/>
      <c r="AB64" s="50"/>
    </row>
    <row r="65" spans="3:28" ht="18" customHeight="1">
      <c r="C65" s="50"/>
      <c r="D65" s="50"/>
      <c r="E65" s="50"/>
      <c r="F65" s="50" t="s">
        <v>213</v>
      </c>
      <c r="G65" s="50" t="s">
        <v>212</v>
      </c>
      <c r="H65" s="50" t="s">
        <v>214</v>
      </c>
      <c r="I65" s="50"/>
      <c r="J65" s="50"/>
      <c r="K65" s="50"/>
      <c r="L65" s="50"/>
      <c r="M65" s="50"/>
      <c r="N65" s="50"/>
      <c r="O65" s="50"/>
      <c r="P65" s="50"/>
      <c r="Q65" s="50"/>
      <c r="R65" s="50"/>
      <c r="S65" s="50"/>
      <c r="T65" s="50"/>
      <c r="U65" s="50"/>
      <c r="V65" s="50"/>
      <c r="W65" s="50"/>
      <c r="X65" s="50"/>
      <c r="Y65" s="50"/>
      <c r="Z65" s="50"/>
      <c r="AA65" s="50"/>
      <c r="AB65" s="50"/>
    </row>
    <row r="66" spans="3:28" ht="18" customHeight="1">
      <c r="C66" s="50"/>
      <c r="D66" s="50"/>
      <c r="E66" s="50"/>
      <c r="F66" s="50" t="s">
        <v>215</v>
      </c>
      <c r="G66" s="50" t="s">
        <v>216</v>
      </c>
      <c r="H66" s="50" t="s">
        <v>214</v>
      </c>
      <c r="I66" s="50"/>
      <c r="J66" s="50"/>
      <c r="K66" s="50"/>
      <c r="L66" s="50"/>
      <c r="M66" s="50"/>
      <c r="N66" s="50"/>
      <c r="O66" s="50"/>
      <c r="P66" s="50"/>
      <c r="Q66" s="50"/>
      <c r="R66" s="50"/>
      <c r="S66" s="50"/>
      <c r="T66" s="50"/>
      <c r="U66" s="50"/>
      <c r="V66" s="50"/>
      <c r="W66" s="50"/>
      <c r="X66" s="50"/>
      <c r="Y66" s="50"/>
      <c r="Z66" s="50"/>
      <c r="AA66" s="50"/>
      <c r="AB66" s="50"/>
    </row>
    <row r="67" spans="3:28" ht="18" customHeight="1">
      <c r="C67" s="50"/>
      <c r="D67" s="50"/>
      <c r="E67" s="50" t="s">
        <v>217</v>
      </c>
      <c r="F67" s="50"/>
      <c r="G67" s="50"/>
      <c r="H67" s="50"/>
      <c r="I67" s="50"/>
      <c r="J67" s="50"/>
      <c r="K67" s="50"/>
      <c r="L67" s="50"/>
      <c r="M67" s="50"/>
      <c r="N67" s="50"/>
      <c r="O67" s="50"/>
      <c r="P67" s="50"/>
      <c r="Q67" s="50"/>
      <c r="R67" s="50"/>
      <c r="S67" s="50"/>
      <c r="T67" s="50"/>
      <c r="U67" s="50"/>
      <c r="V67" s="50"/>
      <c r="W67" s="50"/>
      <c r="X67" s="50"/>
      <c r="Y67" s="50"/>
      <c r="Z67" s="50"/>
      <c r="AA67" s="50"/>
      <c r="AB67" s="50"/>
    </row>
    <row r="68" spans="3:28" ht="18" customHeight="1">
      <c r="C68" s="50"/>
      <c r="D68" s="50"/>
      <c r="E68" s="50"/>
      <c r="F68" s="50" t="s">
        <v>218</v>
      </c>
      <c r="H68" s="50"/>
      <c r="I68" s="51" t="s">
        <v>219</v>
      </c>
      <c r="J68" s="51" t="s">
        <v>220</v>
      </c>
      <c r="K68" s="51" t="s">
        <v>221</v>
      </c>
      <c r="L68" s="51" t="s">
        <v>222</v>
      </c>
      <c r="M68" s="51" t="s">
        <v>223</v>
      </c>
      <c r="N68" s="51" t="s">
        <v>224</v>
      </c>
      <c r="O68" s="51" t="s">
        <v>225</v>
      </c>
      <c r="P68" s="51" t="s">
        <v>226</v>
      </c>
      <c r="Q68" s="51" t="s">
        <v>227</v>
      </c>
      <c r="R68" s="51" t="s">
        <v>228</v>
      </c>
      <c r="S68" s="51" t="s">
        <v>229</v>
      </c>
      <c r="T68" s="51" t="s">
        <v>230</v>
      </c>
      <c r="U68" s="51" t="s">
        <v>231</v>
      </c>
      <c r="V68" s="51" t="s">
        <v>232</v>
      </c>
      <c r="W68" s="51" t="s">
        <v>233</v>
      </c>
      <c r="X68" s="51" t="s">
        <v>234</v>
      </c>
      <c r="Y68" s="51" t="s">
        <v>235</v>
      </c>
      <c r="Z68" s="51" t="s">
        <v>236</v>
      </c>
      <c r="AA68" s="51" t="s">
        <v>237</v>
      </c>
      <c r="AB68" s="52" t="s">
        <v>238</v>
      </c>
    </row>
    <row r="69" spans="3:28" ht="18" customHeight="1">
      <c r="C69" s="50"/>
      <c r="D69" s="50"/>
      <c r="E69" s="50"/>
      <c r="F69" s="50" t="s">
        <v>239</v>
      </c>
      <c r="G69" s="51" t="e">
        <f>MATCH('B1.入力_第1面'!E26,I68:AB68,0)</f>
        <v>#N/A</v>
      </c>
      <c r="H69" s="51" t="str">
        <f>IFERROR(INDEX(I69:AB69,1,MATCH('B1.入力_第1面'!E26,I68:AB68,0)),"")</f>
        <v/>
      </c>
      <c r="I69" s="1091" t="s">
        <v>240</v>
      </c>
      <c r="J69" s="1091" t="s">
        <v>241</v>
      </c>
      <c r="K69" s="1091" t="s">
        <v>242</v>
      </c>
      <c r="L69" s="1091" t="s">
        <v>243</v>
      </c>
      <c r="M69" s="1091" t="s">
        <v>244</v>
      </c>
      <c r="N69" s="1091" t="s">
        <v>245</v>
      </c>
      <c r="O69" s="1091" t="s">
        <v>246</v>
      </c>
      <c r="P69" s="1091" t="s">
        <v>247</v>
      </c>
      <c r="Q69" s="1091" t="s">
        <v>248</v>
      </c>
      <c r="R69" s="1091" t="s">
        <v>249</v>
      </c>
      <c r="S69" s="1091" t="s">
        <v>250</v>
      </c>
      <c r="T69" s="1091" t="s">
        <v>251</v>
      </c>
      <c r="U69" s="1091" t="s">
        <v>252</v>
      </c>
      <c r="V69" s="1091" t="s">
        <v>253</v>
      </c>
      <c r="W69" s="1091" t="s">
        <v>254</v>
      </c>
      <c r="X69" s="1091" t="s">
        <v>255</v>
      </c>
      <c r="Y69" s="1091" t="s">
        <v>256</v>
      </c>
      <c r="Z69" s="1091" t="s">
        <v>257</v>
      </c>
      <c r="AA69" s="1091" t="s">
        <v>258</v>
      </c>
      <c r="AB69" s="1091" t="s">
        <v>259</v>
      </c>
    </row>
    <row r="70" spans="3:28" ht="18" customHeight="1">
      <c r="C70" s="50"/>
      <c r="D70" s="50"/>
      <c r="E70" s="50"/>
      <c r="F70" s="50"/>
      <c r="G70" s="50"/>
      <c r="H70" s="50"/>
      <c r="I70" s="1092" t="s">
        <v>260</v>
      </c>
      <c r="J70" s="1092" t="s">
        <v>261</v>
      </c>
      <c r="K70" s="1092" t="s">
        <v>262</v>
      </c>
      <c r="L70" s="1092" t="s">
        <v>263</v>
      </c>
      <c r="M70" s="1092" t="s">
        <v>264</v>
      </c>
      <c r="N70" s="1092" t="s">
        <v>265</v>
      </c>
      <c r="O70" s="1092" t="s">
        <v>266</v>
      </c>
      <c r="P70" s="1092" t="s">
        <v>267</v>
      </c>
      <c r="Q70" s="1092" t="s">
        <v>268</v>
      </c>
      <c r="R70" s="1092" t="s">
        <v>269</v>
      </c>
      <c r="S70" s="1092" t="s">
        <v>270</v>
      </c>
      <c r="T70" s="1092" t="s">
        <v>271</v>
      </c>
      <c r="U70" s="1092" t="s">
        <v>272</v>
      </c>
      <c r="V70" s="1092" t="s">
        <v>273</v>
      </c>
      <c r="W70" s="1092" t="s">
        <v>274</v>
      </c>
      <c r="X70" s="1092" t="s">
        <v>275</v>
      </c>
      <c r="Y70" s="1092" t="s">
        <v>276</v>
      </c>
      <c r="Z70" s="1092" t="s">
        <v>277</v>
      </c>
      <c r="AA70" s="1092" t="s">
        <v>278</v>
      </c>
      <c r="AB70" s="1092" t="s">
        <v>279</v>
      </c>
    </row>
    <row r="71" spans="3:28" ht="18" customHeight="1">
      <c r="C71" s="50"/>
      <c r="D71" s="50"/>
      <c r="E71" s="50"/>
      <c r="F71" s="50"/>
      <c r="G71" s="50"/>
      <c r="H71" s="50"/>
      <c r="I71" s="1092" t="s">
        <v>280</v>
      </c>
      <c r="J71" s="1092" t="s">
        <v>281</v>
      </c>
      <c r="K71" s="1091"/>
      <c r="L71" s="1092" t="s">
        <v>282</v>
      </c>
      <c r="M71" s="1092" t="s">
        <v>283</v>
      </c>
      <c r="N71" s="1092" t="s">
        <v>284</v>
      </c>
      <c r="O71" s="1092" t="s">
        <v>285</v>
      </c>
      <c r="P71" s="1092" t="s">
        <v>286</v>
      </c>
      <c r="Q71" s="1092" t="s">
        <v>287</v>
      </c>
      <c r="R71" s="1092" t="s">
        <v>288</v>
      </c>
      <c r="S71" s="1092" t="s">
        <v>289</v>
      </c>
      <c r="T71" s="1092" t="s">
        <v>290</v>
      </c>
      <c r="U71" s="1092" t="s">
        <v>291</v>
      </c>
      <c r="V71" s="1092" t="s">
        <v>292</v>
      </c>
      <c r="W71" s="1092" t="s">
        <v>293</v>
      </c>
      <c r="X71" s="1092" t="s">
        <v>294</v>
      </c>
      <c r="Y71" s="1092" t="s">
        <v>295</v>
      </c>
      <c r="Z71" s="1092" t="s">
        <v>296</v>
      </c>
      <c r="AA71" s="1092" t="s">
        <v>297</v>
      </c>
      <c r="AB71" s="280"/>
    </row>
    <row r="72" spans="3:28" ht="18" customHeight="1">
      <c r="C72" s="50"/>
      <c r="D72" s="50"/>
      <c r="E72" s="50"/>
      <c r="F72" s="50"/>
      <c r="G72" s="50"/>
      <c r="H72" s="50"/>
      <c r="I72" s="280"/>
      <c r="J72" s="1091"/>
      <c r="K72" s="1091"/>
      <c r="L72" s="1092" t="s">
        <v>298</v>
      </c>
      <c r="M72" s="1092" t="s">
        <v>299</v>
      </c>
      <c r="N72" s="1092" t="s">
        <v>300</v>
      </c>
      <c r="O72" s="1092" t="s">
        <v>301</v>
      </c>
      <c r="P72" s="1092" t="s">
        <v>302</v>
      </c>
      <c r="Q72" s="1092" t="s">
        <v>303</v>
      </c>
      <c r="R72" s="1092" t="s">
        <v>304</v>
      </c>
      <c r="S72" s="1092" t="s">
        <v>305</v>
      </c>
      <c r="T72" s="1092" t="s">
        <v>306</v>
      </c>
      <c r="U72" s="1092" t="s">
        <v>307</v>
      </c>
      <c r="V72" s="1092" t="s">
        <v>308</v>
      </c>
      <c r="W72" s="280"/>
      <c r="X72" s="1092" t="s">
        <v>309</v>
      </c>
      <c r="Y72" s="280"/>
      <c r="Z72" s="1092" t="s">
        <v>310</v>
      </c>
      <c r="AA72" s="280"/>
      <c r="AB72" s="280"/>
    </row>
    <row r="73" spans="3:28" ht="18" customHeight="1">
      <c r="C73" s="50"/>
      <c r="D73" s="50"/>
      <c r="E73" s="50"/>
      <c r="F73" s="50"/>
      <c r="G73" s="50"/>
      <c r="H73" s="50"/>
      <c r="I73" s="280"/>
      <c r="J73" s="1091"/>
      <c r="K73" s="1091"/>
      <c r="L73" s="280"/>
      <c r="M73" s="1092" t="s">
        <v>311</v>
      </c>
      <c r="N73" s="1092" t="s">
        <v>312</v>
      </c>
      <c r="O73" s="1092" t="s">
        <v>313</v>
      </c>
      <c r="P73" s="1092" t="s">
        <v>314</v>
      </c>
      <c r="Q73" s="1092" t="s">
        <v>315</v>
      </c>
      <c r="R73" s="1092" t="s">
        <v>316</v>
      </c>
      <c r="S73" s="280"/>
      <c r="T73" s="1092" t="s">
        <v>317</v>
      </c>
      <c r="U73" s="280"/>
      <c r="V73" s="280"/>
      <c r="W73" s="280"/>
      <c r="X73" s="280"/>
      <c r="Y73" s="280"/>
      <c r="Z73" s="1092" t="s">
        <v>318</v>
      </c>
      <c r="AA73" s="280"/>
      <c r="AB73" s="280"/>
    </row>
    <row r="74" spans="3:28" ht="18" customHeight="1">
      <c r="C74" s="50"/>
      <c r="D74" s="50"/>
      <c r="E74" s="50"/>
      <c r="F74" s="50"/>
      <c r="G74" s="50"/>
      <c r="H74" s="50"/>
      <c r="I74" s="280"/>
      <c r="J74" s="1091"/>
      <c r="K74" s="1091"/>
      <c r="L74" s="280"/>
      <c r="M74" s="1092" t="s">
        <v>319</v>
      </c>
      <c r="N74" s="280"/>
      <c r="O74" s="1092" t="s">
        <v>320</v>
      </c>
      <c r="P74" s="1092" t="s">
        <v>321</v>
      </c>
      <c r="Q74" s="1092" t="s">
        <v>322</v>
      </c>
      <c r="R74" s="1092" t="s">
        <v>323</v>
      </c>
      <c r="S74" s="280"/>
      <c r="T74" s="280"/>
      <c r="U74" s="280"/>
      <c r="V74" s="280"/>
      <c r="W74" s="280"/>
      <c r="X74" s="280"/>
      <c r="Y74" s="280"/>
      <c r="Z74" s="1092" t="s">
        <v>324</v>
      </c>
      <c r="AA74" s="280"/>
      <c r="AB74" s="280"/>
    </row>
    <row r="75" spans="3:28" ht="18" customHeight="1">
      <c r="C75" s="50"/>
      <c r="D75" s="50"/>
      <c r="E75" s="50"/>
      <c r="F75" s="50"/>
      <c r="G75" s="50"/>
      <c r="H75" s="50"/>
      <c r="I75" s="280"/>
      <c r="J75" s="1091"/>
      <c r="K75" s="1091"/>
      <c r="L75" s="280"/>
      <c r="M75" s="1092" t="s">
        <v>325</v>
      </c>
      <c r="N75" s="280"/>
      <c r="O75" s="280"/>
      <c r="P75" s="1092" t="s">
        <v>326</v>
      </c>
      <c r="Q75" s="1092" t="s">
        <v>327</v>
      </c>
      <c r="R75" s="1092" t="s">
        <v>328</v>
      </c>
      <c r="S75" s="280"/>
      <c r="T75" s="280"/>
      <c r="U75" s="280"/>
      <c r="V75" s="280"/>
      <c r="W75" s="280"/>
      <c r="X75" s="280"/>
      <c r="Y75" s="280"/>
      <c r="Z75" s="1092" t="s">
        <v>329</v>
      </c>
      <c r="AA75" s="280"/>
      <c r="AB75" s="280"/>
    </row>
    <row r="76" spans="3:28" ht="18" customHeight="1">
      <c r="C76" s="50"/>
      <c r="D76" s="50"/>
      <c r="E76" s="50"/>
      <c r="F76" s="50"/>
      <c r="G76" s="50"/>
      <c r="H76" s="50"/>
      <c r="I76" s="280"/>
      <c r="J76" s="1091"/>
      <c r="K76" s="1091"/>
      <c r="L76" s="280"/>
      <c r="M76" s="1092" t="s">
        <v>330</v>
      </c>
      <c r="N76" s="280"/>
      <c r="O76" s="280"/>
      <c r="P76" s="1092" t="s">
        <v>331</v>
      </c>
      <c r="Q76" s="1092" t="s">
        <v>332</v>
      </c>
      <c r="R76" s="280"/>
      <c r="S76" s="280"/>
      <c r="T76" s="280"/>
      <c r="U76" s="280"/>
      <c r="V76" s="280"/>
      <c r="W76" s="280"/>
      <c r="X76" s="280"/>
      <c r="Y76" s="280"/>
      <c r="Z76" s="1092" t="s">
        <v>333</v>
      </c>
      <c r="AA76" s="280"/>
      <c r="AB76" s="280"/>
    </row>
    <row r="77" spans="3:28" ht="18" customHeight="1">
      <c r="C77" s="50"/>
      <c r="D77" s="50"/>
      <c r="E77" s="50"/>
      <c r="F77" s="50"/>
      <c r="G77" s="50"/>
      <c r="H77" s="50"/>
      <c r="I77" s="280"/>
      <c r="J77" s="1091"/>
      <c r="K77" s="1091"/>
      <c r="L77" s="280"/>
      <c r="M77" s="1092" t="s">
        <v>334</v>
      </c>
      <c r="N77" s="280"/>
      <c r="O77" s="280"/>
      <c r="P77" s="1092" t="s">
        <v>335</v>
      </c>
      <c r="Q77" s="1092" t="s">
        <v>336</v>
      </c>
      <c r="R77" s="280"/>
      <c r="S77" s="280"/>
      <c r="T77" s="280"/>
      <c r="U77" s="280"/>
      <c r="V77" s="280"/>
      <c r="W77" s="280"/>
      <c r="X77" s="280"/>
      <c r="Y77" s="280"/>
      <c r="Z77" s="1092" t="s">
        <v>337</v>
      </c>
      <c r="AA77" s="280"/>
      <c r="AB77" s="280"/>
    </row>
    <row r="78" spans="3:28" ht="18" customHeight="1">
      <c r="C78" s="50"/>
      <c r="D78" s="50"/>
      <c r="E78" s="50"/>
      <c r="F78" s="50"/>
      <c r="G78" s="50"/>
      <c r="H78" s="50"/>
      <c r="I78" s="280"/>
      <c r="J78" s="1091"/>
      <c r="K78" s="1091"/>
      <c r="L78" s="280"/>
      <c r="M78" s="1092" t="s">
        <v>338</v>
      </c>
      <c r="N78" s="280"/>
      <c r="O78" s="280"/>
      <c r="P78" s="280"/>
      <c r="Q78" s="1092" t="s">
        <v>339</v>
      </c>
      <c r="R78" s="280"/>
      <c r="S78" s="280"/>
      <c r="T78" s="280"/>
      <c r="U78" s="280"/>
      <c r="V78" s="280"/>
      <c r="W78" s="280"/>
      <c r="X78" s="280"/>
      <c r="Y78" s="280"/>
      <c r="Z78" s="1092" t="s">
        <v>340</v>
      </c>
      <c r="AA78" s="280"/>
      <c r="AB78" s="280"/>
    </row>
    <row r="79" spans="3:28" ht="18" customHeight="1">
      <c r="C79" s="50"/>
      <c r="D79" s="50"/>
      <c r="E79" s="50"/>
      <c r="F79" s="50"/>
      <c r="G79" s="50"/>
      <c r="H79" s="50"/>
      <c r="I79" s="280"/>
      <c r="J79" s="1091"/>
      <c r="K79" s="1091"/>
      <c r="L79" s="280"/>
      <c r="M79" s="1092" t="s">
        <v>341</v>
      </c>
      <c r="N79" s="280"/>
      <c r="O79" s="280"/>
      <c r="P79" s="280"/>
      <c r="Q79" s="1092" t="s">
        <v>342</v>
      </c>
      <c r="R79" s="280"/>
      <c r="S79" s="280"/>
      <c r="T79" s="280"/>
      <c r="U79" s="280"/>
      <c r="V79" s="280"/>
      <c r="W79" s="280"/>
      <c r="X79" s="280"/>
      <c r="Y79" s="280"/>
      <c r="Z79" s="280"/>
      <c r="AA79" s="280"/>
      <c r="AB79" s="280"/>
    </row>
    <row r="80" spans="3:28" ht="18" customHeight="1">
      <c r="C80" s="50"/>
      <c r="D80" s="50"/>
      <c r="E80" s="50"/>
      <c r="F80" s="50"/>
      <c r="G80" s="50"/>
      <c r="H80" s="50"/>
      <c r="I80" s="280"/>
      <c r="J80" s="1091"/>
      <c r="K80" s="1091"/>
      <c r="L80" s="280"/>
      <c r="M80" s="1092" t="s">
        <v>343</v>
      </c>
      <c r="N80" s="280"/>
      <c r="O80" s="280"/>
      <c r="P80" s="280"/>
      <c r="Q80" s="1092" t="s">
        <v>344</v>
      </c>
      <c r="R80" s="280"/>
      <c r="S80" s="280"/>
      <c r="T80" s="280"/>
      <c r="U80" s="280"/>
      <c r="V80" s="280"/>
      <c r="W80" s="280"/>
      <c r="X80" s="280"/>
      <c r="Y80" s="280"/>
      <c r="Z80" s="280"/>
      <c r="AA80" s="280"/>
      <c r="AB80" s="280"/>
    </row>
    <row r="81" spans="3:28" ht="18" customHeight="1">
      <c r="C81" s="50"/>
      <c r="D81" s="50"/>
      <c r="E81" s="50"/>
      <c r="F81" s="50"/>
      <c r="G81" s="50"/>
      <c r="H81" s="50"/>
      <c r="I81" s="280"/>
      <c r="J81" s="1091"/>
      <c r="K81" s="1091"/>
      <c r="L81" s="280"/>
      <c r="M81" s="1092" t="s">
        <v>345</v>
      </c>
      <c r="N81" s="280"/>
      <c r="O81" s="280"/>
      <c r="P81" s="280"/>
      <c r="Q81" s="1092" t="s">
        <v>346</v>
      </c>
      <c r="R81" s="280"/>
      <c r="S81" s="280"/>
      <c r="T81" s="280"/>
      <c r="U81" s="280"/>
      <c r="V81" s="280"/>
      <c r="W81" s="280"/>
      <c r="X81" s="280"/>
      <c r="Y81" s="280"/>
      <c r="Z81" s="280"/>
      <c r="AA81" s="280"/>
      <c r="AB81" s="280"/>
    </row>
    <row r="82" spans="3:28" ht="18" customHeight="1">
      <c r="C82" s="50"/>
      <c r="D82" s="50"/>
      <c r="E82" s="50"/>
      <c r="F82" s="50"/>
      <c r="G82" s="50"/>
      <c r="H82" s="50"/>
      <c r="I82" s="280"/>
      <c r="J82" s="1091"/>
      <c r="K82" s="1091"/>
      <c r="L82" s="280"/>
      <c r="M82" s="1092" t="s">
        <v>347</v>
      </c>
      <c r="N82" s="280"/>
      <c r="O82" s="280"/>
      <c r="P82" s="280"/>
      <c r="Q82" s="280"/>
      <c r="R82" s="280"/>
      <c r="S82" s="280"/>
      <c r="T82" s="280"/>
      <c r="U82" s="280"/>
      <c r="V82" s="280"/>
      <c r="W82" s="280"/>
      <c r="X82" s="280"/>
      <c r="Y82" s="280"/>
      <c r="Z82" s="280"/>
      <c r="AA82" s="280"/>
      <c r="AB82" s="280"/>
    </row>
    <row r="83" spans="3:28" ht="18" customHeight="1">
      <c r="C83" s="50"/>
      <c r="D83" s="50"/>
      <c r="E83" s="50"/>
      <c r="F83" s="50"/>
      <c r="G83" s="50"/>
      <c r="H83" s="50"/>
      <c r="I83" s="280"/>
      <c r="J83" s="1091"/>
      <c r="K83" s="1091"/>
      <c r="L83" s="280"/>
      <c r="M83" s="1092" t="s">
        <v>348</v>
      </c>
      <c r="N83" s="280"/>
      <c r="O83" s="280"/>
      <c r="P83" s="280"/>
      <c r="Q83" s="280"/>
      <c r="R83" s="280"/>
      <c r="S83" s="280"/>
      <c r="T83" s="280"/>
      <c r="U83" s="280"/>
      <c r="V83" s="280"/>
      <c r="W83" s="280"/>
      <c r="X83" s="280"/>
      <c r="Y83" s="280"/>
      <c r="Z83" s="280"/>
      <c r="AA83" s="280"/>
      <c r="AB83" s="280"/>
    </row>
    <row r="84" spans="3:28" ht="18" customHeight="1">
      <c r="C84" s="50"/>
      <c r="D84" s="50"/>
      <c r="E84" s="50"/>
      <c r="F84" s="50"/>
      <c r="G84" s="50"/>
      <c r="H84" s="50"/>
      <c r="I84" s="280"/>
      <c r="J84" s="1091"/>
      <c r="K84" s="1091"/>
      <c r="L84" s="280"/>
      <c r="M84" s="1092" t="s">
        <v>349</v>
      </c>
      <c r="N84" s="280"/>
      <c r="O84" s="280"/>
      <c r="P84" s="280"/>
      <c r="Q84" s="280"/>
      <c r="R84" s="280"/>
      <c r="S84" s="280"/>
      <c r="T84" s="280"/>
      <c r="U84" s="280"/>
      <c r="V84" s="280"/>
      <c r="W84" s="280"/>
      <c r="X84" s="280"/>
      <c r="Y84" s="280"/>
      <c r="Z84" s="280"/>
      <c r="AA84" s="280"/>
      <c r="AB84" s="280"/>
    </row>
    <row r="85" spans="3:28" ht="18" customHeight="1">
      <c r="C85" s="50"/>
      <c r="D85" s="50"/>
      <c r="E85" s="50"/>
      <c r="F85" s="50"/>
      <c r="G85" s="50"/>
      <c r="H85" s="50"/>
      <c r="I85" s="280"/>
      <c r="J85" s="1091"/>
      <c r="K85" s="1091"/>
      <c r="L85" s="280"/>
      <c r="M85" s="1092" t="s">
        <v>350</v>
      </c>
      <c r="N85" s="280"/>
      <c r="O85" s="280"/>
      <c r="P85" s="280"/>
      <c r="Q85" s="280"/>
      <c r="R85" s="280"/>
      <c r="S85" s="280"/>
      <c r="T85" s="280"/>
      <c r="U85" s="280"/>
      <c r="V85" s="280"/>
      <c r="W85" s="280"/>
      <c r="X85" s="280"/>
      <c r="Y85" s="280"/>
      <c r="Z85" s="280"/>
      <c r="AA85" s="280"/>
      <c r="AB85" s="280"/>
    </row>
    <row r="86" spans="3:28" ht="18" customHeight="1">
      <c r="C86" s="50"/>
      <c r="D86" s="50"/>
      <c r="E86" s="50"/>
      <c r="F86" s="50"/>
      <c r="G86" s="50"/>
      <c r="H86" s="50"/>
      <c r="I86" s="280"/>
      <c r="J86" s="1091"/>
      <c r="K86" s="1091"/>
      <c r="L86" s="280"/>
      <c r="M86" s="1092" t="s">
        <v>351</v>
      </c>
      <c r="N86" s="280"/>
      <c r="O86" s="280"/>
      <c r="P86" s="280"/>
      <c r="Q86" s="280"/>
      <c r="R86" s="280"/>
      <c r="S86" s="280"/>
      <c r="T86" s="280"/>
      <c r="U86" s="280"/>
      <c r="V86" s="280"/>
      <c r="W86" s="280"/>
      <c r="X86" s="280"/>
      <c r="Y86" s="280"/>
      <c r="Z86" s="280"/>
      <c r="AA86" s="280"/>
      <c r="AB86" s="280"/>
    </row>
    <row r="87" spans="3:28" ht="18" customHeight="1">
      <c r="C87" s="50"/>
      <c r="D87" s="50"/>
      <c r="E87" s="50"/>
      <c r="F87" s="50"/>
      <c r="G87" s="50"/>
      <c r="H87" s="50"/>
      <c r="I87" s="280"/>
      <c r="J87" s="1091"/>
      <c r="K87" s="1091"/>
      <c r="L87" s="280"/>
      <c r="M87" s="1092" t="s">
        <v>352</v>
      </c>
      <c r="N87" s="280"/>
      <c r="O87" s="280"/>
      <c r="P87" s="280"/>
      <c r="Q87" s="280"/>
      <c r="R87" s="280"/>
      <c r="S87" s="280"/>
      <c r="T87" s="280"/>
      <c r="U87" s="280"/>
      <c r="V87" s="280"/>
      <c r="W87" s="280"/>
      <c r="X87" s="280"/>
      <c r="Y87" s="280"/>
      <c r="Z87" s="280"/>
      <c r="AA87" s="280"/>
      <c r="AB87" s="280"/>
    </row>
    <row r="88" spans="3:28" ht="18" customHeight="1">
      <c r="C88" s="50"/>
      <c r="D88" s="50"/>
      <c r="E88" s="50"/>
      <c r="F88" s="50"/>
      <c r="G88" s="50"/>
      <c r="H88" s="50"/>
      <c r="I88" s="280"/>
      <c r="J88" s="1091"/>
      <c r="K88" s="1091"/>
      <c r="L88" s="280"/>
      <c r="M88" s="1092" t="s">
        <v>353</v>
      </c>
      <c r="N88" s="280"/>
      <c r="O88" s="280"/>
      <c r="P88" s="280"/>
      <c r="Q88" s="280"/>
      <c r="R88" s="280"/>
      <c r="S88" s="280"/>
      <c r="T88" s="280"/>
      <c r="U88" s="280"/>
      <c r="V88" s="280"/>
      <c r="W88" s="280"/>
      <c r="X88" s="280"/>
      <c r="Y88" s="280"/>
      <c r="Z88" s="280"/>
      <c r="AA88" s="280"/>
      <c r="AB88" s="280"/>
    </row>
    <row r="89" spans="3:28" ht="18" customHeight="1">
      <c r="C89" s="50"/>
      <c r="D89" s="50"/>
      <c r="E89" s="50"/>
      <c r="F89" s="50"/>
      <c r="G89" s="50"/>
      <c r="H89" s="50"/>
      <c r="I89" s="280"/>
      <c r="J89" s="1091"/>
      <c r="K89" s="1091"/>
      <c r="L89" s="280"/>
      <c r="M89" s="1092" t="s">
        <v>354</v>
      </c>
      <c r="N89" s="280"/>
      <c r="O89" s="280"/>
      <c r="P89" s="280"/>
      <c r="Q89" s="280"/>
      <c r="R89" s="280"/>
      <c r="S89" s="280"/>
      <c r="T89" s="280"/>
      <c r="U89" s="280"/>
      <c r="V89" s="280"/>
      <c r="W89" s="280"/>
      <c r="X89" s="280"/>
      <c r="Y89" s="280"/>
      <c r="Z89" s="280"/>
      <c r="AA89" s="280"/>
      <c r="AB89" s="280"/>
    </row>
    <row r="90" spans="3:28" ht="18" customHeight="1">
      <c r="C90" s="50"/>
      <c r="D90" s="50"/>
      <c r="E90" s="50"/>
      <c r="F90" s="50"/>
      <c r="G90" s="50"/>
      <c r="H90" s="50"/>
      <c r="I90" s="280"/>
      <c r="J90" s="280"/>
      <c r="K90" s="280"/>
      <c r="L90" s="280"/>
      <c r="M90" s="1092" t="s">
        <v>355</v>
      </c>
      <c r="N90" s="280"/>
      <c r="O90" s="280"/>
      <c r="P90" s="280"/>
      <c r="Q90" s="280"/>
      <c r="R90" s="280"/>
      <c r="S90" s="280"/>
      <c r="T90" s="280"/>
      <c r="U90" s="280"/>
      <c r="V90" s="280"/>
      <c r="W90" s="280"/>
      <c r="X90" s="280"/>
      <c r="Y90" s="280"/>
      <c r="Z90" s="280"/>
      <c r="AA90" s="280"/>
      <c r="AB90" s="280"/>
    </row>
    <row r="91" spans="3:28" ht="18" customHeight="1">
      <c r="C91" s="50"/>
      <c r="D91" s="50"/>
      <c r="E91" s="50"/>
      <c r="F91" s="50"/>
      <c r="G91" s="50"/>
      <c r="H91" s="50"/>
      <c r="I91" s="280"/>
      <c r="J91" s="280"/>
      <c r="K91" s="280"/>
      <c r="L91" s="280"/>
      <c r="M91" s="1092" t="s">
        <v>356</v>
      </c>
      <c r="N91" s="280"/>
      <c r="O91" s="280"/>
      <c r="P91" s="280"/>
      <c r="Q91" s="280"/>
      <c r="R91" s="280"/>
      <c r="S91" s="280"/>
      <c r="T91" s="280"/>
      <c r="U91" s="280"/>
      <c r="V91" s="280"/>
      <c r="W91" s="280"/>
      <c r="X91" s="280"/>
      <c r="Y91" s="280"/>
      <c r="Z91" s="280"/>
      <c r="AA91" s="280"/>
      <c r="AB91" s="280"/>
    </row>
    <row r="92" spans="3:28" ht="18" customHeight="1">
      <c r="C92" s="50"/>
      <c r="D92" s="50"/>
      <c r="E92" s="50"/>
      <c r="F92" s="50"/>
      <c r="G92" s="50"/>
      <c r="H92" s="50"/>
      <c r="I92" s="280"/>
      <c r="J92" s="280"/>
      <c r="K92" s="280"/>
      <c r="L92" s="280"/>
      <c r="M92" s="1092" t="s">
        <v>357</v>
      </c>
      <c r="N92" s="280"/>
      <c r="O92" s="280"/>
      <c r="P92" s="280"/>
      <c r="Q92" s="280"/>
      <c r="R92" s="280"/>
      <c r="S92" s="280"/>
      <c r="T92" s="280"/>
      <c r="U92" s="280"/>
      <c r="V92" s="280"/>
      <c r="W92" s="280"/>
      <c r="X92" s="280"/>
      <c r="Y92" s="280"/>
      <c r="Z92" s="280"/>
      <c r="AA92" s="280"/>
      <c r="AB92" s="280"/>
    </row>
    <row r="93" spans="3:28" ht="18" customHeight="1">
      <c r="C93" s="50"/>
      <c r="D93" s="50"/>
      <c r="E93" s="50"/>
      <c r="G93" s="50"/>
      <c r="H93" s="50"/>
      <c r="I93" s="280"/>
      <c r="J93" s="280"/>
      <c r="K93" s="280"/>
      <c r="L93" s="280"/>
      <c r="M93" s="1092" t="s">
        <v>358</v>
      </c>
      <c r="N93" s="280"/>
      <c r="O93" s="280"/>
      <c r="P93" s="280"/>
      <c r="Q93" s="280"/>
      <c r="R93" s="280"/>
      <c r="S93" s="280"/>
      <c r="T93" s="280"/>
      <c r="U93" s="280"/>
      <c r="V93" s="280"/>
      <c r="W93" s="280"/>
      <c r="X93" s="280"/>
      <c r="Y93" s="280"/>
      <c r="Z93" s="280"/>
      <c r="AA93" s="280"/>
      <c r="AB93" s="280"/>
    </row>
    <row r="94" spans="3:28" ht="18" customHeight="1">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3:28" ht="18" customHeight="1">
      <c r="C95" s="50"/>
      <c r="D95" s="50" t="s">
        <v>359</v>
      </c>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3:28" ht="18" customHeight="1">
      <c r="C96" s="50"/>
      <c r="D96" s="50"/>
      <c r="E96" s="50"/>
      <c r="F96" s="50" t="s">
        <v>360</v>
      </c>
      <c r="G96" s="50" t="s">
        <v>199</v>
      </c>
      <c r="H96" s="50" t="s">
        <v>200</v>
      </c>
      <c r="I96" s="50"/>
      <c r="J96" s="50"/>
      <c r="K96" s="50"/>
      <c r="L96" s="50"/>
      <c r="M96" s="50"/>
      <c r="N96" s="50"/>
      <c r="O96" s="50"/>
      <c r="P96" s="50"/>
      <c r="Q96" s="50"/>
      <c r="R96" s="50"/>
      <c r="S96" s="50"/>
      <c r="T96" s="50"/>
      <c r="U96" s="50"/>
      <c r="V96" s="50"/>
      <c r="W96" s="50"/>
      <c r="X96" s="50"/>
      <c r="Y96" s="50"/>
      <c r="Z96" s="50"/>
      <c r="AA96" s="50"/>
      <c r="AB96" s="50"/>
    </row>
    <row r="97" spans="3:28" ht="18" customHeight="1">
      <c r="C97" s="50"/>
      <c r="D97" s="50"/>
      <c r="E97" s="50"/>
      <c r="F97" s="50" t="s">
        <v>361</v>
      </c>
      <c r="G97" s="50" t="s">
        <v>199</v>
      </c>
      <c r="H97" s="50" t="s">
        <v>200</v>
      </c>
      <c r="I97" s="50"/>
      <c r="J97" s="50"/>
      <c r="K97" s="50"/>
      <c r="L97" s="50"/>
      <c r="M97" s="50"/>
      <c r="N97" s="50"/>
      <c r="O97" s="50"/>
      <c r="P97" s="50"/>
      <c r="Q97" s="50"/>
      <c r="R97" s="50"/>
      <c r="S97" s="50"/>
      <c r="T97" s="50"/>
      <c r="U97" s="50"/>
      <c r="V97" s="50"/>
      <c r="W97" s="50"/>
      <c r="X97" s="50"/>
      <c r="Y97" s="50"/>
      <c r="Z97" s="50"/>
      <c r="AA97" s="50"/>
      <c r="AB97" s="50"/>
    </row>
    <row r="98" spans="3:28" ht="18" customHeight="1">
      <c r="C98" s="50"/>
      <c r="D98" s="50"/>
      <c r="E98" s="50"/>
      <c r="F98" s="50" t="s">
        <v>362</v>
      </c>
      <c r="G98" s="50" t="s">
        <v>199</v>
      </c>
      <c r="H98" s="50" t="s">
        <v>200</v>
      </c>
      <c r="I98" s="50"/>
      <c r="J98" s="50"/>
      <c r="K98" s="50"/>
      <c r="L98" s="50"/>
      <c r="M98" s="50"/>
      <c r="N98" s="50"/>
      <c r="O98" s="50"/>
      <c r="P98" s="50"/>
      <c r="Q98" s="50"/>
      <c r="R98" s="50"/>
      <c r="S98" s="50"/>
      <c r="T98" s="50"/>
      <c r="U98" s="50"/>
      <c r="V98" s="50"/>
      <c r="W98" s="50"/>
      <c r="X98" s="50"/>
      <c r="Y98" s="50"/>
      <c r="Z98" s="50"/>
      <c r="AA98" s="50"/>
      <c r="AB98" s="50"/>
    </row>
    <row r="99" spans="3:28" ht="18" customHeight="1">
      <c r="C99" s="50"/>
      <c r="D99" s="50"/>
      <c r="E99" s="50"/>
      <c r="F99" s="50" t="s">
        <v>363</v>
      </c>
      <c r="G99" s="50" t="s">
        <v>199</v>
      </c>
      <c r="H99" s="50" t="s">
        <v>200</v>
      </c>
      <c r="I99" s="50"/>
      <c r="J99" s="50"/>
      <c r="K99" s="50"/>
      <c r="L99" s="50"/>
      <c r="M99" s="50"/>
      <c r="N99" s="50"/>
      <c r="O99" s="50"/>
      <c r="P99" s="50"/>
      <c r="Q99" s="50"/>
      <c r="R99" s="50"/>
      <c r="S99" s="50"/>
      <c r="T99" s="50"/>
      <c r="U99" s="50"/>
      <c r="V99" s="50"/>
      <c r="W99" s="50"/>
      <c r="X99" s="50"/>
      <c r="Y99" s="50"/>
      <c r="Z99" s="50"/>
      <c r="AA99" s="50"/>
      <c r="AB99" s="50"/>
    </row>
    <row r="100" spans="3:28" ht="18" customHeight="1">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3:28" ht="18" customHeight="1">
      <c r="C101" s="50"/>
      <c r="D101" s="50" t="s">
        <v>364</v>
      </c>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3:28" ht="18" customHeight="1">
      <c r="C102" s="50"/>
      <c r="D102" s="50"/>
      <c r="E102" s="50"/>
      <c r="F102" s="50" t="s">
        <v>365</v>
      </c>
      <c r="G102" s="50">
        <v>2025</v>
      </c>
      <c r="H102" s="50">
        <v>2026</v>
      </c>
      <c r="I102" s="50">
        <v>2027</v>
      </c>
      <c r="J102" s="50"/>
      <c r="K102" s="50"/>
      <c r="L102" s="50"/>
      <c r="M102" s="50"/>
      <c r="N102" s="50"/>
      <c r="O102" s="50"/>
      <c r="P102" s="50"/>
      <c r="Q102" s="50"/>
      <c r="R102" s="50"/>
      <c r="S102" s="50"/>
      <c r="T102" s="50"/>
      <c r="U102" s="50"/>
      <c r="V102" s="50"/>
      <c r="W102" s="50"/>
      <c r="X102" s="50"/>
      <c r="Y102" s="50"/>
      <c r="Z102" s="50"/>
      <c r="AA102" s="50"/>
      <c r="AB102" s="50"/>
    </row>
    <row r="103" spans="3:28" ht="18" customHeight="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3:28" ht="18" customHeight="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3:28" ht="18" customHeight="1">
      <c r="C105" s="53" t="s">
        <v>366</v>
      </c>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3:28" ht="18" customHeight="1">
      <c r="C106" s="50"/>
      <c r="D106" s="50" t="s">
        <v>1490</v>
      </c>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3:28" ht="18" customHeight="1">
      <c r="C107" s="50"/>
      <c r="D107" s="50"/>
      <c r="E107" s="50" t="s">
        <v>169</v>
      </c>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3:28" ht="18" customHeight="1">
      <c r="C108" s="50"/>
      <c r="D108" s="50"/>
      <c r="E108" s="50"/>
      <c r="F108" s="50" t="s">
        <v>367</v>
      </c>
      <c r="G108" s="50">
        <v>2013</v>
      </c>
      <c r="H108" s="50">
        <v>2014</v>
      </c>
      <c r="I108" s="50">
        <v>2015</v>
      </c>
      <c r="J108" s="50">
        <v>2016</v>
      </c>
      <c r="K108" s="50">
        <v>2017</v>
      </c>
      <c r="L108" s="50">
        <v>2018</v>
      </c>
      <c r="M108" s="50">
        <v>2019</v>
      </c>
      <c r="N108" s="50">
        <v>2020</v>
      </c>
      <c r="O108" s="50">
        <v>2021</v>
      </c>
      <c r="P108" s="50">
        <v>2022</v>
      </c>
      <c r="Q108" s="50">
        <v>2023</v>
      </c>
      <c r="R108" s="50">
        <v>2024</v>
      </c>
      <c r="S108" s="50">
        <v>2025</v>
      </c>
      <c r="T108" s="50">
        <v>2026</v>
      </c>
      <c r="U108" s="50">
        <v>2027</v>
      </c>
      <c r="V108" s="50">
        <v>2028</v>
      </c>
      <c r="W108" s="50">
        <v>2029</v>
      </c>
      <c r="X108" s="50"/>
      <c r="Y108" s="50"/>
      <c r="Z108" s="50"/>
      <c r="AA108" s="50"/>
      <c r="AB108" s="50"/>
    </row>
    <row r="109" spans="3:28" ht="18" customHeight="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3:28" ht="18" customHeight="1">
      <c r="C110" s="50"/>
      <c r="D110" s="50"/>
      <c r="E110" s="50" t="s">
        <v>368</v>
      </c>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3:28" ht="18" customHeight="1">
      <c r="C111" s="50"/>
      <c r="D111" s="50"/>
      <c r="E111" s="50"/>
      <c r="F111" s="50" t="s">
        <v>369</v>
      </c>
      <c r="G111" s="50" t="s">
        <v>370</v>
      </c>
      <c r="H111" s="50" t="s">
        <v>371</v>
      </c>
      <c r="I111" s="50" t="s">
        <v>372</v>
      </c>
      <c r="J111" s="50"/>
      <c r="K111" s="50"/>
      <c r="L111" s="50"/>
      <c r="M111" s="50"/>
      <c r="N111" s="50"/>
      <c r="O111" s="50"/>
      <c r="P111" s="50"/>
      <c r="Q111" s="50"/>
      <c r="R111" s="50"/>
      <c r="S111" s="50"/>
      <c r="T111" s="50"/>
      <c r="U111" s="50"/>
      <c r="V111" s="50"/>
      <c r="W111" s="50"/>
      <c r="X111" s="50"/>
      <c r="Y111" s="50"/>
      <c r="Z111" s="50"/>
      <c r="AA111" s="50"/>
      <c r="AB111" s="50"/>
    </row>
    <row r="112" spans="3:28" ht="18" customHeight="1">
      <c r="C112" s="50"/>
      <c r="D112" s="50"/>
      <c r="E112" s="50"/>
      <c r="F112" s="50" t="s">
        <v>1745</v>
      </c>
      <c r="G112" s="50" t="s">
        <v>373</v>
      </c>
      <c r="H112" s="50" t="s">
        <v>374</v>
      </c>
      <c r="I112" s="50" t="s">
        <v>375</v>
      </c>
      <c r="J112" s="50"/>
      <c r="K112" s="50"/>
      <c r="L112" s="50"/>
      <c r="M112" s="50"/>
      <c r="N112" s="50"/>
      <c r="O112" s="50"/>
      <c r="P112" s="50"/>
      <c r="Q112" s="50"/>
      <c r="R112" s="50"/>
      <c r="S112" s="50"/>
      <c r="T112" s="50"/>
      <c r="U112" s="50"/>
      <c r="V112" s="50"/>
      <c r="W112" s="50"/>
      <c r="X112" s="50"/>
      <c r="Y112" s="50"/>
      <c r="Z112" s="50"/>
      <c r="AA112" s="50"/>
      <c r="AB112" s="50"/>
    </row>
    <row r="113" spans="3:28" ht="18" customHeight="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3:28" ht="18" customHeight="1">
      <c r="C114" s="50"/>
      <c r="D114" s="50" t="s">
        <v>376</v>
      </c>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3:28" ht="18" customHeight="1">
      <c r="C115" s="50"/>
      <c r="D115" s="50"/>
      <c r="E115" s="50" t="s">
        <v>377</v>
      </c>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3:28" ht="18" customHeight="1">
      <c r="C116" s="50"/>
      <c r="D116" s="50"/>
      <c r="E116" s="50"/>
      <c r="F116" s="50" t="s">
        <v>378</v>
      </c>
      <c r="G116" s="50">
        <v>2013</v>
      </c>
      <c r="H116" s="50">
        <v>2014</v>
      </c>
      <c r="I116" s="50">
        <v>2015</v>
      </c>
      <c r="J116" s="50">
        <v>2016</v>
      </c>
      <c r="K116" s="50">
        <v>2017</v>
      </c>
      <c r="L116" s="50">
        <v>2018</v>
      </c>
      <c r="M116" s="50">
        <v>2019</v>
      </c>
      <c r="N116" s="50">
        <v>2020</v>
      </c>
      <c r="O116" s="50">
        <v>2021</v>
      </c>
      <c r="P116" s="50">
        <v>2022</v>
      </c>
      <c r="Q116" s="50">
        <v>2023</v>
      </c>
      <c r="R116" s="50">
        <v>2024</v>
      </c>
      <c r="S116" s="50">
        <v>2025</v>
      </c>
      <c r="T116" s="50">
        <v>2026</v>
      </c>
      <c r="U116" s="50">
        <v>2027</v>
      </c>
      <c r="V116" s="50">
        <v>2028</v>
      </c>
      <c r="W116" s="50">
        <v>2029</v>
      </c>
      <c r="X116" s="50"/>
      <c r="Y116" s="50"/>
      <c r="Z116" s="50"/>
      <c r="AA116" s="50"/>
      <c r="AB116" s="50"/>
    </row>
    <row r="117" spans="3:28" ht="18" customHeight="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3:28" ht="18" customHeight="1">
      <c r="C118" s="50"/>
      <c r="D118" s="50"/>
      <c r="E118" s="50" t="s">
        <v>368</v>
      </c>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3:28" ht="18" customHeight="1">
      <c r="C119" s="50"/>
      <c r="D119" s="50"/>
      <c r="E119" s="50"/>
      <c r="F119" s="50" t="s">
        <v>379</v>
      </c>
      <c r="G119" s="50" t="s">
        <v>370</v>
      </c>
      <c r="H119" s="50" t="s">
        <v>371</v>
      </c>
      <c r="I119" s="50" t="s">
        <v>372</v>
      </c>
      <c r="J119" s="50"/>
      <c r="K119" s="50"/>
      <c r="L119" s="50"/>
      <c r="M119" s="50"/>
      <c r="N119" s="50"/>
      <c r="O119" s="50"/>
      <c r="P119" s="50"/>
      <c r="Q119" s="50"/>
      <c r="R119" s="50"/>
      <c r="S119" s="50"/>
      <c r="T119" s="50"/>
      <c r="U119" s="50"/>
      <c r="V119" s="50"/>
      <c r="W119" s="50"/>
      <c r="X119" s="50"/>
      <c r="Y119" s="50"/>
      <c r="Z119" s="50"/>
      <c r="AA119" s="50"/>
      <c r="AB119" s="50"/>
    </row>
    <row r="120" spans="3:28" ht="18" customHeight="1">
      <c r="C120" s="50"/>
      <c r="D120" s="50"/>
      <c r="E120" s="50"/>
      <c r="F120" s="50" t="s">
        <v>1746</v>
      </c>
      <c r="G120" s="50" t="s">
        <v>373</v>
      </c>
      <c r="H120" s="50" t="s">
        <v>374</v>
      </c>
      <c r="I120" s="50" t="s">
        <v>375</v>
      </c>
      <c r="J120" s="50"/>
      <c r="K120" s="50"/>
      <c r="L120" s="50"/>
      <c r="M120" s="50"/>
      <c r="N120" s="50"/>
      <c r="O120" s="50"/>
      <c r="P120" s="50"/>
      <c r="Q120" s="50"/>
      <c r="R120" s="50"/>
      <c r="S120" s="50"/>
      <c r="T120" s="50"/>
      <c r="U120" s="50"/>
      <c r="V120" s="50"/>
      <c r="W120" s="50"/>
      <c r="X120" s="50"/>
      <c r="Y120" s="50"/>
      <c r="Z120" s="50"/>
      <c r="AA120" s="50"/>
      <c r="AB120" s="50"/>
    </row>
    <row r="121" spans="3:28" ht="18" customHeight="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3:28" ht="18" customHeight="1">
      <c r="C122" s="50"/>
      <c r="D122" s="50" t="s">
        <v>1491</v>
      </c>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3:28" ht="18" customHeight="1">
      <c r="C123" s="50"/>
      <c r="D123" s="50"/>
      <c r="E123" s="50" t="s">
        <v>380</v>
      </c>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3:28" ht="18" customHeight="1">
      <c r="C124" s="50"/>
      <c r="D124" s="50"/>
      <c r="E124" s="50"/>
      <c r="F124" s="50" t="s">
        <v>381</v>
      </c>
      <c r="G124" s="50" t="s">
        <v>382</v>
      </c>
      <c r="H124" s="50" t="s">
        <v>383</v>
      </c>
      <c r="I124" s="50" t="s">
        <v>384</v>
      </c>
      <c r="J124" s="50" t="s">
        <v>385</v>
      </c>
      <c r="K124" s="50" t="s">
        <v>386</v>
      </c>
      <c r="L124" s="50" t="s">
        <v>387</v>
      </c>
      <c r="M124" s="50" t="s">
        <v>388</v>
      </c>
      <c r="N124" s="50"/>
      <c r="O124" s="50"/>
      <c r="P124" s="50"/>
      <c r="Q124" s="50"/>
      <c r="R124" s="50"/>
      <c r="S124" s="50"/>
      <c r="T124" s="50"/>
      <c r="U124" s="50"/>
      <c r="V124" s="50"/>
      <c r="W124" s="50"/>
      <c r="X124" s="50"/>
      <c r="Y124" s="50"/>
      <c r="Z124" s="50"/>
      <c r="AA124" s="50"/>
      <c r="AB124" s="50"/>
    </row>
    <row r="125" spans="3:28" ht="18" customHeight="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3:28" ht="18" customHeight="1">
      <c r="C126" s="50"/>
      <c r="D126" s="50" t="s">
        <v>389</v>
      </c>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3:28" ht="18" customHeight="1">
      <c r="C127" s="50"/>
      <c r="D127" s="50"/>
      <c r="E127" s="50" t="s">
        <v>380</v>
      </c>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3:28" ht="18" customHeight="1">
      <c r="C128" s="50"/>
      <c r="D128" s="50"/>
      <c r="E128" s="50"/>
      <c r="F128" s="50" t="s">
        <v>390</v>
      </c>
      <c r="G128" s="50" t="s">
        <v>391</v>
      </c>
      <c r="H128" s="50" t="s">
        <v>392</v>
      </c>
      <c r="I128" s="50" t="s">
        <v>393</v>
      </c>
      <c r="J128" s="50" t="s">
        <v>394</v>
      </c>
      <c r="K128" s="50"/>
      <c r="L128" s="50"/>
      <c r="M128" s="50"/>
      <c r="N128" s="50"/>
      <c r="O128" s="50"/>
      <c r="P128" s="50"/>
      <c r="Q128" s="50"/>
      <c r="R128" s="50"/>
      <c r="S128" s="50"/>
      <c r="T128" s="50"/>
      <c r="U128" s="50"/>
      <c r="V128" s="50"/>
      <c r="W128" s="50"/>
      <c r="X128" s="50"/>
      <c r="Y128" s="50"/>
      <c r="Z128" s="50"/>
      <c r="AA128" s="50"/>
      <c r="AB128" s="50"/>
    </row>
    <row r="129" spans="3:28" ht="18" customHeight="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3:28" ht="18" customHeight="1">
      <c r="C130" s="50"/>
      <c r="D130" s="50" t="s">
        <v>395</v>
      </c>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3:28" ht="18" customHeight="1">
      <c r="C131" s="50"/>
      <c r="D131" s="50"/>
      <c r="E131" s="50" t="s">
        <v>396</v>
      </c>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3:28" ht="18" customHeight="1">
      <c r="C132" s="50"/>
      <c r="D132" s="50"/>
      <c r="E132" s="50"/>
      <c r="F132" s="50" t="s">
        <v>1466</v>
      </c>
      <c r="G132" s="50" t="s">
        <v>397</v>
      </c>
      <c r="H132" s="50" t="s">
        <v>398</v>
      </c>
      <c r="I132" s="50"/>
      <c r="J132" s="50"/>
      <c r="K132" s="50"/>
      <c r="L132" s="50"/>
      <c r="M132" s="50"/>
      <c r="N132" s="50"/>
      <c r="O132" s="50"/>
      <c r="P132" s="50"/>
      <c r="Q132" s="50"/>
      <c r="R132" s="50"/>
      <c r="S132" s="50"/>
      <c r="T132" s="50"/>
      <c r="U132" s="50"/>
      <c r="V132" s="50"/>
      <c r="W132" s="50"/>
      <c r="X132" s="50"/>
      <c r="Y132" s="50"/>
      <c r="Z132" s="50"/>
      <c r="AA132" s="50"/>
      <c r="AB132" s="50"/>
    </row>
    <row r="133" spans="3:28" ht="18" customHeight="1">
      <c r="C133" s="50"/>
      <c r="D133" s="50"/>
      <c r="E133" s="50"/>
      <c r="F133" s="50" t="s">
        <v>1467</v>
      </c>
      <c r="G133" s="50" t="s">
        <v>397</v>
      </c>
      <c r="H133" s="50" t="s">
        <v>398</v>
      </c>
      <c r="I133" s="50" t="s">
        <v>399</v>
      </c>
      <c r="J133" s="50"/>
      <c r="K133" s="50"/>
      <c r="L133" s="50"/>
      <c r="M133" s="50"/>
      <c r="N133" s="50"/>
      <c r="O133" s="50"/>
      <c r="P133" s="50"/>
      <c r="Q133" s="50"/>
      <c r="R133" s="50"/>
      <c r="S133" s="50"/>
      <c r="T133" s="50"/>
      <c r="U133" s="50"/>
      <c r="V133" s="50"/>
      <c r="W133" s="50"/>
      <c r="X133" s="50"/>
      <c r="Y133" s="50"/>
      <c r="Z133" s="50"/>
      <c r="AA133" s="50"/>
      <c r="AB133" s="50"/>
    </row>
    <row r="134" spans="3:28" ht="18" customHeight="1">
      <c r="C134" s="50"/>
      <c r="D134" s="50"/>
      <c r="E134" s="50"/>
      <c r="F134" s="50" t="s">
        <v>1468</v>
      </c>
      <c r="G134" s="50" t="s">
        <v>400</v>
      </c>
      <c r="H134" s="50" t="s">
        <v>401</v>
      </c>
      <c r="I134" s="50" t="s">
        <v>402</v>
      </c>
      <c r="J134" s="50" t="s">
        <v>394</v>
      </c>
      <c r="K134" s="50"/>
      <c r="L134" s="50"/>
      <c r="M134" s="50"/>
      <c r="N134" s="50"/>
      <c r="O134" s="50"/>
      <c r="P134" s="50"/>
      <c r="Q134" s="50"/>
      <c r="R134" s="50"/>
      <c r="S134" s="50"/>
      <c r="T134" s="50"/>
      <c r="U134" s="50"/>
      <c r="V134" s="50"/>
      <c r="W134" s="50"/>
      <c r="X134" s="50"/>
      <c r="Y134" s="50"/>
      <c r="Z134" s="50"/>
      <c r="AA134" s="50"/>
      <c r="AB134" s="50"/>
    </row>
    <row r="135" spans="3:28" ht="18" customHeight="1">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3:28" ht="18" customHeight="1">
      <c r="C136" s="50"/>
      <c r="D136" s="50"/>
      <c r="E136" s="50" t="s">
        <v>403</v>
      </c>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3:28" ht="18" customHeight="1">
      <c r="C137" s="50"/>
      <c r="D137" s="50"/>
      <c r="E137" s="50"/>
      <c r="F137" s="50" t="s">
        <v>1469</v>
      </c>
      <c r="G137" s="50" t="s">
        <v>404</v>
      </c>
      <c r="H137" s="50" t="s">
        <v>405</v>
      </c>
      <c r="I137" s="50" t="s">
        <v>406</v>
      </c>
      <c r="J137" s="50"/>
      <c r="K137" s="50"/>
      <c r="L137" s="50"/>
      <c r="M137" s="50"/>
      <c r="N137" s="50"/>
      <c r="O137" s="50"/>
      <c r="P137" s="50"/>
      <c r="Q137" s="50"/>
      <c r="R137" s="50"/>
      <c r="S137" s="50"/>
      <c r="T137" s="50"/>
      <c r="U137" s="50"/>
      <c r="V137" s="50"/>
      <c r="W137" s="50"/>
      <c r="X137" s="50"/>
      <c r="Y137" s="50"/>
      <c r="Z137" s="50"/>
      <c r="AA137" s="50"/>
      <c r="AB137" s="50"/>
    </row>
    <row r="138" spans="3:28" ht="18" customHeight="1">
      <c r="C138" s="50"/>
      <c r="D138" s="50"/>
      <c r="E138" s="50"/>
      <c r="F138" s="50" t="s">
        <v>1470</v>
      </c>
      <c r="G138" s="50" t="s">
        <v>404</v>
      </c>
      <c r="H138" s="50" t="s">
        <v>405</v>
      </c>
      <c r="I138" s="50" t="s">
        <v>406</v>
      </c>
      <c r="J138" s="50" t="s">
        <v>407</v>
      </c>
      <c r="K138" s="50"/>
      <c r="L138" s="50"/>
      <c r="M138" s="50"/>
      <c r="N138" s="50"/>
      <c r="O138" s="50"/>
      <c r="P138" s="50"/>
      <c r="Q138" s="50"/>
      <c r="R138" s="50"/>
      <c r="S138" s="50"/>
      <c r="T138" s="50"/>
      <c r="U138" s="50"/>
      <c r="V138" s="50"/>
      <c r="W138" s="50"/>
      <c r="X138" s="50"/>
      <c r="Y138" s="50"/>
      <c r="Z138" s="50"/>
      <c r="AA138" s="50"/>
      <c r="AB138" s="50"/>
    </row>
    <row r="139" spans="3:28" ht="18" customHeight="1">
      <c r="C139" s="50"/>
      <c r="D139" s="50"/>
      <c r="E139" s="50"/>
      <c r="F139" s="50" t="s">
        <v>408</v>
      </c>
      <c r="G139" s="50" t="s">
        <v>400</v>
      </c>
      <c r="H139" s="50" t="s">
        <v>401</v>
      </c>
      <c r="I139" s="50" t="s">
        <v>402</v>
      </c>
      <c r="J139" s="50" t="s">
        <v>394</v>
      </c>
      <c r="K139" s="50"/>
      <c r="L139" s="50"/>
      <c r="M139" s="50"/>
      <c r="N139" s="50"/>
      <c r="O139" s="50"/>
      <c r="P139" s="50"/>
      <c r="Q139" s="50"/>
      <c r="R139" s="50"/>
      <c r="S139" s="50"/>
      <c r="T139" s="50"/>
      <c r="U139" s="50"/>
      <c r="V139" s="50"/>
      <c r="W139" s="50"/>
      <c r="X139" s="50"/>
      <c r="Y139" s="50"/>
      <c r="Z139" s="50"/>
      <c r="AA139" s="50"/>
      <c r="AB139" s="50"/>
    </row>
    <row r="140" spans="3:28" ht="18" customHeight="1">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3:28" ht="18" customHeight="1">
      <c r="C141" s="50"/>
      <c r="D141" s="50"/>
      <c r="E141" s="50" t="s">
        <v>409</v>
      </c>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3:28" ht="18" customHeight="1">
      <c r="C142" s="50"/>
      <c r="D142" s="50"/>
      <c r="E142" s="50"/>
      <c r="F142" s="50" t="s">
        <v>1471</v>
      </c>
      <c r="G142" s="50" t="s">
        <v>397</v>
      </c>
      <c r="H142" s="50" t="s">
        <v>398</v>
      </c>
      <c r="I142" s="50"/>
      <c r="J142" s="50"/>
      <c r="K142" s="50"/>
      <c r="L142" s="50"/>
      <c r="M142" s="50"/>
      <c r="N142" s="50"/>
      <c r="O142" s="50"/>
      <c r="P142" s="50"/>
      <c r="Q142" s="50"/>
      <c r="R142" s="50"/>
      <c r="S142" s="50"/>
      <c r="T142" s="50"/>
      <c r="U142" s="50"/>
      <c r="V142" s="50"/>
      <c r="W142" s="50"/>
      <c r="X142" s="50"/>
      <c r="Y142" s="50"/>
      <c r="Z142" s="50"/>
      <c r="AA142" s="50"/>
      <c r="AB142" s="50"/>
    </row>
    <row r="143" spans="3:28" ht="18" customHeight="1">
      <c r="C143" s="50"/>
      <c r="D143" s="50"/>
      <c r="E143" s="50"/>
      <c r="F143" s="50" t="s">
        <v>1472</v>
      </c>
      <c r="G143" s="50" t="s">
        <v>397</v>
      </c>
      <c r="H143" s="50" t="s">
        <v>398</v>
      </c>
      <c r="I143" s="50" t="s">
        <v>410</v>
      </c>
      <c r="J143" s="50"/>
      <c r="K143" s="50"/>
      <c r="L143" s="50"/>
      <c r="M143" s="50"/>
      <c r="N143" s="50"/>
      <c r="O143" s="50"/>
      <c r="P143" s="50"/>
      <c r="Q143" s="50"/>
      <c r="R143" s="50"/>
      <c r="S143" s="50"/>
      <c r="T143" s="50"/>
      <c r="U143" s="50"/>
      <c r="V143" s="50"/>
      <c r="W143" s="50"/>
      <c r="X143" s="50"/>
      <c r="Y143" s="50"/>
      <c r="Z143" s="50"/>
      <c r="AA143" s="50"/>
      <c r="AB143" s="50"/>
    </row>
    <row r="144" spans="3:28" ht="18" customHeight="1">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3:28" ht="18" customHeight="1">
      <c r="C145" s="50"/>
      <c r="D145" s="50"/>
      <c r="E145" s="50" t="s">
        <v>411</v>
      </c>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3:28" ht="18" customHeight="1">
      <c r="C146" s="50"/>
      <c r="D146" s="50"/>
      <c r="E146" s="50"/>
      <c r="F146" s="50" t="s">
        <v>1473</v>
      </c>
      <c r="G146" s="50" t="s">
        <v>397</v>
      </c>
      <c r="H146" s="50" t="s">
        <v>398</v>
      </c>
      <c r="I146" s="50"/>
      <c r="J146" s="50"/>
      <c r="K146" s="50"/>
      <c r="L146" s="50"/>
      <c r="M146" s="50"/>
      <c r="N146" s="50"/>
      <c r="O146" s="50"/>
      <c r="P146" s="50"/>
      <c r="Q146" s="50"/>
      <c r="R146" s="50"/>
      <c r="S146" s="50"/>
      <c r="T146" s="50"/>
      <c r="U146" s="50"/>
      <c r="V146" s="50"/>
      <c r="W146" s="50"/>
      <c r="X146" s="50"/>
      <c r="Y146" s="50"/>
      <c r="Z146" s="50"/>
      <c r="AA146" s="50"/>
      <c r="AB146" s="50"/>
    </row>
    <row r="147" spans="3:28" ht="18" customHeight="1">
      <c r="C147" s="50"/>
      <c r="D147" s="50"/>
      <c r="E147" s="50"/>
      <c r="F147" s="50" t="s">
        <v>1473</v>
      </c>
      <c r="G147" s="50" t="s">
        <v>397</v>
      </c>
      <c r="H147" s="50" t="s">
        <v>398</v>
      </c>
      <c r="I147" s="50" t="s">
        <v>399</v>
      </c>
      <c r="J147" s="50"/>
      <c r="K147" s="50"/>
      <c r="L147" s="50"/>
      <c r="M147" s="50"/>
      <c r="N147" s="50"/>
      <c r="O147" s="50"/>
      <c r="P147" s="50"/>
      <c r="Q147" s="50"/>
      <c r="R147" s="50"/>
      <c r="S147" s="50"/>
      <c r="T147" s="50"/>
      <c r="U147" s="50"/>
      <c r="V147" s="50"/>
      <c r="W147" s="50"/>
      <c r="X147" s="50"/>
      <c r="Y147" s="50"/>
      <c r="Z147" s="50"/>
      <c r="AA147" s="50"/>
      <c r="AB147" s="50"/>
    </row>
    <row r="148" spans="3:28" ht="18" customHeight="1">
      <c r="C148" s="50"/>
      <c r="D148" s="50"/>
      <c r="E148" s="50"/>
      <c r="F148" s="50" t="s">
        <v>1474</v>
      </c>
      <c r="G148" s="50" t="s">
        <v>373</v>
      </c>
      <c r="H148" s="50" t="s">
        <v>412</v>
      </c>
      <c r="I148" s="50"/>
      <c r="J148" s="50"/>
      <c r="K148" s="50"/>
      <c r="L148" s="50"/>
      <c r="M148" s="50"/>
      <c r="N148" s="50"/>
      <c r="O148" s="50"/>
      <c r="P148" s="50"/>
      <c r="Q148" s="50"/>
      <c r="R148" s="50"/>
      <c r="S148" s="50"/>
      <c r="T148" s="50"/>
      <c r="U148" s="50"/>
      <c r="V148" s="50"/>
      <c r="W148" s="50"/>
      <c r="X148" s="50"/>
      <c r="Y148" s="50"/>
      <c r="Z148" s="50"/>
      <c r="AA148" s="50"/>
      <c r="AB148" s="50"/>
    </row>
    <row r="149" spans="3:28" ht="18" customHeight="1">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3:28" ht="18" customHeight="1">
      <c r="C150" s="50"/>
      <c r="D150" s="50" t="s">
        <v>413</v>
      </c>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3:28" ht="18" customHeight="1">
      <c r="C151" s="50"/>
      <c r="D151" s="50"/>
      <c r="E151" s="50"/>
      <c r="F151" s="50" t="s">
        <v>1475</v>
      </c>
      <c r="G151" s="50" t="s">
        <v>397</v>
      </c>
      <c r="H151" s="50" t="s">
        <v>398</v>
      </c>
      <c r="I151" s="50"/>
      <c r="J151" s="50"/>
      <c r="K151" s="50"/>
      <c r="L151" s="50"/>
      <c r="M151" s="50"/>
      <c r="N151" s="50"/>
      <c r="O151" s="50"/>
      <c r="P151" s="50"/>
      <c r="Q151" s="50"/>
      <c r="R151" s="50"/>
      <c r="S151" s="50"/>
      <c r="T151" s="50"/>
      <c r="U151" s="50"/>
      <c r="V151" s="50"/>
      <c r="W151" s="50"/>
      <c r="X151" s="50"/>
      <c r="Y151" s="50"/>
      <c r="Z151" s="50"/>
      <c r="AA151" s="50"/>
      <c r="AB151" s="50"/>
    </row>
    <row r="152" spans="3:28" ht="18" customHeight="1">
      <c r="C152" s="50"/>
      <c r="D152" s="50"/>
      <c r="E152" s="50"/>
      <c r="F152" s="50" t="s">
        <v>1476</v>
      </c>
      <c r="G152" s="50" t="s">
        <v>397</v>
      </c>
      <c r="H152" s="50" t="s">
        <v>398</v>
      </c>
      <c r="I152" s="50" t="s">
        <v>410</v>
      </c>
      <c r="J152" s="50"/>
      <c r="K152" s="50"/>
      <c r="L152" s="50"/>
      <c r="M152" s="50"/>
      <c r="N152" s="50"/>
      <c r="O152" s="50"/>
      <c r="P152" s="50"/>
      <c r="Q152" s="50"/>
      <c r="R152" s="50"/>
      <c r="S152" s="50"/>
      <c r="T152" s="50"/>
      <c r="U152" s="50"/>
      <c r="V152" s="50"/>
      <c r="W152" s="50"/>
      <c r="X152" s="50"/>
      <c r="Y152" s="50"/>
      <c r="Z152" s="50"/>
      <c r="AA152" s="50"/>
      <c r="AB152" s="50"/>
    </row>
    <row r="153" spans="3:28" ht="18" customHeight="1">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3:28" ht="18" customHeight="1">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sheetData>
  <mergeCells count="8">
    <mergeCell ref="E22:E23"/>
    <mergeCell ref="E24:E25"/>
    <mergeCell ref="E26:E27"/>
    <mergeCell ref="E28:E29"/>
    <mergeCell ref="E9:E11"/>
    <mergeCell ref="E12:E14"/>
    <mergeCell ref="E15:E17"/>
    <mergeCell ref="E18:E20"/>
  </mergeCells>
  <phoneticPr fontId="4"/>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27"/>
  <sheetViews>
    <sheetView workbookViewId="0"/>
  </sheetViews>
  <sheetFormatPr defaultColWidth="9" defaultRowHeight="18"/>
  <cols>
    <col min="1" max="1" width="4.5" style="6" customWidth="1"/>
    <col min="2" max="2" width="9.5" style="6" customWidth="1"/>
    <col min="3" max="3" width="49.69921875" style="17" customWidth="1"/>
    <col min="4" max="4" width="8.09765625" style="6" customWidth="1"/>
    <col min="5" max="5" width="12.09765625" style="17" customWidth="1"/>
    <col min="6" max="6" width="47.3984375" style="17" customWidth="1"/>
    <col min="7" max="16384" width="9" style="17"/>
  </cols>
  <sheetData>
    <row r="1" spans="1:8" s="6" customFormat="1" ht="27" customHeight="1">
      <c r="A1" s="6" t="s">
        <v>2</v>
      </c>
      <c r="B1" s="6" t="s">
        <v>5</v>
      </c>
      <c r="C1" s="6" t="s">
        <v>414</v>
      </c>
      <c r="D1" s="6" t="s">
        <v>415</v>
      </c>
      <c r="E1" s="6" t="s">
        <v>416</v>
      </c>
      <c r="F1" s="6" t="s">
        <v>417</v>
      </c>
      <c r="H1" s="6">
        <v>1</v>
      </c>
    </row>
    <row r="2" spans="1:8" ht="36">
      <c r="A2" s="6">
        <f t="shared" ref="A2:A18" si="0">ROW()-$H$1</f>
        <v>1</v>
      </c>
      <c r="B2" s="6" t="s">
        <v>418</v>
      </c>
      <c r="C2" s="5" t="s">
        <v>419</v>
      </c>
      <c r="D2" s="6" t="s">
        <v>420</v>
      </c>
      <c r="E2" s="17" t="s">
        <v>421</v>
      </c>
    </row>
    <row r="3" spans="1:8" ht="54">
      <c r="A3" s="6">
        <f t="shared" ref="A3:A10" si="1">ROW()-$H$1</f>
        <v>2</v>
      </c>
      <c r="B3" s="6" t="s">
        <v>418</v>
      </c>
      <c r="C3" s="5" t="s">
        <v>422</v>
      </c>
      <c r="D3" s="6" t="s">
        <v>423</v>
      </c>
      <c r="E3" s="17" t="s">
        <v>421</v>
      </c>
    </row>
    <row r="4" spans="1:8" ht="90">
      <c r="A4" s="6">
        <f t="shared" si="1"/>
        <v>3</v>
      </c>
      <c r="B4" s="38" t="s">
        <v>418</v>
      </c>
      <c r="C4" s="39" t="s">
        <v>424</v>
      </c>
      <c r="D4" s="38" t="s">
        <v>423</v>
      </c>
      <c r="E4" s="40" t="s">
        <v>421</v>
      </c>
      <c r="F4" s="40" t="s">
        <v>1525</v>
      </c>
    </row>
    <row r="5" spans="1:8" ht="36">
      <c r="A5" s="6">
        <f t="shared" si="1"/>
        <v>4</v>
      </c>
      <c r="B5" s="38" t="s">
        <v>418</v>
      </c>
      <c r="C5" s="39" t="s">
        <v>425</v>
      </c>
      <c r="D5" s="38" t="s">
        <v>423</v>
      </c>
      <c r="E5" s="40" t="s">
        <v>426</v>
      </c>
      <c r="F5" s="40" t="s">
        <v>427</v>
      </c>
    </row>
    <row r="6" spans="1:8" ht="54">
      <c r="A6" s="6">
        <f t="shared" si="1"/>
        <v>5</v>
      </c>
      <c r="B6" s="38" t="s">
        <v>418</v>
      </c>
      <c r="C6" s="39" t="s">
        <v>428</v>
      </c>
      <c r="D6" s="38" t="s">
        <v>423</v>
      </c>
      <c r="E6" s="40" t="s">
        <v>432</v>
      </c>
      <c r="F6" s="40"/>
    </row>
    <row r="7" spans="1:8" ht="54">
      <c r="A7" s="6">
        <f t="shared" si="1"/>
        <v>6</v>
      </c>
      <c r="B7" s="38" t="s">
        <v>418</v>
      </c>
      <c r="C7" s="39" t="s">
        <v>429</v>
      </c>
      <c r="D7" s="38" t="s">
        <v>423</v>
      </c>
      <c r="E7" s="40" t="s">
        <v>421</v>
      </c>
      <c r="F7" s="40" t="s">
        <v>1524</v>
      </c>
    </row>
    <row r="8" spans="1:8" ht="72">
      <c r="A8" s="6">
        <f t="shared" si="1"/>
        <v>7</v>
      </c>
      <c r="B8" s="38" t="s">
        <v>418</v>
      </c>
      <c r="C8" s="39" t="s">
        <v>430</v>
      </c>
      <c r="D8" s="38" t="s">
        <v>423</v>
      </c>
      <c r="E8" s="40" t="s">
        <v>421</v>
      </c>
      <c r="F8" s="40" t="s">
        <v>1524</v>
      </c>
    </row>
    <row r="9" spans="1:8" ht="36">
      <c r="A9" s="6">
        <f t="shared" si="1"/>
        <v>8</v>
      </c>
      <c r="B9" s="38" t="s">
        <v>187</v>
      </c>
      <c r="C9" s="40" t="s">
        <v>431</v>
      </c>
      <c r="D9" s="38" t="s">
        <v>420</v>
      </c>
      <c r="E9" s="40" t="s">
        <v>432</v>
      </c>
      <c r="F9" s="40"/>
    </row>
    <row r="10" spans="1:8" ht="36">
      <c r="A10" s="6">
        <f t="shared" si="1"/>
        <v>9</v>
      </c>
      <c r="B10" s="38" t="s">
        <v>187</v>
      </c>
      <c r="C10" s="40" t="s">
        <v>433</v>
      </c>
      <c r="D10" s="38" t="s">
        <v>420</v>
      </c>
      <c r="E10" s="40" t="s">
        <v>432</v>
      </c>
      <c r="F10" s="40"/>
    </row>
    <row r="11" spans="1:8" ht="36">
      <c r="A11" s="6">
        <f t="shared" si="0"/>
        <v>10</v>
      </c>
      <c r="B11" s="38" t="s">
        <v>187</v>
      </c>
      <c r="C11" s="40" t="s">
        <v>434</v>
      </c>
      <c r="D11" s="38" t="s">
        <v>420</v>
      </c>
      <c r="E11" s="40" t="s">
        <v>432</v>
      </c>
      <c r="F11" s="40"/>
    </row>
    <row r="12" spans="1:8">
      <c r="A12" s="6">
        <f>ROW()-$H$1</f>
        <v>11</v>
      </c>
      <c r="B12" s="38" t="s">
        <v>187</v>
      </c>
      <c r="C12" s="40" t="s">
        <v>435</v>
      </c>
      <c r="D12" s="38" t="s">
        <v>420</v>
      </c>
      <c r="E12" s="40" t="s">
        <v>432</v>
      </c>
      <c r="F12" s="40"/>
    </row>
    <row r="13" spans="1:8" ht="36">
      <c r="A13" s="6">
        <f t="shared" si="0"/>
        <v>12</v>
      </c>
      <c r="B13" s="38" t="s">
        <v>436</v>
      </c>
      <c r="C13" s="40" t="s">
        <v>437</v>
      </c>
      <c r="D13" s="38" t="s">
        <v>423</v>
      </c>
      <c r="E13" s="40" t="s">
        <v>432</v>
      </c>
      <c r="F13" s="40" t="s">
        <v>438</v>
      </c>
    </row>
    <row r="14" spans="1:8" ht="36">
      <c r="A14" s="6">
        <f t="shared" si="0"/>
        <v>13</v>
      </c>
      <c r="B14" s="38" t="s">
        <v>439</v>
      </c>
      <c r="C14" s="40" t="s">
        <v>440</v>
      </c>
      <c r="D14" s="38" t="s">
        <v>420</v>
      </c>
      <c r="E14" s="40" t="s">
        <v>432</v>
      </c>
      <c r="F14" s="40"/>
    </row>
    <row r="15" spans="1:8">
      <c r="A15" s="6">
        <f t="shared" si="0"/>
        <v>14</v>
      </c>
      <c r="B15" s="6" t="s">
        <v>1546</v>
      </c>
      <c r="C15" s="17" t="s">
        <v>441</v>
      </c>
      <c r="D15" s="6" t="s">
        <v>423</v>
      </c>
      <c r="E15" s="17" t="s">
        <v>421</v>
      </c>
    </row>
    <row r="16" spans="1:8">
      <c r="A16" s="6">
        <f t="shared" si="0"/>
        <v>15</v>
      </c>
      <c r="B16" s="38" t="s">
        <v>442</v>
      </c>
      <c r="C16" s="40" t="s">
        <v>443</v>
      </c>
      <c r="D16" s="38" t="s">
        <v>444</v>
      </c>
      <c r="E16" s="40" t="s">
        <v>432</v>
      </c>
      <c r="F16" s="40"/>
    </row>
    <row r="17" spans="1:6" ht="54">
      <c r="A17" s="6">
        <f t="shared" si="0"/>
        <v>16</v>
      </c>
      <c r="B17" s="38" t="s">
        <v>442</v>
      </c>
      <c r="C17" s="40" t="s">
        <v>445</v>
      </c>
      <c r="D17" s="38" t="s">
        <v>444</v>
      </c>
      <c r="E17" s="40" t="s">
        <v>426</v>
      </c>
      <c r="F17" s="40" t="s">
        <v>1526</v>
      </c>
    </row>
    <row r="18" spans="1:6">
      <c r="A18" s="6">
        <f t="shared" si="0"/>
        <v>17</v>
      </c>
      <c r="B18" s="6" t="s">
        <v>1486</v>
      </c>
      <c r="C18" s="17" t="s">
        <v>1536</v>
      </c>
      <c r="D18" s="6" t="s">
        <v>423</v>
      </c>
      <c r="E18" s="17" t="s">
        <v>421</v>
      </c>
    </row>
    <row r="19" spans="1:6">
      <c r="A19" s="6">
        <f t="shared" ref="A19:A27" si="2">ROW()-$H$1</f>
        <v>18</v>
      </c>
    </row>
    <row r="20" spans="1:6">
      <c r="A20" s="6">
        <f t="shared" si="2"/>
        <v>19</v>
      </c>
    </row>
    <row r="21" spans="1:6">
      <c r="A21" s="6">
        <f t="shared" si="2"/>
        <v>20</v>
      </c>
    </row>
    <row r="22" spans="1:6">
      <c r="A22" s="6">
        <f t="shared" si="2"/>
        <v>21</v>
      </c>
    </row>
    <row r="23" spans="1:6">
      <c r="A23" s="6">
        <f t="shared" si="2"/>
        <v>22</v>
      </c>
    </row>
    <row r="24" spans="1:6">
      <c r="A24" s="6">
        <f t="shared" si="2"/>
        <v>23</v>
      </c>
    </row>
    <row r="25" spans="1:6">
      <c r="A25" s="6">
        <f t="shared" si="2"/>
        <v>24</v>
      </c>
    </row>
    <row r="26" spans="1:6">
      <c r="A26" s="6">
        <f t="shared" si="2"/>
        <v>25</v>
      </c>
    </row>
    <row r="27" spans="1:6">
      <c r="A27" s="6">
        <f t="shared" si="2"/>
        <v>26</v>
      </c>
    </row>
  </sheetData>
  <phoneticPr fontId="4"/>
  <pageMargins left="0.7" right="0.7" top="0.75" bottom="0.75" header="0.3" footer="0.3"/>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8"/>
  <sheetViews>
    <sheetView tabSelected="1" workbookViewId="0">
      <selection sqref="A1:B1"/>
    </sheetView>
  </sheetViews>
  <sheetFormatPr defaultColWidth="9" defaultRowHeight="18" outlineLevelCol="1"/>
  <cols>
    <col min="1" max="1" width="5.19921875" style="327" customWidth="1"/>
    <col min="2" max="2" width="19.8984375" style="327" customWidth="1"/>
    <col min="3" max="3" width="40.5" style="327" customWidth="1"/>
    <col min="4" max="4" width="63" style="327" customWidth="1"/>
    <col min="5" max="5" width="12.3984375" style="327" customWidth="1"/>
    <col min="6" max="6" width="79" style="337" hidden="1" customWidth="1" outlineLevel="1"/>
    <col min="7" max="7" width="9" style="327" collapsed="1"/>
    <col min="8" max="16384" width="9" style="327"/>
  </cols>
  <sheetData>
    <row r="1" spans="1:6" ht="39.9" customHeight="1">
      <c r="A1" s="1284" t="s">
        <v>1562</v>
      </c>
      <c r="B1" s="1284"/>
      <c r="C1" s="1285" t="s">
        <v>1563</v>
      </c>
      <c r="D1" s="1285"/>
      <c r="E1" s="1285"/>
      <c r="F1" s="326" t="s">
        <v>1564</v>
      </c>
    </row>
    <row r="2" spans="1:6" s="329" customFormat="1" ht="39.9" customHeight="1">
      <c r="A2" s="328" t="s">
        <v>1832</v>
      </c>
      <c r="F2" s="330"/>
    </row>
    <row r="3" spans="1:6" s="329" customFormat="1" ht="39.9" customHeight="1">
      <c r="A3" s="331" t="s">
        <v>1565</v>
      </c>
      <c r="D3" s="332" t="s">
        <v>1566</v>
      </c>
      <c r="E3" s="333">
        <f ca="1">'B1.入力_第1面'!I1</f>
        <v>45803</v>
      </c>
      <c r="F3" s="330"/>
    </row>
    <row r="4" spans="1:6" ht="19.8">
      <c r="A4" s="334" t="s">
        <v>1567</v>
      </c>
      <c r="B4" s="335"/>
      <c r="C4" s="336"/>
      <c r="D4" s="336"/>
      <c r="E4" s="336"/>
    </row>
    <row r="5" spans="1:6" ht="19.8">
      <c r="A5" s="338" t="s">
        <v>1568</v>
      </c>
      <c r="B5" s="1286" t="s">
        <v>1569</v>
      </c>
      <c r="C5" s="1286"/>
      <c r="D5" s="1286"/>
      <c r="E5" s="339"/>
    </row>
    <row r="6" spans="1:6" ht="19.8">
      <c r="A6" s="339"/>
      <c r="B6" s="1286"/>
      <c r="C6" s="1286"/>
      <c r="D6" s="1286"/>
      <c r="E6" s="339"/>
    </row>
    <row r="7" spans="1:6" ht="19.8">
      <c r="A7" s="338" t="s">
        <v>1568</v>
      </c>
      <c r="B7" s="1287" t="s">
        <v>1570</v>
      </c>
      <c r="C7" s="1287"/>
      <c r="D7" s="1287"/>
      <c r="E7" s="339"/>
    </row>
    <row r="8" spans="1:6" ht="19.8">
      <c r="A8" s="339"/>
      <c r="B8" s="1287"/>
      <c r="C8" s="1287"/>
      <c r="D8" s="1287"/>
      <c r="E8" s="339"/>
    </row>
    <row r="9" spans="1:6" ht="19.8">
      <c r="A9" s="339"/>
      <c r="B9" s="1283" t="s">
        <v>1571</v>
      </c>
      <c r="C9" s="1283"/>
      <c r="D9" s="1283"/>
      <c r="E9" s="339"/>
    </row>
    <row r="10" spans="1:6" ht="19.8">
      <c r="A10" s="339"/>
      <c r="B10" s="1283"/>
      <c r="C10" s="1283"/>
      <c r="D10" s="1283"/>
      <c r="E10" s="339"/>
    </row>
    <row r="11" spans="1:6" ht="19.8">
      <c r="A11" s="338"/>
      <c r="B11" s="1283"/>
      <c r="C11" s="1283"/>
      <c r="D11" s="1283"/>
      <c r="E11" s="339"/>
    </row>
    <row r="12" spans="1:6" ht="19.8">
      <c r="A12" s="339"/>
      <c r="B12" s="1283"/>
      <c r="C12" s="1283"/>
      <c r="D12" s="1283"/>
      <c r="E12" s="340"/>
    </row>
    <row r="13" spans="1:6" ht="19.8">
      <c r="A13" s="338" t="s">
        <v>1568</v>
      </c>
      <c r="B13" s="1283" t="s">
        <v>1572</v>
      </c>
      <c r="C13" s="1283"/>
      <c r="D13" s="1283"/>
      <c r="E13" s="340"/>
    </row>
    <row r="14" spans="1:6" ht="19.8">
      <c r="A14" s="339"/>
      <c r="B14" s="1271" t="s">
        <v>1573</v>
      </c>
      <c r="C14" s="1272"/>
      <c r="D14" s="1272"/>
      <c r="E14" s="1272"/>
    </row>
    <row r="15" spans="1:6" ht="19.8">
      <c r="A15" s="339"/>
      <c r="B15" s="1272"/>
      <c r="C15" s="1272"/>
      <c r="D15" s="1272"/>
      <c r="E15" s="1272"/>
    </row>
    <row r="16" spans="1:6" ht="19.8">
      <c r="A16" s="338" t="s">
        <v>1568</v>
      </c>
      <c r="B16" s="339" t="s">
        <v>1833</v>
      </c>
      <c r="C16" s="339"/>
      <c r="D16" s="339"/>
      <c r="E16" s="340"/>
    </row>
    <row r="17" spans="1:6" ht="19.8">
      <c r="A17" s="338"/>
      <c r="B17" s="341" t="s">
        <v>1574</v>
      </c>
      <c r="C17" s="339"/>
      <c r="D17" s="339"/>
      <c r="E17" s="340"/>
    </row>
    <row r="18" spans="1:6" ht="19.8">
      <c r="A18" s="338"/>
      <c r="B18" s="339"/>
      <c r="C18" s="339"/>
      <c r="D18" s="339"/>
      <c r="E18" s="340"/>
    </row>
    <row r="19" spans="1:6" ht="22.2">
      <c r="A19" s="342">
        <v>1</v>
      </c>
      <c r="B19" s="343" t="s">
        <v>1575</v>
      </c>
      <c r="C19" s="344"/>
      <c r="D19" s="345"/>
      <c r="E19" s="345"/>
      <c r="F19" s="326"/>
    </row>
    <row r="20" spans="1:6" ht="19.8">
      <c r="B20" s="346" t="s">
        <v>1576</v>
      </c>
    </row>
    <row r="34" spans="1:2" ht="22.2">
      <c r="A34" s="347" t="s">
        <v>1577</v>
      </c>
    </row>
    <row r="35" spans="1:2" ht="19.8">
      <c r="A35" s="348">
        <v>1</v>
      </c>
      <c r="B35" s="346" t="s">
        <v>1578</v>
      </c>
    </row>
    <row r="36" spans="1:2">
      <c r="B36" s="327" t="s">
        <v>1579</v>
      </c>
    </row>
    <row r="37" spans="1:2" ht="19.8">
      <c r="A37" s="348"/>
      <c r="B37" s="327" t="s">
        <v>1580</v>
      </c>
    </row>
    <row r="38" spans="1:2" ht="19.8">
      <c r="A38" s="348"/>
      <c r="B38" s="327" t="s">
        <v>1581</v>
      </c>
    </row>
    <row r="39" spans="1:2" ht="19.8">
      <c r="A39" s="348">
        <v>2</v>
      </c>
      <c r="B39" s="346" t="s">
        <v>1582</v>
      </c>
    </row>
    <row r="40" spans="1:2" ht="19.8">
      <c r="A40" s="348">
        <v>3</v>
      </c>
      <c r="B40" s="346" t="s">
        <v>1583</v>
      </c>
    </row>
    <row r="41" spans="1:2" ht="19.8">
      <c r="B41" s="346" t="s">
        <v>1584</v>
      </c>
    </row>
    <row r="42" spans="1:2">
      <c r="B42" s="327" t="s">
        <v>1585</v>
      </c>
    </row>
    <row r="43" spans="1:2" ht="19.8">
      <c r="A43" s="348">
        <v>4</v>
      </c>
      <c r="B43" s="346" t="s">
        <v>1586</v>
      </c>
    </row>
    <row r="45" spans="1:2" ht="22.2">
      <c r="A45" s="347" t="s">
        <v>1587</v>
      </c>
    </row>
    <row r="46" spans="1:2" ht="19.8">
      <c r="A46" s="348">
        <v>1</v>
      </c>
      <c r="B46" s="346" t="s">
        <v>1588</v>
      </c>
    </row>
    <row r="47" spans="1:2">
      <c r="B47" s="327" t="s">
        <v>1579</v>
      </c>
    </row>
    <row r="48" spans="1:2" ht="19.8">
      <c r="A48" s="348">
        <v>2</v>
      </c>
      <c r="B48" s="346" t="s">
        <v>1589</v>
      </c>
    </row>
    <row r="49" spans="1:5" ht="19.8">
      <c r="A49" s="348">
        <v>3</v>
      </c>
      <c r="B49" s="346" t="s">
        <v>1590</v>
      </c>
    </row>
    <row r="50" spans="1:5" ht="19.8">
      <c r="B50" s="346" t="s">
        <v>1591</v>
      </c>
    </row>
    <row r="51" spans="1:5">
      <c r="B51" s="327" t="s">
        <v>1585</v>
      </c>
    </row>
    <row r="52" spans="1:5" ht="19.8">
      <c r="A52" s="348">
        <v>4</v>
      </c>
      <c r="B52" s="346" t="s">
        <v>1592</v>
      </c>
    </row>
    <row r="53" spans="1:5" ht="9.9" customHeight="1">
      <c r="A53" s="348"/>
      <c r="B53" s="346"/>
    </row>
    <row r="54" spans="1:5" ht="19.8">
      <c r="A54" s="348"/>
      <c r="B54" s="349" t="s">
        <v>1593</v>
      </c>
    </row>
    <row r="55" spans="1:5" ht="19.8">
      <c r="A55" s="348"/>
      <c r="B55" s="327" t="s">
        <v>1594</v>
      </c>
    </row>
    <row r="56" spans="1:5" ht="19.8">
      <c r="A56" s="348"/>
      <c r="B56" s="327" t="s">
        <v>1595</v>
      </c>
    </row>
    <row r="57" spans="1:5" ht="19.8">
      <c r="A57" s="348"/>
      <c r="B57" s="327" t="s">
        <v>1596</v>
      </c>
    </row>
    <row r="58" spans="1:5" ht="19.8">
      <c r="A58" s="348"/>
      <c r="B58" s="350" t="s">
        <v>1597</v>
      </c>
    </row>
    <row r="59" spans="1:5" ht="19.8">
      <c r="A59" s="348"/>
      <c r="B59" s="327" t="s">
        <v>1916</v>
      </c>
    </row>
    <row r="60" spans="1:5" ht="19.8">
      <c r="A60" s="348"/>
      <c r="B60" s="327" t="s">
        <v>1598</v>
      </c>
    </row>
    <row r="61" spans="1:5">
      <c r="B61" s="327" t="s">
        <v>1599</v>
      </c>
    </row>
    <row r="62" spans="1:5">
      <c r="B62" s="327" t="s">
        <v>1600</v>
      </c>
    </row>
    <row r="64" spans="1:5" ht="19.8">
      <c r="A64" s="342">
        <v>2</v>
      </c>
      <c r="B64" s="343" t="s">
        <v>1601</v>
      </c>
      <c r="C64" s="344"/>
      <c r="D64" s="345"/>
      <c r="E64" s="345"/>
    </row>
    <row r="65" spans="1:6" ht="19.8">
      <c r="B65" s="346" t="s">
        <v>1602</v>
      </c>
      <c r="C65" s="339"/>
    </row>
    <row r="66" spans="1:6" ht="19.8">
      <c r="B66" s="346" t="s">
        <v>1603</v>
      </c>
      <c r="C66" s="339"/>
    </row>
    <row r="67" spans="1:6" ht="19.8">
      <c r="B67" s="346"/>
      <c r="C67" s="339"/>
    </row>
    <row r="68" spans="1:6" ht="19.8">
      <c r="A68" s="346" t="s">
        <v>1604</v>
      </c>
    </row>
    <row r="69" spans="1:6" ht="19.8">
      <c r="A69" s="351" t="s">
        <v>1605</v>
      </c>
      <c r="B69" s="351" t="s">
        <v>1606</v>
      </c>
      <c r="C69" s="351" t="s">
        <v>1607</v>
      </c>
      <c r="D69" s="351" t="s">
        <v>1608</v>
      </c>
    </row>
    <row r="70" spans="1:6" ht="20.100000000000001" customHeight="1">
      <c r="A70" s="1273">
        <v>1</v>
      </c>
      <c r="B70" s="352" t="s">
        <v>1609</v>
      </c>
      <c r="C70" s="353" t="s">
        <v>1610</v>
      </c>
      <c r="D70" s="1276" t="s">
        <v>1611</v>
      </c>
      <c r="F70" s="1279" t="s">
        <v>1898</v>
      </c>
    </row>
    <row r="71" spans="1:6" ht="20.100000000000001" customHeight="1">
      <c r="A71" s="1274"/>
      <c r="B71" s="352" t="s">
        <v>1612</v>
      </c>
      <c r="C71" s="353" t="s">
        <v>1613</v>
      </c>
      <c r="D71" s="1277"/>
      <c r="F71" s="1279"/>
    </row>
    <row r="72" spans="1:6" ht="20.100000000000001" customHeight="1">
      <c r="A72" s="1274"/>
      <c r="B72" s="352" t="s">
        <v>1614</v>
      </c>
      <c r="C72" s="353" t="s">
        <v>1615</v>
      </c>
      <c r="D72" s="1277"/>
      <c r="F72" s="1279"/>
    </row>
    <row r="73" spans="1:6" ht="20.100000000000001" customHeight="1">
      <c r="A73" s="1275"/>
      <c r="B73" s="352" t="s">
        <v>1616</v>
      </c>
      <c r="C73" s="353" t="s">
        <v>1617</v>
      </c>
      <c r="D73" s="1278"/>
      <c r="F73" s="1279"/>
    </row>
    <row r="74" spans="1:6" ht="39.6">
      <c r="A74" s="354">
        <v>2</v>
      </c>
      <c r="B74" s="352" t="s">
        <v>1618</v>
      </c>
      <c r="C74" s="353" t="s">
        <v>708</v>
      </c>
      <c r="D74" s="355" t="s">
        <v>1619</v>
      </c>
      <c r="F74" s="1279"/>
    </row>
    <row r="75" spans="1:6" ht="59.4">
      <c r="A75" s="354">
        <v>3</v>
      </c>
      <c r="B75" s="352" t="s">
        <v>1620</v>
      </c>
      <c r="C75" s="353" t="s">
        <v>771</v>
      </c>
      <c r="D75" s="355" t="s">
        <v>1621</v>
      </c>
      <c r="F75" s="1279"/>
    </row>
    <row r="76" spans="1:6" ht="39.6">
      <c r="A76" s="1280" t="s">
        <v>1181</v>
      </c>
      <c r="B76" s="356" t="s">
        <v>22</v>
      </c>
      <c r="C76" s="357" t="s">
        <v>1622</v>
      </c>
      <c r="D76" s="358" t="s">
        <v>1623</v>
      </c>
    </row>
    <row r="77" spans="1:6" ht="59.4">
      <c r="A77" s="1281"/>
      <c r="B77" s="356" t="s">
        <v>1624</v>
      </c>
      <c r="C77" s="357" t="s">
        <v>901</v>
      </c>
      <c r="D77" s="358" t="s">
        <v>1625</v>
      </c>
    </row>
    <row r="78" spans="1:6" ht="59.4">
      <c r="A78" s="1282"/>
      <c r="B78" s="356" t="s">
        <v>1626</v>
      </c>
      <c r="C78" s="357" t="s">
        <v>1094</v>
      </c>
      <c r="D78" s="358" t="s">
        <v>1627</v>
      </c>
    </row>
  </sheetData>
  <sheetProtection password="E7B8" sheet="1" objects="1" scenarios="1"/>
  <mergeCells count="11">
    <mergeCell ref="B13:D13"/>
    <mergeCell ref="A1:B1"/>
    <mergeCell ref="C1:E1"/>
    <mergeCell ref="B5:D6"/>
    <mergeCell ref="B7:D8"/>
    <mergeCell ref="B9:D12"/>
    <mergeCell ref="B14:E15"/>
    <mergeCell ref="A70:A73"/>
    <mergeCell ref="D70:D73"/>
    <mergeCell ref="F70:F75"/>
    <mergeCell ref="A76:A78"/>
  </mergeCells>
  <phoneticPr fontId="4"/>
  <conditionalFormatting sqref="B70:C70">
    <cfRule type="expression" dxfId="22" priority="1">
      <formula>OR($E$3&lt;=DATEVALUE("2025/3/31"),$E$3&gt;=DATEVALUE("2026/4/1"))</formula>
    </cfRule>
  </conditionalFormatting>
  <conditionalFormatting sqref="B71:C71">
    <cfRule type="expression" dxfId="21" priority="2">
      <formula>OR($E$3&lt;=DATEVALUE("2026/3/31"),$E$3&gt;=DATEVALUE("2027/4/1"))</formula>
    </cfRule>
  </conditionalFormatting>
  <conditionalFormatting sqref="B72:C72">
    <cfRule type="expression" dxfId="20" priority="3">
      <formula>OR($E$3&lt;=DATEVALUE("2027/3/31"),$E$3&gt;=DATEVALUE("2028/4/1"))</formula>
    </cfRule>
  </conditionalFormatting>
  <conditionalFormatting sqref="B73:C73">
    <cfRule type="expression" dxfId="19" priority="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363" customWidth="1"/>
    <col min="2" max="2" width="17" style="363" customWidth="1"/>
    <col min="3" max="3" width="9.09765625" style="363" bestFit="1" customWidth="1"/>
    <col min="4" max="4" width="9.5" style="363" bestFit="1" customWidth="1"/>
    <col min="5" max="5" width="11.59765625" style="363" customWidth="1"/>
    <col min="6" max="10" width="11.59765625" style="363" bestFit="1" customWidth="1"/>
    <col min="11" max="11" width="9" style="363" hidden="1" customWidth="1" outlineLevel="1"/>
    <col min="12" max="12" width="9.3984375" style="363" hidden="1" customWidth="1" outlineLevel="1"/>
    <col min="13" max="210" width="9" style="363" hidden="1" customWidth="1" outlineLevel="1"/>
    <col min="211" max="211" width="8.59765625" style="363" customWidth="1" collapsed="1"/>
    <col min="212" max="218" width="8.59765625" style="363" customWidth="1"/>
    <col min="219" max="219" width="9" style="363"/>
    <col min="220" max="220" width="5.19921875" style="363" customWidth="1"/>
    <col min="221" max="236" width="11.8984375" style="363" customWidth="1"/>
    <col min="237" max="238" width="9" style="363"/>
    <col min="239" max="242" width="9" style="365" customWidth="1"/>
    <col min="243" max="16384" width="9" style="363"/>
  </cols>
  <sheetData>
    <row r="1" spans="1:242" ht="39.9" customHeight="1">
      <c r="A1" s="58" t="s">
        <v>447</v>
      </c>
      <c r="B1" s="360"/>
      <c r="C1" s="361"/>
      <c r="D1" s="362"/>
      <c r="E1" s="361"/>
      <c r="F1" s="362"/>
      <c r="G1" s="361"/>
      <c r="H1" s="362"/>
      <c r="I1" s="361"/>
      <c r="J1" s="362"/>
      <c r="K1" s="361"/>
      <c r="L1" s="362"/>
      <c r="M1" s="361"/>
      <c r="N1" s="362"/>
      <c r="O1" s="361"/>
      <c r="P1" s="362"/>
      <c r="Q1" s="361"/>
      <c r="R1" s="362"/>
      <c r="S1" s="361"/>
      <c r="T1" s="362"/>
      <c r="U1" s="361"/>
      <c r="V1" s="362"/>
      <c r="W1" s="361"/>
      <c r="X1" s="362"/>
      <c r="Y1" s="361"/>
      <c r="Z1" s="362"/>
      <c r="AA1" s="361"/>
      <c r="AB1" s="362"/>
      <c r="AC1" s="361"/>
      <c r="AD1" s="362"/>
      <c r="AE1" s="361"/>
      <c r="AF1" s="362"/>
      <c r="AG1" s="361"/>
      <c r="AH1" s="362"/>
      <c r="AI1" s="361"/>
      <c r="AJ1" s="362"/>
      <c r="AK1" s="361"/>
      <c r="AL1" s="362"/>
      <c r="AM1" s="361"/>
      <c r="AN1" s="362"/>
      <c r="AO1" s="361"/>
      <c r="AP1" s="362"/>
      <c r="AQ1" s="361"/>
      <c r="AR1" s="362"/>
      <c r="AS1" s="361"/>
      <c r="AT1" s="362"/>
      <c r="AU1" s="361"/>
      <c r="AV1" s="362"/>
      <c r="AW1" s="361"/>
      <c r="AX1" s="362"/>
      <c r="AY1" s="361"/>
      <c r="AZ1" s="362"/>
      <c r="BA1" s="361"/>
      <c r="BB1" s="362"/>
      <c r="BC1" s="361"/>
      <c r="BD1" s="362"/>
      <c r="BE1" s="361"/>
      <c r="BF1" s="362"/>
      <c r="BG1" s="361"/>
      <c r="BH1" s="362"/>
      <c r="BI1" s="361"/>
      <c r="BJ1" s="362"/>
      <c r="BK1" s="361"/>
      <c r="BL1" s="362"/>
      <c r="BM1" s="361"/>
      <c r="BN1" s="362"/>
      <c r="BO1" s="361"/>
      <c r="BP1" s="362"/>
      <c r="BQ1" s="361"/>
      <c r="BR1" s="362"/>
      <c r="BS1" s="361"/>
      <c r="BT1" s="362"/>
      <c r="BU1" s="361"/>
      <c r="BV1" s="362"/>
      <c r="BW1" s="361"/>
      <c r="BX1" s="362"/>
      <c r="BY1" s="361"/>
      <c r="BZ1" s="362"/>
      <c r="CA1" s="361"/>
      <c r="CB1" s="362"/>
      <c r="CC1" s="361"/>
      <c r="CD1" s="362"/>
      <c r="CE1" s="361"/>
      <c r="CF1" s="362"/>
      <c r="CG1" s="361"/>
      <c r="CH1" s="362"/>
      <c r="CI1" s="361"/>
      <c r="CJ1" s="362"/>
      <c r="CK1" s="361"/>
      <c r="CL1" s="362"/>
      <c r="CM1" s="361"/>
      <c r="CN1" s="362"/>
      <c r="CO1" s="361"/>
      <c r="CP1" s="362"/>
      <c r="CQ1" s="361"/>
      <c r="CR1" s="362"/>
      <c r="CS1" s="361"/>
      <c r="CT1" s="362"/>
      <c r="CU1" s="361"/>
      <c r="CV1" s="362"/>
      <c r="CW1" s="361"/>
      <c r="CX1" s="362"/>
      <c r="CY1" s="361"/>
      <c r="CZ1" s="362"/>
      <c r="DA1" s="361"/>
      <c r="DB1" s="362"/>
      <c r="DC1" s="361"/>
      <c r="DD1" s="362"/>
      <c r="DE1" s="361"/>
      <c r="DF1" s="362"/>
      <c r="DG1" s="361"/>
      <c r="DH1" s="362"/>
      <c r="DI1" s="361"/>
      <c r="DJ1" s="362"/>
      <c r="DK1" s="361"/>
      <c r="DL1" s="362"/>
      <c r="DM1" s="361"/>
      <c r="DN1" s="362"/>
      <c r="DO1" s="361"/>
      <c r="DP1" s="362"/>
      <c r="DQ1" s="361"/>
      <c r="DR1" s="362"/>
      <c r="DS1" s="361"/>
      <c r="DT1" s="362"/>
      <c r="DU1" s="361"/>
      <c r="DV1" s="362"/>
      <c r="DW1" s="361"/>
      <c r="DX1" s="362"/>
      <c r="DY1" s="361"/>
      <c r="DZ1" s="362"/>
      <c r="EA1" s="361"/>
      <c r="EB1" s="362"/>
      <c r="EC1" s="361"/>
      <c r="ED1" s="362"/>
      <c r="EE1" s="361"/>
      <c r="EF1" s="362"/>
      <c r="EG1" s="361"/>
      <c r="EH1" s="362"/>
      <c r="EI1" s="361"/>
      <c r="EJ1" s="362"/>
      <c r="EK1" s="361"/>
      <c r="EL1" s="362"/>
      <c r="EM1" s="361"/>
      <c r="EN1" s="362"/>
      <c r="EO1" s="361"/>
      <c r="EP1" s="362"/>
      <c r="EQ1" s="361"/>
      <c r="ER1" s="362"/>
      <c r="ES1" s="361"/>
      <c r="ET1" s="362"/>
      <c r="EU1" s="361"/>
      <c r="EV1" s="362"/>
      <c r="EW1" s="361"/>
      <c r="EX1" s="362"/>
      <c r="EY1" s="361"/>
      <c r="EZ1" s="362"/>
      <c r="FA1" s="361"/>
      <c r="FB1" s="362"/>
      <c r="FC1" s="361"/>
      <c r="FD1" s="362"/>
      <c r="FE1" s="361"/>
      <c r="FF1" s="362"/>
      <c r="FG1" s="361"/>
      <c r="FH1" s="362"/>
      <c r="FI1" s="361"/>
      <c r="FJ1" s="362"/>
      <c r="FK1" s="361"/>
      <c r="FL1" s="362"/>
      <c r="FM1" s="361"/>
      <c r="FN1" s="362"/>
      <c r="FO1" s="361"/>
      <c r="FP1" s="362"/>
      <c r="FQ1" s="361"/>
      <c r="FR1" s="362"/>
      <c r="FS1" s="361"/>
      <c r="FT1" s="362"/>
      <c r="FU1" s="361"/>
      <c r="FV1" s="362"/>
      <c r="FW1" s="361"/>
      <c r="FX1" s="362"/>
      <c r="FY1" s="361"/>
      <c r="FZ1" s="362"/>
      <c r="GA1" s="361"/>
      <c r="GB1" s="362"/>
      <c r="GC1" s="361"/>
      <c r="GD1" s="362"/>
      <c r="GE1" s="361"/>
      <c r="GF1" s="362"/>
      <c r="GG1" s="361"/>
      <c r="GH1" s="362"/>
      <c r="GI1" s="361"/>
      <c r="GJ1" s="362"/>
      <c r="GK1" s="361"/>
      <c r="GL1" s="362"/>
      <c r="GM1" s="361"/>
      <c r="GN1" s="362"/>
      <c r="GO1" s="361"/>
      <c r="GP1" s="362"/>
      <c r="GQ1" s="361"/>
      <c r="GR1" s="362"/>
      <c r="GS1" s="361"/>
      <c r="GT1" s="362"/>
      <c r="GU1" s="361"/>
      <c r="GV1" s="362"/>
      <c r="GW1" s="361"/>
      <c r="GX1" s="362"/>
      <c r="GY1" s="361"/>
      <c r="GZ1" s="362"/>
      <c r="HA1" s="361"/>
      <c r="HB1" s="362"/>
      <c r="HC1" s="361"/>
      <c r="HD1" s="362"/>
      <c r="HE1" s="361"/>
      <c r="HF1" s="362"/>
      <c r="HG1" s="361"/>
      <c r="HH1" s="362"/>
      <c r="HI1" s="361"/>
      <c r="HJ1" s="362"/>
      <c r="HL1" s="1194" t="s">
        <v>448</v>
      </c>
      <c r="HM1" s="364"/>
      <c r="HN1" s="364"/>
      <c r="HO1" s="364"/>
      <c r="HP1" s="364"/>
      <c r="HQ1" s="364"/>
      <c r="HR1" s="364"/>
      <c r="HS1" s="364"/>
      <c r="HT1" s="364"/>
    </row>
    <row r="2" spans="1:242" ht="26.4">
      <c r="A2" s="527" t="s">
        <v>1669</v>
      </c>
      <c r="B2" s="1183" t="s">
        <v>1680</v>
      </c>
      <c r="C2" s="366"/>
      <c r="D2" s="367"/>
      <c r="E2" s="367"/>
      <c r="F2" s="368"/>
      <c r="G2" s="369"/>
      <c r="H2" s="370"/>
      <c r="I2" s="366"/>
      <c r="J2" s="367"/>
      <c r="K2" s="361"/>
      <c r="L2" s="361"/>
      <c r="M2" s="361"/>
      <c r="N2" s="361"/>
      <c r="O2" s="361"/>
      <c r="P2" s="37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c r="EU2" s="361"/>
      <c r="EV2" s="361"/>
      <c r="EW2" s="361"/>
      <c r="EX2" s="361"/>
      <c r="EY2" s="361"/>
      <c r="EZ2" s="361"/>
      <c r="FA2" s="361"/>
      <c r="FB2" s="361"/>
      <c r="FC2" s="361"/>
      <c r="FD2" s="361"/>
      <c r="FE2" s="361"/>
      <c r="FF2" s="361"/>
      <c r="FG2" s="361"/>
      <c r="FH2" s="361"/>
      <c r="FI2" s="361"/>
      <c r="FJ2" s="361"/>
      <c r="FK2" s="361"/>
      <c r="FL2" s="361"/>
      <c r="FM2" s="361"/>
      <c r="FN2" s="361"/>
      <c r="FO2" s="361"/>
      <c r="FP2" s="361"/>
      <c r="FQ2" s="361"/>
      <c r="FR2" s="361"/>
      <c r="FS2" s="361"/>
      <c r="FT2" s="361"/>
      <c r="FU2" s="361"/>
      <c r="FV2" s="361"/>
      <c r="FW2" s="361"/>
      <c r="FX2" s="361"/>
      <c r="FY2" s="361"/>
      <c r="FZ2" s="361"/>
      <c r="GA2" s="361"/>
      <c r="GB2" s="361"/>
      <c r="GC2" s="361"/>
      <c r="GD2" s="361"/>
      <c r="GE2" s="361"/>
      <c r="GF2" s="361"/>
      <c r="GG2" s="361"/>
      <c r="GH2" s="361"/>
      <c r="GI2" s="361"/>
      <c r="GJ2" s="361"/>
      <c r="GK2" s="361"/>
      <c r="GL2" s="361"/>
      <c r="GM2" s="361"/>
      <c r="GN2" s="361"/>
      <c r="GO2" s="361"/>
      <c r="GP2" s="361"/>
      <c r="GQ2" s="361"/>
      <c r="GR2" s="361"/>
      <c r="GS2" s="361"/>
      <c r="GT2" s="361"/>
      <c r="GU2" s="361"/>
      <c r="GV2" s="361"/>
      <c r="GW2" s="361"/>
      <c r="GX2" s="361"/>
      <c r="GY2" s="361"/>
      <c r="GZ2" s="361"/>
      <c r="HA2" s="361"/>
      <c r="HB2" s="361"/>
      <c r="HC2" s="361"/>
      <c r="HD2" s="361"/>
      <c r="HE2" s="361"/>
      <c r="HF2" s="361"/>
      <c r="HG2" s="361"/>
      <c r="HH2" s="361"/>
      <c r="HI2" s="361"/>
      <c r="HJ2" s="361"/>
      <c r="HK2" s="361"/>
      <c r="HL2" s="364"/>
      <c r="HM2" s="364" t="s">
        <v>449</v>
      </c>
      <c r="HN2" s="364"/>
      <c r="HO2" s="364"/>
      <c r="HP2" s="364"/>
      <c r="HQ2" s="364"/>
      <c r="HR2" s="364"/>
      <c r="HS2" s="364"/>
      <c r="HT2" s="364"/>
    </row>
    <row r="3" spans="1:242" ht="26.4">
      <c r="A3" s="527" t="s">
        <v>1670</v>
      </c>
      <c r="B3" s="372" t="str">
        <f>IF(N11&lt;&gt;"■","「前年度からの法人情報変更有無」、「区分」を選択してください。","")</f>
        <v>「前年度からの法人情報変更有無」、「区分」を選択してください。</v>
      </c>
      <c r="C3" s="368"/>
      <c r="D3" s="368"/>
      <c r="E3" s="368"/>
      <c r="F3" s="368"/>
      <c r="G3" s="369"/>
      <c r="H3" s="370"/>
      <c r="I3" s="366"/>
      <c r="J3" s="367"/>
      <c r="K3" s="361"/>
      <c r="L3" s="361"/>
      <c r="M3" s="361"/>
      <c r="N3" s="361"/>
      <c r="O3" s="361"/>
      <c r="P3" s="373"/>
      <c r="Q3" s="361"/>
      <c r="R3" s="361"/>
      <c r="S3" s="361"/>
      <c r="T3" s="361"/>
      <c r="V3" s="374"/>
      <c r="W3" s="374"/>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75" t="s">
        <v>450</v>
      </c>
      <c r="HM3" s="375"/>
      <c r="HN3" s="364"/>
      <c r="HO3" s="364"/>
      <c r="HP3" s="364"/>
      <c r="HQ3" s="364"/>
      <c r="HR3" s="364"/>
      <c r="HS3" s="364"/>
      <c r="HT3" s="364"/>
    </row>
    <row r="4" spans="1:242" ht="26.4">
      <c r="A4" s="527" t="s">
        <v>1671</v>
      </c>
      <c r="B4" s="37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368"/>
      <c r="D4" s="368"/>
      <c r="E4" s="368"/>
      <c r="F4" s="368"/>
      <c r="G4" s="369"/>
      <c r="H4" s="376"/>
      <c r="I4" s="366"/>
      <c r="J4" s="367"/>
      <c r="K4" s="361"/>
      <c r="L4" s="361"/>
      <c r="M4" s="361"/>
      <c r="N4" s="361"/>
      <c r="O4" s="361"/>
      <c r="P4" s="373"/>
      <c r="Q4" s="361"/>
      <c r="R4" s="361"/>
      <c r="S4" s="361"/>
      <c r="T4" s="361"/>
      <c r="V4" s="374"/>
      <c r="W4" s="374"/>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4" t="s">
        <v>451</v>
      </c>
      <c r="HM4" s="375"/>
      <c r="HN4" s="364"/>
      <c r="HO4" s="364"/>
      <c r="HP4" s="364"/>
      <c r="HQ4" s="364"/>
      <c r="HR4" s="364"/>
      <c r="HS4" s="364"/>
      <c r="HT4" s="364"/>
    </row>
    <row r="5" spans="1:242" ht="26.4">
      <c r="A5" s="527" t="s">
        <v>1672</v>
      </c>
      <c r="B5" s="372" t="str">
        <f>IF(N11&lt;&gt;"■","「工場等の名称」が過年度と一致しているか確認してください。","")</f>
        <v>「工場等の名称」が過年度と一致しているか確認してください。</v>
      </c>
      <c r="C5" s="372"/>
      <c r="D5" s="372"/>
      <c r="E5" s="372"/>
      <c r="F5" s="372"/>
      <c r="G5" s="372"/>
      <c r="H5" s="372"/>
      <c r="I5" s="372"/>
      <c r="J5" s="372"/>
      <c r="K5" s="361"/>
      <c r="L5" s="361"/>
      <c r="M5" s="361"/>
      <c r="N5" s="361"/>
      <c r="O5" s="361"/>
      <c r="P5" s="373"/>
      <c r="Q5" s="361"/>
      <c r="R5" s="361"/>
      <c r="S5" s="361"/>
      <c r="T5" s="361"/>
      <c r="V5" s="374"/>
      <c r="W5" s="374"/>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1"/>
      <c r="GK5" s="361"/>
      <c r="GL5" s="361"/>
      <c r="GM5" s="361"/>
      <c r="GN5" s="361"/>
      <c r="GO5" s="361"/>
      <c r="GP5" s="361"/>
      <c r="GQ5" s="361"/>
      <c r="GR5" s="361"/>
      <c r="GS5" s="361"/>
      <c r="GT5" s="361"/>
      <c r="GU5" s="361"/>
      <c r="GV5" s="361"/>
      <c r="GW5" s="361"/>
      <c r="GX5" s="361"/>
      <c r="GY5" s="361"/>
      <c r="GZ5" s="361"/>
      <c r="HA5" s="361"/>
      <c r="HB5" s="361"/>
      <c r="HC5" s="361"/>
      <c r="HD5" s="361"/>
      <c r="HE5" s="361"/>
      <c r="HF5" s="361"/>
      <c r="HG5" s="361"/>
      <c r="HH5" s="361"/>
      <c r="HI5" s="361"/>
      <c r="HJ5" s="361"/>
      <c r="HK5" s="361"/>
      <c r="HL5" s="364" t="s">
        <v>1915</v>
      </c>
      <c r="HM5" s="375"/>
      <c r="HN5" s="364"/>
      <c r="HO5" s="364"/>
      <c r="HP5" s="364"/>
      <c r="HQ5" s="364"/>
      <c r="HR5" s="364"/>
      <c r="HS5" s="364"/>
      <c r="HT5" s="364"/>
    </row>
    <row r="6" spans="1:242" ht="26.4">
      <c r="A6" s="59" t="s">
        <v>452</v>
      </c>
      <c r="B6" s="1329" t="s">
        <v>1674</v>
      </c>
      <c r="C6" s="1329"/>
      <c r="D6" s="1329"/>
      <c r="E6" s="1329"/>
      <c r="F6" s="1329"/>
      <c r="G6" s="1329"/>
      <c r="H6" s="1329"/>
      <c r="I6" s="1329"/>
      <c r="J6" s="1330"/>
      <c r="K6" s="524" t="s">
        <v>453</v>
      </c>
      <c r="L6" s="525" t="str">
        <f>L14&amp;""</f>
        <v/>
      </c>
      <c r="M6" s="525"/>
      <c r="N6" s="526"/>
      <c r="O6" s="524" t="s">
        <v>453</v>
      </c>
      <c r="P6" s="525" t="str">
        <f t="shared" ref="P6" si="0">P14&amp;""</f>
        <v/>
      </c>
      <c r="Q6" s="525"/>
      <c r="R6" s="526"/>
      <c r="S6" s="524" t="s">
        <v>453</v>
      </c>
      <c r="T6" s="525" t="str">
        <f t="shared" ref="T6" si="1">T14&amp;""</f>
        <v/>
      </c>
      <c r="U6" s="525"/>
      <c r="V6" s="526"/>
      <c r="W6" s="524" t="s">
        <v>453</v>
      </c>
      <c r="X6" s="525" t="str">
        <f t="shared" ref="X6" si="2">X14&amp;""</f>
        <v/>
      </c>
      <c r="Y6" s="525"/>
      <c r="Z6" s="526"/>
      <c r="AA6" s="524" t="s">
        <v>453</v>
      </c>
      <c r="AB6" s="525" t="str">
        <f t="shared" ref="AB6" si="3">AB14&amp;""</f>
        <v/>
      </c>
      <c r="AC6" s="525"/>
      <c r="AD6" s="526"/>
      <c r="AE6" s="524" t="s">
        <v>453</v>
      </c>
      <c r="AF6" s="525" t="str">
        <f t="shared" ref="AF6" si="4">AF14&amp;""</f>
        <v/>
      </c>
      <c r="AG6" s="525"/>
      <c r="AH6" s="526"/>
      <c r="AI6" s="524" t="s">
        <v>453</v>
      </c>
      <c r="AJ6" s="525" t="str">
        <f t="shared" ref="AJ6" si="5">AJ14&amp;""</f>
        <v/>
      </c>
      <c r="AK6" s="525"/>
      <c r="AL6" s="526"/>
      <c r="AM6" s="524" t="s">
        <v>453</v>
      </c>
      <c r="AN6" s="525" t="str">
        <f t="shared" ref="AN6" si="6">AN14&amp;""</f>
        <v/>
      </c>
      <c r="AO6" s="525"/>
      <c r="AP6" s="526"/>
      <c r="AQ6" s="524" t="s">
        <v>453</v>
      </c>
      <c r="AR6" s="525" t="str">
        <f t="shared" ref="AR6" si="7">AR14&amp;""</f>
        <v/>
      </c>
      <c r="AS6" s="525"/>
      <c r="AT6" s="526"/>
      <c r="AU6" s="524" t="s">
        <v>453</v>
      </c>
      <c r="AV6" s="525" t="str">
        <f t="shared" ref="AV6" si="8">AV14&amp;""</f>
        <v/>
      </c>
      <c r="AW6" s="525"/>
      <c r="AX6" s="526"/>
      <c r="AY6" s="524" t="s">
        <v>453</v>
      </c>
      <c r="AZ6" s="525" t="str">
        <f t="shared" ref="AZ6" si="9">AZ14&amp;""</f>
        <v/>
      </c>
      <c r="BA6" s="525"/>
      <c r="BB6" s="526"/>
      <c r="BC6" s="524" t="s">
        <v>453</v>
      </c>
      <c r="BD6" s="525" t="str">
        <f t="shared" ref="BD6" si="10">BD14&amp;""</f>
        <v/>
      </c>
      <c r="BE6" s="525"/>
      <c r="BF6" s="526"/>
      <c r="BG6" s="524" t="s">
        <v>453</v>
      </c>
      <c r="BH6" s="525" t="str">
        <f t="shared" ref="BH6" si="11">BH14&amp;""</f>
        <v/>
      </c>
      <c r="BI6" s="525"/>
      <c r="BJ6" s="526"/>
      <c r="BK6" s="524" t="s">
        <v>453</v>
      </c>
      <c r="BL6" s="525" t="str">
        <f t="shared" ref="BL6" si="12">BL14&amp;""</f>
        <v/>
      </c>
      <c r="BM6" s="525"/>
      <c r="BN6" s="526"/>
      <c r="BO6" s="524" t="s">
        <v>453</v>
      </c>
      <c r="BP6" s="525" t="str">
        <f t="shared" ref="BP6" si="13">BP14&amp;""</f>
        <v/>
      </c>
      <c r="BQ6" s="525"/>
      <c r="BR6" s="526"/>
      <c r="BS6" s="524" t="s">
        <v>453</v>
      </c>
      <c r="BT6" s="525" t="str">
        <f t="shared" ref="BT6" si="14">BT14&amp;""</f>
        <v/>
      </c>
      <c r="BU6" s="525"/>
      <c r="BV6" s="526"/>
      <c r="BW6" s="524" t="s">
        <v>453</v>
      </c>
      <c r="BX6" s="525" t="str">
        <f t="shared" ref="BX6" si="15">BX14&amp;""</f>
        <v/>
      </c>
      <c r="BY6" s="525"/>
      <c r="BZ6" s="526"/>
      <c r="CA6" s="524" t="s">
        <v>453</v>
      </c>
      <c r="CB6" s="525" t="str">
        <f t="shared" ref="CB6" si="16">CB14&amp;""</f>
        <v/>
      </c>
      <c r="CC6" s="525"/>
      <c r="CD6" s="526"/>
      <c r="CE6" s="524" t="s">
        <v>453</v>
      </c>
      <c r="CF6" s="525" t="str">
        <f t="shared" ref="CF6" si="17">CF14&amp;""</f>
        <v/>
      </c>
      <c r="CG6" s="525"/>
      <c r="CH6" s="526"/>
      <c r="CI6" s="524" t="s">
        <v>453</v>
      </c>
      <c r="CJ6" s="525" t="str">
        <f t="shared" ref="CJ6" si="18">CJ14&amp;""</f>
        <v/>
      </c>
      <c r="CK6" s="525"/>
      <c r="CL6" s="526"/>
      <c r="CM6" s="524" t="s">
        <v>453</v>
      </c>
      <c r="CN6" s="525" t="str">
        <f t="shared" ref="CN6" si="19">CN14&amp;""</f>
        <v/>
      </c>
      <c r="CO6" s="525"/>
      <c r="CP6" s="526"/>
      <c r="CQ6" s="524" t="s">
        <v>453</v>
      </c>
      <c r="CR6" s="525" t="str">
        <f t="shared" ref="CR6" si="20">CR14&amp;""</f>
        <v/>
      </c>
      <c r="CS6" s="525"/>
      <c r="CT6" s="526"/>
      <c r="CU6" s="524" t="s">
        <v>453</v>
      </c>
      <c r="CV6" s="525" t="str">
        <f t="shared" ref="CV6" si="21">CV14&amp;""</f>
        <v/>
      </c>
      <c r="CW6" s="525"/>
      <c r="CX6" s="526"/>
      <c r="CY6" s="524" t="s">
        <v>453</v>
      </c>
      <c r="CZ6" s="525" t="str">
        <f t="shared" ref="CZ6" si="22">CZ14&amp;""</f>
        <v/>
      </c>
      <c r="DA6" s="525"/>
      <c r="DB6" s="526"/>
      <c r="DC6" s="524" t="s">
        <v>453</v>
      </c>
      <c r="DD6" s="525" t="str">
        <f t="shared" ref="DD6" si="23">DD14&amp;""</f>
        <v/>
      </c>
      <c r="DE6" s="525"/>
      <c r="DF6" s="526"/>
      <c r="DG6" s="524" t="s">
        <v>453</v>
      </c>
      <c r="DH6" s="525" t="str">
        <f t="shared" ref="DH6" si="24">DH14&amp;""</f>
        <v/>
      </c>
      <c r="DI6" s="525"/>
      <c r="DJ6" s="526"/>
      <c r="DK6" s="524" t="s">
        <v>453</v>
      </c>
      <c r="DL6" s="525" t="str">
        <f t="shared" ref="DL6" si="25">DL14&amp;""</f>
        <v/>
      </c>
      <c r="DM6" s="525"/>
      <c r="DN6" s="526"/>
      <c r="DO6" s="524" t="s">
        <v>453</v>
      </c>
      <c r="DP6" s="525" t="str">
        <f t="shared" ref="DP6" si="26">DP14&amp;""</f>
        <v/>
      </c>
      <c r="DQ6" s="525"/>
      <c r="DR6" s="526"/>
      <c r="DS6" s="524" t="s">
        <v>453</v>
      </c>
      <c r="DT6" s="525" t="str">
        <f t="shared" ref="DT6" si="27">DT14&amp;""</f>
        <v/>
      </c>
      <c r="DU6" s="525"/>
      <c r="DV6" s="526"/>
      <c r="DW6" s="524" t="s">
        <v>453</v>
      </c>
      <c r="DX6" s="525" t="str">
        <f t="shared" ref="DX6" si="28">DX14&amp;""</f>
        <v/>
      </c>
      <c r="DY6" s="525"/>
      <c r="DZ6" s="526"/>
      <c r="EA6" s="524" t="s">
        <v>453</v>
      </c>
      <c r="EB6" s="525" t="str">
        <f t="shared" ref="EB6" si="29">EB14&amp;""</f>
        <v/>
      </c>
      <c r="EC6" s="525"/>
      <c r="ED6" s="526"/>
      <c r="EE6" s="524" t="s">
        <v>453</v>
      </c>
      <c r="EF6" s="525" t="str">
        <f t="shared" ref="EF6" si="30">EF14&amp;""</f>
        <v/>
      </c>
      <c r="EG6" s="525"/>
      <c r="EH6" s="526"/>
      <c r="EI6" s="524" t="s">
        <v>453</v>
      </c>
      <c r="EJ6" s="525" t="str">
        <f t="shared" ref="EJ6" si="31">EJ14&amp;""</f>
        <v/>
      </c>
      <c r="EK6" s="525"/>
      <c r="EL6" s="526"/>
      <c r="EM6" s="524" t="s">
        <v>453</v>
      </c>
      <c r="EN6" s="525" t="str">
        <f t="shared" ref="EN6" si="32">EN14&amp;""</f>
        <v/>
      </c>
      <c r="EO6" s="525"/>
      <c r="EP6" s="526"/>
      <c r="EQ6" s="524" t="s">
        <v>453</v>
      </c>
      <c r="ER6" s="525" t="str">
        <f t="shared" ref="ER6" si="33">ER14&amp;""</f>
        <v/>
      </c>
      <c r="ES6" s="525"/>
      <c r="ET6" s="526"/>
      <c r="EU6" s="524" t="s">
        <v>453</v>
      </c>
      <c r="EV6" s="525" t="str">
        <f t="shared" ref="EV6" si="34">EV14&amp;""</f>
        <v/>
      </c>
      <c r="EW6" s="525"/>
      <c r="EX6" s="526"/>
      <c r="EY6" s="524" t="s">
        <v>453</v>
      </c>
      <c r="EZ6" s="525" t="str">
        <f t="shared" ref="EZ6" si="35">EZ14&amp;""</f>
        <v/>
      </c>
      <c r="FA6" s="525"/>
      <c r="FB6" s="526"/>
      <c r="FC6" s="524" t="s">
        <v>453</v>
      </c>
      <c r="FD6" s="525" t="str">
        <f t="shared" ref="FD6" si="36">FD14&amp;""</f>
        <v/>
      </c>
      <c r="FE6" s="525"/>
      <c r="FF6" s="526"/>
      <c r="FG6" s="524" t="s">
        <v>453</v>
      </c>
      <c r="FH6" s="525" t="str">
        <f t="shared" ref="FH6" si="37">FH14&amp;""</f>
        <v/>
      </c>
      <c r="FI6" s="525"/>
      <c r="FJ6" s="526"/>
      <c r="FK6" s="524" t="s">
        <v>453</v>
      </c>
      <c r="FL6" s="525" t="str">
        <f t="shared" ref="FL6" si="38">FL14&amp;""</f>
        <v/>
      </c>
      <c r="FM6" s="525"/>
      <c r="FN6" s="526"/>
      <c r="FO6" s="524" t="s">
        <v>453</v>
      </c>
      <c r="FP6" s="525" t="str">
        <f t="shared" ref="FP6" si="39">FP14&amp;""</f>
        <v/>
      </c>
      <c r="FQ6" s="525"/>
      <c r="FR6" s="526"/>
      <c r="FS6" s="524" t="s">
        <v>453</v>
      </c>
      <c r="FT6" s="525" t="str">
        <f t="shared" ref="FT6" si="40">FT14&amp;""</f>
        <v/>
      </c>
      <c r="FU6" s="525"/>
      <c r="FV6" s="526"/>
      <c r="FW6" s="524" t="s">
        <v>453</v>
      </c>
      <c r="FX6" s="525" t="str">
        <f t="shared" ref="FX6" si="41">FX14&amp;""</f>
        <v/>
      </c>
      <c r="FY6" s="525"/>
      <c r="FZ6" s="526"/>
      <c r="GA6" s="524" t="s">
        <v>453</v>
      </c>
      <c r="GB6" s="525" t="str">
        <f t="shared" ref="GB6" si="42">GB14&amp;""</f>
        <v/>
      </c>
      <c r="GC6" s="525"/>
      <c r="GD6" s="526"/>
      <c r="GE6" s="524" t="s">
        <v>453</v>
      </c>
      <c r="GF6" s="525" t="str">
        <f t="shared" ref="GF6" si="43">GF14&amp;""</f>
        <v/>
      </c>
      <c r="GG6" s="525"/>
      <c r="GH6" s="526"/>
      <c r="GI6" s="524" t="s">
        <v>453</v>
      </c>
      <c r="GJ6" s="525" t="str">
        <f t="shared" ref="GJ6" si="44">GJ14&amp;""</f>
        <v/>
      </c>
      <c r="GK6" s="525"/>
      <c r="GL6" s="526"/>
      <c r="GM6" s="524" t="s">
        <v>453</v>
      </c>
      <c r="GN6" s="525" t="str">
        <f t="shared" ref="GN6" si="45">GN14&amp;""</f>
        <v/>
      </c>
      <c r="GO6" s="525"/>
      <c r="GP6" s="526"/>
      <c r="GQ6" s="524" t="s">
        <v>453</v>
      </c>
      <c r="GR6" s="525" t="str">
        <f t="shared" ref="GR6" si="46">GR14&amp;""</f>
        <v/>
      </c>
      <c r="GS6" s="525"/>
      <c r="GT6" s="526"/>
      <c r="GU6" s="524" t="s">
        <v>453</v>
      </c>
      <c r="GV6" s="525" t="str">
        <f t="shared" ref="GV6" si="47">GV14&amp;""</f>
        <v/>
      </c>
      <c r="GW6" s="525"/>
      <c r="GX6" s="526"/>
      <c r="GY6" s="524" t="s">
        <v>453</v>
      </c>
      <c r="GZ6" s="525" t="str">
        <f t="shared" ref="GZ6" si="48">GZ14&amp;""</f>
        <v/>
      </c>
      <c r="HA6" s="525"/>
      <c r="HB6" s="526"/>
      <c r="HC6" s="361"/>
      <c r="HD6" s="361"/>
      <c r="HE6" s="361"/>
      <c r="HF6" s="361"/>
      <c r="HG6" s="361"/>
      <c r="HH6" s="361"/>
      <c r="HI6" s="361"/>
      <c r="HJ6" s="361"/>
      <c r="HK6" s="361"/>
      <c r="HL6" s="364" t="s">
        <v>454</v>
      </c>
      <c r="HM6" s="364"/>
      <c r="HN6" s="364"/>
      <c r="HO6" s="364"/>
      <c r="HP6" s="364"/>
      <c r="HQ6" s="364"/>
      <c r="HR6" s="364"/>
      <c r="HS6" s="364"/>
      <c r="HT6" s="364"/>
    </row>
    <row r="7" spans="1:242" ht="27" thickBot="1">
      <c r="A7" s="377" t="s">
        <v>1628</v>
      </c>
      <c r="B7" s="377"/>
      <c r="C7" s="378"/>
      <c r="D7" s="378"/>
      <c r="E7" s="379"/>
      <c r="F7" s="378"/>
      <c r="G7" s="378"/>
      <c r="H7" s="378"/>
      <c r="I7" s="378"/>
      <c r="J7" s="378"/>
      <c r="K7" s="378"/>
      <c r="L7" s="378"/>
      <c r="M7" s="378"/>
      <c r="N7" s="378"/>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1"/>
      <c r="DS7" s="361"/>
      <c r="DT7" s="361"/>
      <c r="DU7" s="361"/>
      <c r="DV7" s="361"/>
      <c r="DW7" s="361"/>
      <c r="DX7" s="361"/>
      <c r="DY7" s="361"/>
      <c r="DZ7" s="361"/>
      <c r="EA7" s="361"/>
      <c r="EB7" s="361"/>
      <c r="EC7" s="361"/>
      <c r="ED7" s="361"/>
      <c r="EE7" s="361"/>
      <c r="EF7" s="361"/>
      <c r="EG7" s="361"/>
      <c r="EH7" s="361"/>
      <c r="EI7" s="361"/>
      <c r="EJ7" s="361"/>
      <c r="EK7" s="361"/>
      <c r="EL7" s="361"/>
      <c r="EM7" s="361"/>
      <c r="EN7" s="361"/>
      <c r="EO7" s="361"/>
      <c r="EP7" s="361"/>
      <c r="EQ7" s="361"/>
      <c r="ER7" s="361"/>
      <c r="ES7" s="361"/>
      <c r="ET7" s="361"/>
      <c r="EU7" s="361"/>
      <c r="EV7" s="361"/>
      <c r="EW7" s="361"/>
      <c r="EX7" s="361"/>
      <c r="EY7" s="361"/>
      <c r="EZ7" s="361"/>
      <c r="FA7" s="361"/>
      <c r="FB7" s="361"/>
      <c r="FC7" s="361"/>
      <c r="FD7" s="361"/>
      <c r="FE7" s="361"/>
      <c r="FF7" s="361"/>
      <c r="FG7" s="361"/>
      <c r="FH7" s="361"/>
      <c r="FI7" s="361"/>
      <c r="FJ7" s="361"/>
      <c r="FK7" s="361"/>
      <c r="FL7" s="361"/>
      <c r="FM7" s="361"/>
      <c r="FN7" s="361"/>
      <c r="FO7" s="361"/>
      <c r="FP7" s="361"/>
      <c r="FQ7" s="361"/>
      <c r="FR7" s="361"/>
      <c r="FS7" s="361"/>
      <c r="FT7" s="361"/>
      <c r="FU7" s="361"/>
      <c r="FV7" s="361"/>
      <c r="FW7" s="361"/>
      <c r="FX7" s="361"/>
      <c r="FY7" s="361"/>
      <c r="FZ7" s="361"/>
      <c r="GA7" s="361"/>
      <c r="GB7" s="361"/>
      <c r="GC7" s="361"/>
      <c r="GD7" s="361"/>
      <c r="GE7" s="361"/>
      <c r="GF7" s="361"/>
      <c r="GG7" s="361"/>
      <c r="GH7" s="361"/>
      <c r="GI7" s="361"/>
      <c r="GJ7" s="361"/>
      <c r="GK7" s="361"/>
      <c r="GL7" s="361"/>
      <c r="GM7" s="361"/>
      <c r="GN7" s="361"/>
      <c r="GO7" s="361"/>
      <c r="GP7" s="361"/>
      <c r="GQ7" s="361"/>
      <c r="GR7" s="361"/>
      <c r="GS7" s="361"/>
      <c r="GT7" s="361"/>
      <c r="GU7" s="361"/>
      <c r="GV7" s="361"/>
      <c r="GW7" s="361"/>
      <c r="GX7" s="361"/>
      <c r="GY7" s="361"/>
      <c r="GZ7" s="361"/>
      <c r="HA7" s="361"/>
      <c r="HB7" s="361"/>
      <c r="HL7" s="377" t="s">
        <v>455</v>
      </c>
      <c r="HM7" s="377"/>
      <c r="HN7" s="378"/>
      <c r="HO7" s="381"/>
      <c r="HP7" s="382"/>
      <c r="HQ7" s="381"/>
      <c r="HR7" s="381"/>
      <c r="HS7" s="382"/>
      <c r="HT7" s="381"/>
      <c r="HU7" s="381"/>
      <c r="HV7" s="382"/>
      <c r="HW7" s="381"/>
      <c r="HX7" s="381"/>
      <c r="HY7" s="382"/>
      <c r="HZ7" s="382"/>
      <c r="IA7" s="382"/>
      <c r="IB7" s="382"/>
    </row>
    <row r="8" spans="1:242" ht="27" thickBot="1">
      <c r="A8" s="361"/>
      <c r="B8" s="383" t="s">
        <v>456</v>
      </c>
      <c r="C8" s="361"/>
      <c r="D8" s="361"/>
      <c r="E8" s="384"/>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1"/>
      <c r="FP8" s="361"/>
      <c r="FQ8" s="361"/>
      <c r="FR8" s="361"/>
      <c r="FS8" s="361"/>
      <c r="FT8" s="361"/>
      <c r="FU8" s="361"/>
      <c r="FV8" s="361"/>
      <c r="FW8" s="361"/>
      <c r="FX8" s="361"/>
      <c r="FY8" s="361"/>
      <c r="FZ8" s="361"/>
      <c r="GA8" s="361"/>
      <c r="GB8" s="361"/>
      <c r="GC8" s="361"/>
      <c r="GD8" s="361"/>
      <c r="GE8" s="361"/>
      <c r="GF8" s="361"/>
      <c r="GG8" s="361"/>
      <c r="GH8" s="361"/>
      <c r="GI8" s="361"/>
      <c r="GJ8" s="361"/>
      <c r="GK8" s="361"/>
      <c r="GL8" s="361"/>
      <c r="GM8" s="361"/>
      <c r="GN8" s="361"/>
      <c r="GO8" s="361"/>
      <c r="GP8" s="361"/>
      <c r="GQ8" s="361"/>
      <c r="GR8" s="361"/>
      <c r="GS8" s="361"/>
      <c r="GT8" s="361"/>
      <c r="GU8" s="361"/>
      <c r="GV8" s="361"/>
      <c r="GW8" s="361"/>
      <c r="GX8" s="361"/>
      <c r="GY8" s="361"/>
      <c r="GZ8" s="361"/>
      <c r="HA8" s="361"/>
      <c r="HB8" s="361"/>
      <c r="HL8" s="1331" t="s">
        <v>457</v>
      </c>
      <c r="HM8" s="1333" t="s">
        <v>458</v>
      </c>
      <c r="HN8" s="1334"/>
      <c r="HO8" s="1334"/>
      <c r="HP8" s="1335"/>
      <c r="HQ8" s="1333" t="s">
        <v>459</v>
      </c>
      <c r="HR8" s="1334"/>
      <c r="HS8" s="1334"/>
      <c r="HT8" s="1335"/>
      <c r="HU8" s="1333" t="s">
        <v>460</v>
      </c>
      <c r="HV8" s="1334"/>
      <c r="HW8" s="1334"/>
      <c r="HX8" s="1335"/>
      <c r="HY8" s="1333" t="s">
        <v>461</v>
      </c>
      <c r="HZ8" s="1334"/>
      <c r="IA8" s="1334"/>
      <c r="IB8" s="1335"/>
      <c r="IE8" s="365" t="s">
        <v>462</v>
      </c>
    </row>
    <row r="9" spans="1:242" ht="69.599999999999994" customHeight="1" thickBot="1">
      <c r="A9" s="371"/>
      <c r="B9" s="573" t="s">
        <v>1191</v>
      </c>
      <c r="C9" s="574"/>
      <c r="D9" s="575" t="s">
        <v>1192</v>
      </c>
      <c r="E9" s="576" t="s">
        <v>1193</v>
      </c>
      <c r="F9" s="577" t="s">
        <v>1837</v>
      </c>
      <c r="G9" s="578" t="s">
        <v>1194</v>
      </c>
      <c r="H9" s="579"/>
      <c r="I9" s="578" t="s">
        <v>1195</v>
      </c>
      <c r="J9" s="579"/>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338" t="s">
        <v>463</v>
      </c>
      <c r="HD9" s="1339"/>
      <c r="HE9" s="1340" t="s">
        <v>464</v>
      </c>
      <c r="HF9" s="1341"/>
      <c r="HG9" s="1342" t="s">
        <v>459</v>
      </c>
      <c r="HH9" s="1340"/>
      <c r="HI9" s="1340"/>
      <c r="HJ9" s="1343"/>
      <c r="HL9" s="1332"/>
      <c r="HM9" s="385" t="s">
        <v>465</v>
      </c>
      <c r="HN9" s="1336" t="s">
        <v>1629</v>
      </c>
      <c r="HO9" s="1337"/>
      <c r="HP9" s="386" t="s">
        <v>466</v>
      </c>
      <c r="HQ9" s="385" t="s">
        <v>465</v>
      </c>
      <c r="HR9" s="1336" t="s">
        <v>1629</v>
      </c>
      <c r="HS9" s="1337"/>
      <c r="HT9" s="386" t="s">
        <v>466</v>
      </c>
      <c r="HU9" s="385" t="s">
        <v>465</v>
      </c>
      <c r="HV9" s="1336" t="s">
        <v>1629</v>
      </c>
      <c r="HW9" s="1337"/>
      <c r="HX9" s="386" t="s">
        <v>466</v>
      </c>
      <c r="HY9" s="385" t="s">
        <v>465</v>
      </c>
      <c r="HZ9" s="1336" t="s">
        <v>1629</v>
      </c>
      <c r="IA9" s="1337"/>
      <c r="IB9" s="386" t="s">
        <v>466</v>
      </c>
      <c r="IE9" s="365" t="s">
        <v>467</v>
      </c>
      <c r="IF9" s="365" t="s">
        <v>459</v>
      </c>
      <c r="IG9" s="365" t="s">
        <v>460</v>
      </c>
      <c r="IH9" s="365" t="s">
        <v>461</v>
      </c>
    </row>
    <row r="10" spans="1:242" ht="19.8">
      <c r="A10" s="371"/>
      <c r="B10" s="587" t="s">
        <v>468</v>
      </c>
      <c r="C10" s="588"/>
      <c r="D10" s="589"/>
      <c r="E10" s="589"/>
      <c r="F10" s="589"/>
      <c r="G10" s="590" t="s">
        <v>1198</v>
      </c>
      <c r="H10" s="591"/>
      <c r="I10" s="590" t="s">
        <v>1199</v>
      </c>
      <c r="J10" s="591"/>
      <c r="K10" s="592" t="s">
        <v>1200</v>
      </c>
      <c r="L10" s="593" t="s">
        <v>1</v>
      </c>
      <c r="M10" s="594" t="s">
        <v>1</v>
      </c>
      <c r="N10" s="59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323" t="s">
        <v>469</v>
      </c>
      <c r="HD10" s="1324"/>
      <c r="HE10" s="1325" t="str">
        <f>IF(L10="","",L10)</f>
        <v/>
      </c>
      <c r="HF10" s="1326"/>
      <c r="HG10" s="1327" t="str">
        <f>IF(M10="","",M10)</f>
        <v/>
      </c>
      <c r="HH10" s="1325"/>
      <c r="HI10" s="1325"/>
      <c r="HJ10" s="1328"/>
      <c r="HL10" s="387">
        <v>1</v>
      </c>
      <c r="HM10" s="1188"/>
      <c r="HN10" s="1199" t="str">
        <f ca="1">OFFSET(A1_原単位2024,5,HL10+2)&amp;""</f>
        <v/>
      </c>
      <c r="HO10" s="1202" t="str">
        <f t="shared" ref="HO10:HO41" ca="1" si="49">IF(HN10="","",HYPERLINK("#"&amp;IE10,"&lt;"&amp;IE10&amp;"&gt;"))</f>
        <v/>
      </c>
      <c r="HP10" s="1203" t="str">
        <f t="shared" ref="HP10:HP41" ca="1" si="50">IF(HN10="","",HYPERLINK("#"&amp;OFFSET(A1_原単位2024,66,$HL10+2),OFFSET(A1_原単位2024,62,$HL10+2)))</f>
        <v/>
      </c>
      <c r="HQ10" s="1188"/>
      <c r="HR10" s="1199" t="str">
        <f ca="1">OFFSET(A1_原単位2024,17,HL10+2)&amp;""</f>
        <v/>
      </c>
      <c r="HS10" s="1202" t="str">
        <f t="shared" ref="HS10:HS41" ca="1" si="51">IF(HR10="","",HYPERLINK("#"&amp;IF10,"&lt;"&amp;IF10&amp;"&gt;"))</f>
        <v/>
      </c>
      <c r="HT10" s="1208" t="str">
        <f t="shared" ref="HT10:HT41" ca="1" si="52">IF(HR10="","",HYPERLINK("#"&amp;OFFSET(A1_原単位2024,67,$HL10+2),OFFSET(A1_原単位2024,63,$HL10+2)))</f>
        <v/>
      </c>
      <c r="HU10" s="1209"/>
      <c r="HV10" s="1199" t="str">
        <f ca="1">OFFSET(A1_原単位2024,29,HL10+2)&amp;""</f>
        <v/>
      </c>
      <c r="HW10" s="1210" t="str">
        <f t="shared" ref="HW10:HW41" ca="1" si="53">IF(HV10="","",HYPERLINK("#"&amp;IG10,"&lt;"&amp;IG10&amp;"&gt;"))</f>
        <v/>
      </c>
      <c r="HX10" s="1208" t="str">
        <f t="shared" ref="HX10:HX41" ca="1" si="54">IF(HV10="","",HYPERLINK("#"&amp;OFFSET(A1_原単位2024,68,$HL10+2),OFFSET(A1_原単位2024,64,$HL10+2)))</f>
        <v/>
      </c>
      <c r="HY10" s="1209"/>
      <c r="HZ10" s="1199" t="str">
        <f ca="1">OFFSET(A1_原単位2024,41,HL10+2)&amp;""</f>
        <v/>
      </c>
      <c r="IA10" s="1210" t="str">
        <f t="shared" ref="IA10:IA41" ca="1" si="55">IF(HZ10="","",HYPERLINK("#"&amp;IH10,"&lt;"&amp;IH10&amp;"&gt;"))</f>
        <v/>
      </c>
      <c r="IB10" s="1211" t="str">
        <f t="shared" ref="IB10:IB41" ca="1" si="56">IF(HZ10="","",HYPERLINK("#"&amp;OFFSET(A1_原単位2024,69,$HL10+2),OFFSET(A1_原単位2024,65,$HL10+2)))</f>
        <v/>
      </c>
      <c r="IE10" s="365" t="str">
        <f t="shared" ref="IE10:IE41" ca="1" si="57">IF($HN10="","",ADDRESS(ROW(貼付け_2024実績)+5,OFFSET(A1_原単位2024,7,$HL10+2)+COLUMN(貼付け_2024実績)+1,4))</f>
        <v/>
      </c>
      <c r="IF10" s="365" t="str">
        <f t="shared" ref="IF10:IF41" ca="1" si="58">IF($HR10="","",ADDRESS(ROW(貼付け_2024実績)+5,OFFSET(A1_原単位2024,19,$HL10+2)+COLUMN(貼付け_2024実績)+1,4))</f>
        <v/>
      </c>
      <c r="IG10" s="365" t="str">
        <f t="shared" ref="IG10:IG41" ca="1" si="59">IF($HV10="","",ADDRESS(ROW(貼付け_2024実績)+5,OFFSET(A1_原単位2024,31,$HL10+2)+COLUMN(貼付け_2024実績)+1,4))</f>
        <v/>
      </c>
      <c r="IH10" s="365" t="str">
        <f t="shared" ref="IH10:IH41" ca="1" si="60">IF($HZ10="","",ADDRESS(ROW(貼付け_2024実績)+5,OFFSET(A1_原単位2024,43,$HL10+2)+COLUMN(貼付け_2024実績)+1,4))</f>
        <v/>
      </c>
    </row>
    <row r="11" spans="1:242" ht="19.8">
      <c r="A11" s="371"/>
      <c r="B11" s="597" t="s">
        <v>1201</v>
      </c>
      <c r="C11" s="598" t="s">
        <v>1202</v>
      </c>
      <c r="D11" s="599"/>
      <c r="E11" s="600" t="s">
        <v>1203</v>
      </c>
      <c r="F11" s="601"/>
      <c r="G11" s="590" t="s">
        <v>1204</v>
      </c>
      <c r="H11" s="591"/>
      <c r="I11" s="590" t="s">
        <v>1205</v>
      </c>
      <c r="J11" s="591"/>
      <c r="K11" s="592" t="s">
        <v>1206</v>
      </c>
      <c r="L11" s="593"/>
      <c r="M11" s="594" t="s">
        <v>1</v>
      </c>
      <c r="N11" s="59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323" t="s">
        <v>470</v>
      </c>
      <c r="HD11" s="1324"/>
      <c r="HE11" s="1325" t="str">
        <f t="shared" ref="HE11:HE12" si="61">IF(L11="","",L11)</f>
        <v/>
      </c>
      <c r="HF11" s="1326"/>
      <c r="HG11" s="1327" t="str">
        <f>IF(M11="","",M11)</f>
        <v/>
      </c>
      <c r="HH11" s="1325"/>
      <c r="HI11" s="1325"/>
      <c r="HJ11" s="1328"/>
      <c r="HL11" s="388">
        <v>2</v>
      </c>
      <c r="HM11" s="1189"/>
      <c r="HN11" s="1200" t="str">
        <f ca="1">IF(COUNTIF(HN$10:HN10,OFFSET(A1_原単位2024,5,HL11+2))&gt;=1,"",OFFSET(A1_原単位2024,5,HL11+2)&amp;"")</f>
        <v/>
      </c>
      <c r="HO11" s="1204" t="str">
        <f t="shared" ca="1" si="49"/>
        <v/>
      </c>
      <c r="HP11" s="1205" t="str">
        <f t="shared" ca="1" si="50"/>
        <v/>
      </c>
      <c r="HQ11" s="1189"/>
      <c r="HR11" s="1200" t="str">
        <f ca="1">IF(COUNTIF(HR$10:HR10,OFFSET(A1_原単位2024,17,HL11+2))&gt;=1,"",OFFSET(A1_原単位2024,17,HL11+2)&amp;"")</f>
        <v/>
      </c>
      <c r="HS11" s="1212" t="str">
        <f t="shared" ca="1" si="51"/>
        <v/>
      </c>
      <c r="HT11" s="1213" t="str">
        <f t="shared" ca="1" si="52"/>
        <v/>
      </c>
      <c r="HU11" s="1214"/>
      <c r="HV11" s="1200" t="str">
        <f ca="1">IF(COUNTIF(HV$10:HV10,OFFSET(A1_原単位2024,29,HL11+2))&gt;=1,"",OFFSET(A1_原単位2024,29,HL11+2)&amp;"")</f>
        <v/>
      </c>
      <c r="HW11" s="1212" t="str">
        <f t="shared" ca="1" si="53"/>
        <v/>
      </c>
      <c r="HX11" s="1213" t="str">
        <f t="shared" ca="1" si="54"/>
        <v/>
      </c>
      <c r="HY11" s="1214"/>
      <c r="HZ11" s="1200" t="str">
        <f ca="1">IF(COUNTIF(HZ$10:HZ10,OFFSET(A1_原単位2024,41,HL11+2))&gt;=1,"",OFFSET(A1_原単位2024,41,HL11+2)&amp;"")</f>
        <v/>
      </c>
      <c r="IA11" s="1215" t="str">
        <f t="shared" ca="1" si="55"/>
        <v/>
      </c>
      <c r="IB11" s="1216" t="str">
        <f t="shared" ca="1" si="56"/>
        <v/>
      </c>
      <c r="IE11" s="365" t="str">
        <f t="shared" ca="1" si="57"/>
        <v/>
      </c>
      <c r="IF11" s="365" t="str">
        <f t="shared" ca="1" si="58"/>
        <v/>
      </c>
      <c r="IG11" s="365" t="str">
        <f t="shared" ca="1" si="59"/>
        <v/>
      </c>
      <c r="IH11" s="365" t="str">
        <f t="shared" ca="1" si="60"/>
        <v/>
      </c>
    </row>
    <row r="12" spans="1:242" ht="20.399999999999999" thickBot="1">
      <c r="A12" s="371"/>
      <c r="B12" s="603" t="s">
        <v>471</v>
      </c>
      <c r="C12" s="604"/>
      <c r="D12" s="605"/>
      <c r="E12" s="606"/>
      <c r="F12" s="607"/>
      <c r="G12" s="608" t="s">
        <v>1207</v>
      </c>
      <c r="H12" s="609"/>
      <c r="I12" s="610"/>
      <c r="J12" s="611"/>
      <c r="K12" s="612" t="s">
        <v>472</v>
      </c>
      <c r="L12" s="613" t="s">
        <v>1</v>
      </c>
      <c r="M12" s="614" t="s">
        <v>1</v>
      </c>
      <c r="N12" s="615"/>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314" t="s">
        <v>472</v>
      </c>
      <c r="HD12" s="1315"/>
      <c r="HE12" s="1316" t="str">
        <f t="shared" si="61"/>
        <v/>
      </c>
      <c r="HF12" s="1317"/>
      <c r="HG12" s="1318" t="str">
        <f>IF(M12="","",M12)</f>
        <v/>
      </c>
      <c r="HH12" s="1316"/>
      <c r="HI12" s="1316"/>
      <c r="HJ12" s="1319"/>
      <c r="HL12" s="387">
        <v>3</v>
      </c>
      <c r="HM12" s="1189"/>
      <c r="HN12" s="1200" t="str">
        <f ca="1">IF(COUNTIF(HN$10:HN11,OFFSET(A1_原単位2024,5,HL12+2))&gt;=1,"",OFFSET(A1_原単位2024,5,HL12+2)&amp;"")</f>
        <v/>
      </c>
      <c r="HO12" s="1204" t="str">
        <f t="shared" ca="1" si="49"/>
        <v/>
      </c>
      <c r="HP12" s="1205" t="str">
        <f t="shared" ca="1" si="50"/>
        <v/>
      </c>
      <c r="HQ12" s="1189"/>
      <c r="HR12" s="1200" t="str">
        <f ca="1">IF(COUNTIF(HR$10:HR11,OFFSET(A1_原単位2024,17,HL12+2))&gt;=1,"",OFFSET(A1_原単位2024,17,HL12+2)&amp;"")</f>
        <v/>
      </c>
      <c r="HS12" s="1212" t="str">
        <f t="shared" ca="1" si="51"/>
        <v/>
      </c>
      <c r="HT12" s="1213" t="str">
        <f t="shared" ca="1" si="52"/>
        <v/>
      </c>
      <c r="HU12" s="1214"/>
      <c r="HV12" s="1200" t="str">
        <f ca="1">IF(COUNTIF(HV$10:HV11,OFFSET(A1_原単位2024,29,HL12+2))&gt;=1,"",OFFSET(A1_原単位2024,29,HL12+2)&amp;"")</f>
        <v/>
      </c>
      <c r="HW12" s="1212" t="str">
        <f t="shared" ca="1" si="53"/>
        <v/>
      </c>
      <c r="HX12" s="1213" t="str">
        <f t="shared" ca="1" si="54"/>
        <v/>
      </c>
      <c r="HY12" s="1214"/>
      <c r="HZ12" s="1200" t="str">
        <f ca="1">IF(COUNTIF(HZ$10:HZ11,OFFSET(A1_原単位2024,41,HL12+2))&gt;=1,"",OFFSET(A1_原単位2024,41,HL12+2)&amp;"")</f>
        <v/>
      </c>
      <c r="IA12" s="1215" t="str">
        <f t="shared" ca="1" si="55"/>
        <v/>
      </c>
      <c r="IB12" s="1216" t="str">
        <f t="shared" ca="1" si="56"/>
        <v/>
      </c>
      <c r="IE12" s="365" t="str">
        <f t="shared" ca="1" si="57"/>
        <v/>
      </c>
      <c r="IF12" s="365" t="str">
        <f t="shared" ca="1" si="58"/>
        <v/>
      </c>
      <c r="IG12" s="365" t="str">
        <f t="shared" ca="1" si="59"/>
        <v/>
      </c>
      <c r="IH12" s="365" t="str">
        <f t="shared" ca="1" si="60"/>
        <v/>
      </c>
    </row>
    <row r="13" spans="1:242" ht="19.8">
      <c r="A13" s="37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320" t="s">
        <v>464</v>
      </c>
      <c r="HD13" s="1321"/>
      <c r="HE13" s="1321"/>
      <c r="HF13" s="1322"/>
      <c r="HG13" s="1320" t="s">
        <v>459</v>
      </c>
      <c r="HH13" s="1321"/>
      <c r="HI13" s="1321"/>
      <c r="HJ13" s="1322"/>
      <c r="HL13" s="388">
        <v>4</v>
      </c>
      <c r="HM13" s="1189"/>
      <c r="HN13" s="1200" t="str">
        <f ca="1">IF(COUNTIF(HN$10:HN12,OFFSET(A1_原単位2024,5,HL13+2))&gt;=1,"",OFFSET(A1_原単位2024,5,HL13+2)&amp;"")</f>
        <v/>
      </c>
      <c r="HO13" s="1204" t="str">
        <f t="shared" ca="1" si="49"/>
        <v/>
      </c>
      <c r="HP13" s="1205" t="str">
        <f t="shared" ca="1" si="50"/>
        <v/>
      </c>
      <c r="HQ13" s="1189"/>
      <c r="HR13" s="1200" t="str">
        <f ca="1">IF(COUNTIF(HR$10:HR12,OFFSET(A1_原単位2024,17,HL13+2))&gt;=1,"",OFFSET(A1_原単位2024,17,HL13+2)&amp;"")</f>
        <v/>
      </c>
      <c r="HS13" s="1212" t="str">
        <f t="shared" ca="1" si="51"/>
        <v/>
      </c>
      <c r="HT13" s="1213" t="str">
        <f t="shared" ca="1" si="52"/>
        <v/>
      </c>
      <c r="HU13" s="1214"/>
      <c r="HV13" s="1200" t="str">
        <f ca="1">IF(COUNTIF(HV$10:HV12,OFFSET(A1_原単位2024,29,HL13+2))&gt;=1,"",OFFSET(A1_原単位2024,29,HL13+2)&amp;"")</f>
        <v/>
      </c>
      <c r="HW13" s="1212" t="str">
        <f t="shared" ca="1" si="53"/>
        <v/>
      </c>
      <c r="HX13" s="1213" t="str">
        <f t="shared" ca="1" si="54"/>
        <v/>
      </c>
      <c r="HY13" s="1214"/>
      <c r="HZ13" s="1200" t="str">
        <f ca="1">IF(COUNTIF(HZ$10:HZ12,OFFSET(A1_原単位2024,41,HL13+2))&gt;=1,"",OFFSET(A1_原単位2024,41,HL13+2)&amp;"")</f>
        <v/>
      </c>
      <c r="IA13" s="1215" t="str">
        <f t="shared" ca="1" si="55"/>
        <v/>
      </c>
      <c r="IB13" s="1216" t="str">
        <f t="shared" ca="1" si="56"/>
        <v/>
      </c>
      <c r="IE13" s="365" t="str">
        <f t="shared" ca="1" si="57"/>
        <v/>
      </c>
      <c r="IF13" s="365" t="str">
        <f t="shared" ca="1" si="58"/>
        <v/>
      </c>
      <c r="IG13" s="365" t="str">
        <f t="shared" ca="1" si="59"/>
        <v/>
      </c>
      <c r="IH13" s="365" t="str">
        <f t="shared" ca="1" si="60"/>
        <v/>
      </c>
    </row>
    <row r="14" spans="1:242" ht="19.8">
      <c r="A14" s="37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293" t="s">
        <v>518</v>
      </c>
      <c r="HD14" s="1294"/>
      <c r="HE14" s="1197">
        <f ca="1">参考2_エネ使用量経年!L95</f>
        <v>0</v>
      </c>
      <c r="HF14" s="390" t="s">
        <v>519</v>
      </c>
      <c r="HG14" s="1293" t="s">
        <v>518</v>
      </c>
      <c r="HH14" s="1294"/>
      <c r="HI14" s="1197">
        <f ca="1">参考2_エネ使用量経年!T95</f>
        <v>0</v>
      </c>
      <c r="HJ14" s="390" t="s">
        <v>519</v>
      </c>
      <c r="HL14" s="387">
        <v>5</v>
      </c>
      <c r="HM14" s="1189"/>
      <c r="HN14" s="1200" t="str">
        <f ca="1">IF(COUNTIF(HN$10:HN13,OFFSET(A1_原単位2024,5,HL14+2))&gt;=1,"",OFFSET(A1_原単位2024,5,HL14+2)&amp;"")</f>
        <v/>
      </c>
      <c r="HO14" s="1204" t="str">
        <f t="shared" ca="1" si="49"/>
        <v/>
      </c>
      <c r="HP14" s="1205" t="str">
        <f t="shared" ca="1" si="50"/>
        <v/>
      </c>
      <c r="HQ14" s="1189"/>
      <c r="HR14" s="1200" t="str">
        <f ca="1">IF(COUNTIF(HR$10:HR13,OFFSET(A1_原単位2024,17,HL14+2))&gt;=1,"",OFFSET(A1_原単位2024,17,HL14+2)&amp;"")</f>
        <v/>
      </c>
      <c r="HS14" s="1212" t="str">
        <f t="shared" ca="1" si="51"/>
        <v/>
      </c>
      <c r="HT14" s="1213" t="str">
        <f t="shared" ca="1" si="52"/>
        <v/>
      </c>
      <c r="HU14" s="1214"/>
      <c r="HV14" s="1200" t="str">
        <f ca="1">IF(COUNTIF(HV$10:HV13,OFFSET(A1_原単位2024,29,HL14+2))&gt;=1,"",OFFSET(A1_原単位2024,29,HL14+2)&amp;"")</f>
        <v/>
      </c>
      <c r="HW14" s="1212" t="str">
        <f t="shared" ca="1" si="53"/>
        <v/>
      </c>
      <c r="HX14" s="1213" t="str">
        <f t="shared" ca="1" si="54"/>
        <v/>
      </c>
      <c r="HY14" s="1214"/>
      <c r="HZ14" s="1200" t="str">
        <f ca="1">IF(COUNTIF(HZ$10:HZ13,OFFSET(A1_原単位2024,41,HL14+2))&gt;=1,"",OFFSET(A1_原単位2024,41,HL14+2)&amp;"")</f>
        <v/>
      </c>
      <c r="IA14" s="1215" t="str">
        <f t="shared" ca="1" si="55"/>
        <v/>
      </c>
      <c r="IB14" s="1216" t="str">
        <f t="shared" ca="1" si="56"/>
        <v/>
      </c>
      <c r="IE14" s="365" t="str">
        <f t="shared" ca="1" si="57"/>
        <v/>
      </c>
      <c r="IF14" s="365" t="str">
        <f t="shared" ca="1" si="58"/>
        <v/>
      </c>
      <c r="IG14" s="365" t="str">
        <f t="shared" ca="1" si="59"/>
        <v/>
      </c>
      <c r="IH14" s="365" t="str">
        <f t="shared" ca="1" si="60"/>
        <v/>
      </c>
    </row>
    <row r="15" spans="1:242" ht="19.2" customHeight="1" thickBot="1">
      <c r="A15" s="37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295" t="s">
        <v>524</v>
      </c>
      <c r="HD15" s="1296"/>
      <c r="HE15" s="1198">
        <f ca="1">参考3_排出量経年!L116</f>
        <v>0</v>
      </c>
      <c r="HF15" s="391" t="s">
        <v>525</v>
      </c>
      <c r="HG15" s="1295" t="s">
        <v>524</v>
      </c>
      <c r="HH15" s="1296"/>
      <c r="HI15" s="1198">
        <f ca="1">参考3_排出量経年!T116</f>
        <v>0</v>
      </c>
      <c r="HJ15" s="391" t="s">
        <v>525</v>
      </c>
      <c r="HL15" s="388">
        <v>6</v>
      </c>
      <c r="HM15" s="1189"/>
      <c r="HN15" s="1200" t="str">
        <f ca="1">IF(COUNTIF(HN$10:HN14,OFFSET(A1_原単位2024,5,HL15+2))&gt;=1,"",OFFSET(A1_原単位2024,5,HL15+2)&amp;"")</f>
        <v/>
      </c>
      <c r="HO15" s="1204" t="str">
        <f t="shared" ca="1" si="49"/>
        <v/>
      </c>
      <c r="HP15" s="1205" t="str">
        <f t="shared" ca="1" si="50"/>
        <v/>
      </c>
      <c r="HQ15" s="1189"/>
      <c r="HR15" s="1200" t="str">
        <f ca="1">IF(COUNTIF(HR$10:HR14,OFFSET(A1_原単位2024,17,HL15+2))&gt;=1,"",OFFSET(A1_原単位2024,17,HL15+2)&amp;"")</f>
        <v/>
      </c>
      <c r="HS15" s="1212" t="str">
        <f t="shared" ca="1" si="51"/>
        <v/>
      </c>
      <c r="HT15" s="1213" t="str">
        <f t="shared" ca="1" si="52"/>
        <v/>
      </c>
      <c r="HU15" s="1214"/>
      <c r="HV15" s="1200" t="str">
        <f ca="1">IF(COUNTIF(HV$10:HV14,OFFSET(A1_原単位2024,29,HL15+2))&gt;=1,"",OFFSET(A1_原単位2024,29,HL15+2)&amp;"")</f>
        <v/>
      </c>
      <c r="HW15" s="1212" t="str">
        <f t="shared" ca="1" si="53"/>
        <v/>
      </c>
      <c r="HX15" s="1213" t="str">
        <f t="shared" ca="1" si="54"/>
        <v/>
      </c>
      <c r="HY15" s="1214"/>
      <c r="HZ15" s="1200" t="str">
        <f ca="1">IF(COUNTIF(HZ$10:HZ14,OFFSET(A1_原単位2024,41,HL15+2))&gt;=1,"",OFFSET(A1_原単位2024,41,HL15+2)&amp;"")</f>
        <v/>
      </c>
      <c r="IA15" s="1215" t="str">
        <f t="shared" ca="1" si="55"/>
        <v/>
      </c>
      <c r="IB15" s="1216" t="str">
        <f t="shared" ca="1" si="56"/>
        <v/>
      </c>
      <c r="IE15" s="365" t="str">
        <f t="shared" ca="1" si="57"/>
        <v/>
      </c>
      <c r="IF15" s="365" t="str">
        <f t="shared" ca="1" si="58"/>
        <v/>
      </c>
      <c r="IG15" s="365" t="str">
        <f t="shared" ca="1" si="59"/>
        <v/>
      </c>
      <c r="IH15" s="365" t="str">
        <f t="shared" ca="1" si="60"/>
        <v/>
      </c>
    </row>
    <row r="16" spans="1:242" ht="19.95" customHeight="1" thickBot="1">
      <c r="A16" s="37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392" t="s">
        <v>535</v>
      </c>
      <c r="HD16" s="393" t="s">
        <v>536</v>
      </c>
      <c r="HE16" s="393" t="s">
        <v>537</v>
      </c>
      <c r="HF16" s="394" t="s">
        <v>538</v>
      </c>
      <c r="HG16" s="392" t="s">
        <v>535</v>
      </c>
      <c r="HH16" s="393" t="s">
        <v>536</v>
      </c>
      <c r="HI16" s="393" t="s">
        <v>537</v>
      </c>
      <c r="HJ16" s="394" t="s">
        <v>538</v>
      </c>
      <c r="HL16" s="387">
        <v>7</v>
      </c>
      <c r="HM16" s="1189"/>
      <c r="HN16" s="1200" t="str">
        <f ca="1">IF(COUNTIF(HN$10:HN15,OFFSET(A1_原単位2024,5,HL16+2))&gt;=1,"",OFFSET(A1_原単位2024,5,HL16+2)&amp;"")</f>
        <v/>
      </c>
      <c r="HO16" s="1204" t="str">
        <f t="shared" ca="1" si="49"/>
        <v/>
      </c>
      <c r="HP16" s="1205" t="str">
        <f t="shared" ca="1" si="50"/>
        <v/>
      </c>
      <c r="HQ16" s="1189"/>
      <c r="HR16" s="1200" t="str">
        <f ca="1">IF(COUNTIF(HR$10:HR15,OFFSET(A1_原単位2024,17,HL16+2))&gt;=1,"",OFFSET(A1_原単位2024,17,HL16+2)&amp;"")</f>
        <v/>
      </c>
      <c r="HS16" s="1212" t="str">
        <f t="shared" ca="1" si="51"/>
        <v/>
      </c>
      <c r="HT16" s="1213" t="str">
        <f t="shared" ca="1" si="52"/>
        <v/>
      </c>
      <c r="HU16" s="1214"/>
      <c r="HV16" s="1200" t="str">
        <f ca="1">IF(COUNTIF(HV$10:HV15,OFFSET(A1_原単位2024,29,HL16+2))&gt;=1,"",OFFSET(A1_原単位2024,29,HL16+2)&amp;"")</f>
        <v/>
      </c>
      <c r="HW16" s="1212" t="str">
        <f t="shared" ca="1" si="53"/>
        <v/>
      </c>
      <c r="HX16" s="1213" t="str">
        <f t="shared" ca="1" si="54"/>
        <v/>
      </c>
      <c r="HY16" s="1214"/>
      <c r="HZ16" s="1200" t="str">
        <f ca="1">IF(COUNTIF(HZ$10:HZ15,OFFSET(A1_原単位2024,41,HL16+2))&gt;=1,"",OFFSET(A1_原単位2024,41,HL16+2)&amp;"")</f>
        <v/>
      </c>
      <c r="IA16" s="1215" t="str">
        <f t="shared" ca="1" si="55"/>
        <v/>
      </c>
      <c r="IB16" s="1216" t="str">
        <f t="shared" ca="1" si="56"/>
        <v/>
      </c>
      <c r="IE16" s="365" t="str">
        <f t="shared" ca="1" si="57"/>
        <v/>
      </c>
      <c r="IF16" s="365" t="str">
        <f t="shared" ca="1" si="58"/>
        <v/>
      </c>
      <c r="IG16" s="365" t="str">
        <f t="shared" ca="1" si="59"/>
        <v/>
      </c>
      <c r="IH16" s="365" t="str">
        <f t="shared" ca="1" si="60"/>
        <v/>
      </c>
    </row>
    <row r="17" spans="1:242" ht="19.8">
      <c r="A17" s="37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395">
        <f>K17+O17+S17+W17+AA17+AE17+AI17+AM17+AQ17+AU17+AY17+BC17+BG17+BK17+BO17+BS17+BW17+CA17+CE17+CI17+CM17+CQ17+CU17+CY17+DC17+DG17+DK17+DO17+DS17+DW17+EA17+EE17+EI17+EM17+EQ17+EU17+EY17+FC17+FG17+FK17+FO17+FS17+FW17+GA17+GE17+GI17+GM17+GQ17+GU17+GY17</f>
        <v>0</v>
      </c>
      <c r="HD17" s="397">
        <f t="shared" ref="HD17:HE32" si="62">L17+P17+T17+X17+AB17+AF17+AJ17+AN17+AR17+AV17+AZ17+BD17+BH17+BL17+BP17+BT17+BX17+CB17+CF17+CJ17+CN17+CR17+CV17+CZ17+DD17+DH17+DL17+DP17+DT17+DX17+EB17+EF17+EJ17+EN17+ER17+EV17+EZ17+FD17+FH17+FL17+FP17+FT17+FX17+GB17+GF17+GJ17+GN17+GR17+GV17+GZ17</f>
        <v>0</v>
      </c>
      <c r="HE17" s="397">
        <f t="shared" si="62"/>
        <v>0</v>
      </c>
      <c r="HF17" s="396"/>
      <c r="HG17" s="395">
        <f>SUM(SUMIFS(K17:HB17,$K$13:$HB$13,{"エネルギー管理指定工場等*","県域*"}))</f>
        <v>0</v>
      </c>
      <c r="HH17" s="397">
        <f>SUM(SUMIFS(L17:HC17,$K$13:$HB$13,{"エネルギー管理指定工場等*","県域*"}))</f>
        <v>0</v>
      </c>
      <c r="HI17" s="397">
        <f>SUM(SUMIFS(M17:HD17,$K$13:$HB$13,{"エネルギー管理指定工場等*","県域*"}))</f>
        <v>0</v>
      </c>
      <c r="HJ17" s="396"/>
      <c r="HL17" s="387">
        <v>8</v>
      </c>
      <c r="HM17" s="1189"/>
      <c r="HN17" s="1200" t="str">
        <f ca="1">IF(COUNTIF(HN$10:HN16,OFFSET(A1_原単位2024,5,HL17+2))&gt;=1,"",OFFSET(A1_原単位2024,5,HL17+2)&amp;"")</f>
        <v/>
      </c>
      <c r="HO17" s="1204" t="str">
        <f t="shared" ca="1" si="49"/>
        <v/>
      </c>
      <c r="HP17" s="1205" t="str">
        <f t="shared" ca="1" si="50"/>
        <v/>
      </c>
      <c r="HQ17" s="1189"/>
      <c r="HR17" s="1200" t="str">
        <f ca="1">IF(COUNTIF(HR$10:HR16,OFFSET(A1_原単位2024,17,HL17+2))&gt;=1,"",OFFSET(A1_原単位2024,17,HL17+2)&amp;"")</f>
        <v/>
      </c>
      <c r="HS17" s="1212" t="str">
        <f t="shared" ca="1" si="51"/>
        <v/>
      </c>
      <c r="HT17" s="1213" t="str">
        <f t="shared" ca="1" si="52"/>
        <v/>
      </c>
      <c r="HU17" s="1214"/>
      <c r="HV17" s="1200" t="str">
        <f ca="1">IF(COUNTIF(HV$10:HV16,OFFSET(A1_原単位2024,29,HL17+2))&gt;=1,"",OFFSET(A1_原単位2024,29,HL17+2)&amp;"")</f>
        <v/>
      </c>
      <c r="HW17" s="1212" t="str">
        <f t="shared" ca="1" si="53"/>
        <v/>
      </c>
      <c r="HX17" s="1213" t="str">
        <f t="shared" ca="1" si="54"/>
        <v/>
      </c>
      <c r="HY17" s="1214"/>
      <c r="HZ17" s="1200" t="str">
        <f ca="1">IF(COUNTIF(HZ$10:HZ16,OFFSET(A1_原単位2024,41,HL17+2))&gt;=1,"",OFFSET(A1_原単位2024,41,HL17+2)&amp;"")</f>
        <v/>
      </c>
      <c r="IA17" s="1215" t="str">
        <f t="shared" ca="1" si="55"/>
        <v/>
      </c>
      <c r="IB17" s="1216" t="str">
        <f t="shared" ca="1" si="56"/>
        <v/>
      </c>
      <c r="IE17" s="365" t="str">
        <f t="shared" ca="1" si="57"/>
        <v/>
      </c>
      <c r="IF17" s="365" t="str">
        <f t="shared" ca="1" si="58"/>
        <v/>
      </c>
      <c r="IG17" s="365" t="str">
        <f t="shared" ca="1" si="59"/>
        <v/>
      </c>
      <c r="IH17" s="365" t="str">
        <f t="shared" ca="1" si="60"/>
        <v/>
      </c>
    </row>
    <row r="18" spans="1:242" ht="19.8">
      <c r="A18" s="37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399">
        <f t="shared" ref="HC18:HF81" si="63">K18+O18+S18+W18+AA18+AE18+AI18+AM18+AQ18+AU18+AY18+BC18+BG18+BK18+BO18+BS18+BW18+CA18+CE18+CI18+CM18+CQ18+CU18+CY18+DC18+DG18+DK18+DO18+DS18+DW18+EA18+EE18+EI18+EM18+EQ18+EU18+EY18+FC18+FG18+FK18+FO18+FS18+FW18+GA18+GE18+GI18+GM18+GQ18+GU18+GY18</f>
        <v>0</v>
      </c>
      <c r="HD18" s="402">
        <f t="shared" si="62"/>
        <v>0</v>
      </c>
      <c r="HE18" s="402">
        <f t="shared" si="62"/>
        <v>0</v>
      </c>
      <c r="HF18" s="401"/>
      <c r="HG18" s="399">
        <f>SUM(SUMIFS(K18:HB18,$K$13:$HB$13,{"エネルギー管理指定工場等*","県域*"}))</f>
        <v>0</v>
      </c>
      <c r="HH18" s="402">
        <f>SUM(SUMIFS(L18:HC18,$K$13:$HB$13,{"エネルギー管理指定工場等*","県域*"}))</f>
        <v>0</v>
      </c>
      <c r="HI18" s="402">
        <f>SUM(SUMIFS(M18:HD18,$K$13:$HB$13,{"エネルギー管理指定工場等*","県域*"}))</f>
        <v>0</v>
      </c>
      <c r="HJ18" s="401"/>
      <c r="HL18" s="388">
        <v>9</v>
      </c>
      <c r="HM18" s="1189"/>
      <c r="HN18" s="1200" t="str">
        <f ca="1">IF(COUNTIF(HN$10:HN17,OFFSET(A1_原単位2024,5,HL18+2))&gt;=1,"",OFFSET(A1_原単位2024,5,HL18+2)&amp;"")</f>
        <v/>
      </c>
      <c r="HO18" s="1204" t="str">
        <f t="shared" ca="1" si="49"/>
        <v/>
      </c>
      <c r="HP18" s="1205" t="str">
        <f t="shared" ca="1" si="50"/>
        <v/>
      </c>
      <c r="HQ18" s="1189"/>
      <c r="HR18" s="1200" t="str">
        <f ca="1">IF(COUNTIF(HR$10:HR17,OFFSET(A1_原単位2024,17,HL18+2))&gt;=1,"",OFFSET(A1_原単位2024,17,HL18+2)&amp;"")</f>
        <v/>
      </c>
      <c r="HS18" s="1212" t="str">
        <f t="shared" ca="1" si="51"/>
        <v/>
      </c>
      <c r="HT18" s="1213" t="str">
        <f t="shared" ca="1" si="52"/>
        <v/>
      </c>
      <c r="HU18" s="1214"/>
      <c r="HV18" s="1200" t="str">
        <f ca="1">IF(COUNTIF(HV$10:HV17,OFFSET(A1_原単位2024,29,HL18+2))&gt;=1,"",OFFSET(A1_原単位2024,29,HL18+2)&amp;"")</f>
        <v/>
      </c>
      <c r="HW18" s="1212" t="str">
        <f t="shared" ca="1" si="53"/>
        <v/>
      </c>
      <c r="HX18" s="1213" t="str">
        <f t="shared" ca="1" si="54"/>
        <v/>
      </c>
      <c r="HY18" s="1214"/>
      <c r="HZ18" s="1200" t="str">
        <f ca="1">IF(COUNTIF(HZ$10:HZ17,OFFSET(A1_原単位2024,41,HL18+2))&gt;=1,"",OFFSET(A1_原単位2024,41,HL18+2)&amp;"")</f>
        <v/>
      </c>
      <c r="IA18" s="1215" t="str">
        <f t="shared" ca="1" si="55"/>
        <v/>
      </c>
      <c r="IB18" s="1216" t="str">
        <f t="shared" ca="1" si="56"/>
        <v/>
      </c>
      <c r="IE18" s="365" t="str">
        <f t="shared" ca="1" si="57"/>
        <v/>
      </c>
      <c r="IF18" s="365" t="str">
        <f t="shared" ca="1" si="58"/>
        <v/>
      </c>
      <c r="IG18" s="365" t="str">
        <f t="shared" ca="1" si="59"/>
        <v/>
      </c>
      <c r="IH18" s="365" t="str">
        <f t="shared" ca="1" si="60"/>
        <v/>
      </c>
    </row>
    <row r="19" spans="1:242" ht="19.8">
      <c r="A19" s="37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399">
        <f t="shared" si="63"/>
        <v>0</v>
      </c>
      <c r="HD19" s="402">
        <f t="shared" si="62"/>
        <v>0</v>
      </c>
      <c r="HE19" s="402">
        <f t="shared" si="62"/>
        <v>0</v>
      </c>
      <c r="HF19" s="401"/>
      <c r="HG19" s="399">
        <f>SUM(SUMIFS(K19:HB19,$K$13:$HB$13,{"エネルギー管理指定工場等*","県域*"}))</f>
        <v>0</v>
      </c>
      <c r="HH19" s="402">
        <f>SUM(SUMIFS(L19:HC19,$K$13:$HB$13,{"エネルギー管理指定工場等*","県域*"}))</f>
        <v>0</v>
      </c>
      <c r="HI19" s="402">
        <f>SUM(SUMIFS(M19:HD19,$K$13:$HB$13,{"エネルギー管理指定工場等*","県域*"}))</f>
        <v>0</v>
      </c>
      <c r="HJ19" s="401"/>
      <c r="HL19" s="387">
        <v>10</v>
      </c>
      <c r="HM19" s="1189"/>
      <c r="HN19" s="1200" t="str">
        <f ca="1">IF(COUNTIF(HN$10:HN18,OFFSET(A1_原単位2024,5,HL19+2))&gt;=1,"",OFFSET(A1_原単位2024,5,HL19+2)&amp;"")</f>
        <v/>
      </c>
      <c r="HO19" s="1204" t="str">
        <f t="shared" ca="1" si="49"/>
        <v/>
      </c>
      <c r="HP19" s="1205" t="str">
        <f t="shared" ca="1" si="50"/>
        <v/>
      </c>
      <c r="HQ19" s="1189"/>
      <c r="HR19" s="1200" t="str">
        <f ca="1">IF(COUNTIF(HR$10:HR18,OFFSET(A1_原単位2024,17,HL19+2))&gt;=1,"",OFFSET(A1_原単位2024,17,HL19+2)&amp;"")</f>
        <v/>
      </c>
      <c r="HS19" s="1212" t="str">
        <f t="shared" ca="1" si="51"/>
        <v/>
      </c>
      <c r="HT19" s="1213" t="str">
        <f t="shared" ca="1" si="52"/>
        <v/>
      </c>
      <c r="HU19" s="1214"/>
      <c r="HV19" s="1200" t="str">
        <f ca="1">IF(COUNTIF(HV$10:HV18,OFFSET(A1_原単位2024,29,HL19+2))&gt;=1,"",OFFSET(A1_原単位2024,29,HL19+2)&amp;"")</f>
        <v/>
      </c>
      <c r="HW19" s="1212" t="str">
        <f t="shared" ca="1" si="53"/>
        <v/>
      </c>
      <c r="HX19" s="1213" t="str">
        <f t="shared" ca="1" si="54"/>
        <v/>
      </c>
      <c r="HY19" s="1214"/>
      <c r="HZ19" s="1200" t="str">
        <f ca="1">IF(COUNTIF(HZ$10:HZ18,OFFSET(A1_原単位2024,41,HL19+2))&gt;=1,"",OFFSET(A1_原単位2024,41,HL19+2)&amp;"")</f>
        <v/>
      </c>
      <c r="IA19" s="1215" t="str">
        <f t="shared" ca="1" si="55"/>
        <v/>
      </c>
      <c r="IB19" s="1216" t="str">
        <f t="shared" ca="1" si="56"/>
        <v/>
      </c>
      <c r="IE19" s="365" t="str">
        <f t="shared" ca="1" si="57"/>
        <v/>
      </c>
      <c r="IF19" s="365" t="str">
        <f t="shared" ca="1" si="58"/>
        <v/>
      </c>
      <c r="IG19" s="365" t="str">
        <f t="shared" ca="1" si="59"/>
        <v/>
      </c>
      <c r="IH19" s="365" t="str">
        <f t="shared" ca="1" si="60"/>
        <v/>
      </c>
    </row>
    <row r="20" spans="1:242" ht="19.8">
      <c r="A20" s="37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399">
        <f t="shared" si="63"/>
        <v>0</v>
      </c>
      <c r="HD20" s="402">
        <f t="shared" si="62"/>
        <v>0</v>
      </c>
      <c r="HE20" s="402">
        <f t="shared" si="62"/>
        <v>0</v>
      </c>
      <c r="HF20" s="401"/>
      <c r="HG20" s="399">
        <f>SUM(SUMIFS(K20:HB20,$K$13:$HB$13,{"エネルギー管理指定工場等*","県域*"}))</f>
        <v>0</v>
      </c>
      <c r="HH20" s="402">
        <f>SUM(SUMIFS(L20:HC20,$K$13:$HB$13,{"エネルギー管理指定工場等*","県域*"}))</f>
        <v>0</v>
      </c>
      <c r="HI20" s="402">
        <f>SUM(SUMIFS(M20:HD20,$K$13:$HB$13,{"エネルギー管理指定工場等*","県域*"}))</f>
        <v>0</v>
      </c>
      <c r="HJ20" s="401"/>
      <c r="HL20" s="388">
        <v>11</v>
      </c>
      <c r="HM20" s="1189"/>
      <c r="HN20" s="1200" t="str">
        <f ca="1">IF(COUNTIF(HN$10:HN19,OFFSET(A1_原単位2024,5,HL20+2))&gt;=1,"",OFFSET(A1_原単位2024,5,HL20+2)&amp;"")</f>
        <v/>
      </c>
      <c r="HO20" s="1204" t="str">
        <f t="shared" ca="1" si="49"/>
        <v/>
      </c>
      <c r="HP20" s="1205" t="str">
        <f t="shared" ca="1" si="50"/>
        <v/>
      </c>
      <c r="HQ20" s="1189"/>
      <c r="HR20" s="1200" t="str">
        <f ca="1">IF(COUNTIF(HR$10:HR19,OFFSET(A1_原単位2024,17,HL20+2))&gt;=1,"",OFFSET(A1_原単位2024,17,HL20+2)&amp;"")</f>
        <v/>
      </c>
      <c r="HS20" s="1212" t="str">
        <f t="shared" ca="1" si="51"/>
        <v/>
      </c>
      <c r="HT20" s="1213" t="str">
        <f t="shared" ca="1" si="52"/>
        <v/>
      </c>
      <c r="HU20" s="1214"/>
      <c r="HV20" s="1200" t="str">
        <f ca="1">IF(COUNTIF(HV$10:HV19,OFFSET(A1_原単位2024,29,HL20+2))&gt;=1,"",OFFSET(A1_原単位2024,29,HL20+2)&amp;"")</f>
        <v/>
      </c>
      <c r="HW20" s="1212" t="str">
        <f t="shared" ca="1" si="53"/>
        <v/>
      </c>
      <c r="HX20" s="1213" t="str">
        <f t="shared" ca="1" si="54"/>
        <v/>
      </c>
      <c r="HY20" s="1214"/>
      <c r="HZ20" s="1200" t="str">
        <f ca="1">IF(COUNTIF(HZ$10:HZ19,OFFSET(A1_原単位2024,41,HL20+2))&gt;=1,"",OFFSET(A1_原単位2024,41,HL20+2)&amp;"")</f>
        <v/>
      </c>
      <c r="IA20" s="1215" t="str">
        <f t="shared" ca="1" si="55"/>
        <v/>
      </c>
      <c r="IB20" s="1216" t="str">
        <f t="shared" ca="1" si="56"/>
        <v/>
      </c>
      <c r="IE20" s="365" t="str">
        <f t="shared" ca="1" si="57"/>
        <v/>
      </c>
      <c r="IF20" s="365" t="str">
        <f t="shared" ca="1" si="58"/>
        <v/>
      </c>
      <c r="IG20" s="365" t="str">
        <f t="shared" ca="1" si="59"/>
        <v/>
      </c>
      <c r="IH20" s="365" t="str">
        <f t="shared" ca="1" si="60"/>
        <v/>
      </c>
    </row>
    <row r="21" spans="1:242" ht="19.8">
      <c r="A21" s="37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399">
        <f t="shared" si="63"/>
        <v>0</v>
      </c>
      <c r="HD21" s="402">
        <f t="shared" si="62"/>
        <v>0</v>
      </c>
      <c r="HE21" s="402">
        <f t="shared" si="62"/>
        <v>0</v>
      </c>
      <c r="HF21" s="401"/>
      <c r="HG21" s="399">
        <f>SUM(SUMIFS(K21:HB21,$K$13:$HB$13,{"エネルギー管理指定工場等*","県域*"}))</f>
        <v>0</v>
      </c>
      <c r="HH21" s="402">
        <f>SUM(SUMIFS(L21:HC21,$K$13:$HB$13,{"エネルギー管理指定工場等*","県域*"}))</f>
        <v>0</v>
      </c>
      <c r="HI21" s="402">
        <f>SUM(SUMIFS(M21:HD21,$K$13:$HB$13,{"エネルギー管理指定工場等*","県域*"}))</f>
        <v>0</v>
      </c>
      <c r="HJ21" s="401"/>
      <c r="HL21" s="387">
        <v>12</v>
      </c>
      <c r="HM21" s="1189"/>
      <c r="HN21" s="1200" t="str">
        <f ca="1">IF(COUNTIF(HN$10:HN20,OFFSET(A1_原単位2024,5,HL21+2))&gt;=1,"",OFFSET(A1_原単位2024,5,HL21+2)&amp;"")</f>
        <v/>
      </c>
      <c r="HO21" s="1204" t="str">
        <f t="shared" ca="1" si="49"/>
        <v/>
      </c>
      <c r="HP21" s="1205" t="str">
        <f t="shared" ca="1" si="50"/>
        <v/>
      </c>
      <c r="HQ21" s="1189"/>
      <c r="HR21" s="1200" t="str">
        <f ca="1">IF(COUNTIF(HR$10:HR20,OFFSET(A1_原単位2024,17,HL21+2))&gt;=1,"",OFFSET(A1_原単位2024,17,HL21+2)&amp;"")</f>
        <v/>
      </c>
      <c r="HS21" s="1212" t="str">
        <f t="shared" ca="1" si="51"/>
        <v/>
      </c>
      <c r="HT21" s="1213" t="str">
        <f t="shared" ca="1" si="52"/>
        <v/>
      </c>
      <c r="HU21" s="1214"/>
      <c r="HV21" s="1200" t="str">
        <f ca="1">IF(COUNTIF(HV$10:HV20,OFFSET(A1_原単位2024,29,HL21+2))&gt;=1,"",OFFSET(A1_原単位2024,29,HL21+2)&amp;"")</f>
        <v/>
      </c>
      <c r="HW21" s="1212" t="str">
        <f t="shared" ca="1" si="53"/>
        <v/>
      </c>
      <c r="HX21" s="1213" t="str">
        <f t="shared" ca="1" si="54"/>
        <v/>
      </c>
      <c r="HY21" s="1214"/>
      <c r="HZ21" s="1200" t="str">
        <f ca="1">IF(COUNTIF(HZ$10:HZ20,OFFSET(A1_原単位2024,41,HL21+2))&gt;=1,"",OFFSET(A1_原単位2024,41,HL21+2)&amp;"")</f>
        <v/>
      </c>
      <c r="IA21" s="1215" t="str">
        <f t="shared" ca="1" si="55"/>
        <v/>
      </c>
      <c r="IB21" s="1216" t="str">
        <f t="shared" ca="1" si="56"/>
        <v/>
      </c>
      <c r="IE21" s="365" t="str">
        <f t="shared" ca="1" si="57"/>
        <v/>
      </c>
      <c r="IF21" s="365" t="str">
        <f t="shared" ca="1" si="58"/>
        <v/>
      </c>
      <c r="IG21" s="365" t="str">
        <f t="shared" ca="1" si="59"/>
        <v/>
      </c>
      <c r="IH21" s="365" t="str">
        <f t="shared" ca="1" si="60"/>
        <v/>
      </c>
    </row>
    <row r="22" spans="1:242" ht="19.8">
      <c r="A22" s="37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399">
        <f t="shared" si="63"/>
        <v>0</v>
      </c>
      <c r="HD22" s="402">
        <f t="shared" si="62"/>
        <v>0</v>
      </c>
      <c r="HE22" s="402">
        <f t="shared" si="62"/>
        <v>0</v>
      </c>
      <c r="HF22" s="401"/>
      <c r="HG22" s="399">
        <f>SUM(SUMIFS(K22:HB22,$K$13:$HB$13,{"エネルギー管理指定工場等*","県域*"}))</f>
        <v>0</v>
      </c>
      <c r="HH22" s="402">
        <f>SUM(SUMIFS(L22:HC22,$K$13:$HB$13,{"エネルギー管理指定工場等*","県域*"}))</f>
        <v>0</v>
      </c>
      <c r="HI22" s="402">
        <f>SUM(SUMIFS(M22:HD22,$K$13:$HB$13,{"エネルギー管理指定工場等*","県域*"}))</f>
        <v>0</v>
      </c>
      <c r="HJ22" s="401"/>
      <c r="HL22" s="388">
        <v>13</v>
      </c>
      <c r="HM22" s="1189"/>
      <c r="HN22" s="1200" t="str">
        <f ca="1">IF(COUNTIF(HN$10:HN21,OFFSET(A1_原単位2024,5,HL22+2))&gt;=1,"",OFFSET(A1_原単位2024,5,HL22+2)&amp;"")</f>
        <v/>
      </c>
      <c r="HO22" s="1204" t="str">
        <f t="shared" ca="1" si="49"/>
        <v/>
      </c>
      <c r="HP22" s="1205" t="str">
        <f t="shared" ca="1" si="50"/>
        <v/>
      </c>
      <c r="HQ22" s="1189"/>
      <c r="HR22" s="1200" t="str">
        <f ca="1">IF(COUNTIF(HR$10:HR21,OFFSET(A1_原単位2024,17,HL22+2))&gt;=1,"",OFFSET(A1_原単位2024,17,HL22+2)&amp;"")</f>
        <v/>
      </c>
      <c r="HS22" s="1212" t="str">
        <f t="shared" ca="1" si="51"/>
        <v/>
      </c>
      <c r="HT22" s="1213" t="str">
        <f t="shared" ca="1" si="52"/>
        <v/>
      </c>
      <c r="HU22" s="1214"/>
      <c r="HV22" s="1200" t="str">
        <f ca="1">IF(COUNTIF(HV$10:HV21,OFFSET(A1_原単位2024,29,HL22+2))&gt;=1,"",OFFSET(A1_原単位2024,29,HL22+2)&amp;"")</f>
        <v/>
      </c>
      <c r="HW22" s="1212" t="str">
        <f t="shared" ca="1" si="53"/>
        <v/>
      </c>
      <c r="HX22" s="1213" t="str">
        <f t="shared" ca="1" si="54"/>
        <v/>
      </c>
      <c r="HY22" s="1214"/>
      <c r="HZ22" s="1200" t="str">
        <f ca="1">IF(COUNTIF(HZ$10:HZ21,OFFSET(A1_原単位2024,41,HL22+2))&gt;=1,"",OFFSET(A1_原単位2024,41,HL22+2)&amp;"")</f>
        <v/>
      </c>
      <c r="IA22" s="1215" t="str">
        <f t="shared" ca="1" si="55"/>
        <v/>
      </c>
      <c r="IB22" s="1216" t="str">
        <f t="shared" ca="1" si="56"/>
        <v/>
      </c>
      <c r="IE22" s="365" t="str">
        <f t="shared" ca="1" si="57"/>
        <v/>
      </c>
      <c r="IF22" s="365" t="str">
        <f t="shared" ca="1" si="58"/>
        <v/>
      </c>
      <c r="IG22" s="365" t="str">
        <f t="shared" ca="1" si="59"/>
        <v/>
      </c>
      <c r="IH22" s="365" t="str">
        <f t="shared" ca="1" si="60"/>
        <v/>
      </c>
    </row>
    <row r="23" spans="1:242" ht="19.8">
      <c r="A23" s="37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399">
        <f t="shared" si="63"/>
        <v>0</v>
      </c>
      <c r="HD23" s="402">
        <f t="shared" si="62"/>
        <v>0</v>
      </c>
      <c r="HE23" s="402">
        <f t="shared" si="62"/>
        <v>0</v>
      </c>
      <c r="HF23" s="401"/>
      <c r="HG23" s="399">
        <f>SUM(SUMIFS(K23:HB23,$K$13:$HB$13,{"エネルギー管理指定工場等*","県域*"}))</f>
        <v>0</v>
      </c>
      <c r="HH23" s="402">
        <f>SUM(SUMIFS(L23:HC23,$K$13:$HB$13,{"エネルギー管理指定工場等*","県域*"}))</f>
        <v>0</v>
      </c>
      <c r="HI23" s="402">
        <f>SUM(SUMIFS(M23:HD23,$K$13:$HB$13,{"エネルギー管理指定工場等*","県域*"}))</f>
        <v>0</v>
      </c>
      <c r="HJ23" s="401"/>
      <c r="HL23" s="387">
        <v>14</v>
      </c>
      <c r="HM23" s="1189"/>
      <c r="HN23" s="1200" t="str">
        <f ca="1">IF(COUNTIF(HN$10:HN22,OFFSET(A1_原単位2024,5,HL23+2))&gt;=1,"",OFFSET(A1_原単位2024,5,HL23+2)&amp;"")</f>
        <v/>
      </c>
      <c r="HO23" s="1204" t="str">
        <f t="shared" ca="1" si="49"/>
        <v/>
      </c>
      <c r="HP23" s="1205" t="str">
        <f t="shared" ca="1" si="50"/>
        <v/>
      </c>
      <c r="HQ23" s="1189"/>
      <c r="HR23" s="1200" t="str">
        <f ca="1">IF(COUNTIF(HR$10:HR22,OFFSET(A1_原単位2024,17,HL23+2))&gt;=1,"",OFFSET(A1_原単位2024,17,HL23+2)&amp;"")</f>
        <v/>
      </c>
      <c r="HS23" s="1212" t="str">
        <f t="shared" ca="1" si="51"/>
        <v/>
      </c>
      <c r="HT23" s="1213" t="str">
        <f t="shared" ca="1" si="52"/>
        <v/>
      </c>
      <c r="HU23" s="1214"/>
      <c r="HV23" s="1200" t="str">
        <f ca="1">IF(COUNTIF(HV$10:HV22,OFFSET(A1_原単位2024,29,HL23+2))&gt;=1,"",OFFSET(A1_原単位2024,29,HL23+2)&amp;"")</f>
        <v/>
      </c>
      <c r="HW23" s="1212" t="str">
        <f t="shared" ca="1" si="53"/>
        <v/>
      </c>
      <c r="HX23" s="1213" t="str">
        <f t="shared" ca="1" si="54"/>
        <v/>
      </c>
      <c r="HY23" s="1214"/>
      <c r="HZ23" s="1200" t="str">
        <f ca="1">IF(COUNTIF(HZ$10:HZ22,OFFSET(A1_原単位2024,41,HL23+2))&gt;=1,"",OFFSET(A1_原単位2024,41,HL23+2)&amp;"")</f>
        <v/>
      </c>
      <c r="IA23" s="1215" t="str">
        <f t="shared" ca="1" si="55"/>
        <v/>
      </c>
      <c r="IB23" s="1216" t="str">
        <f t="shared" ca="1" si="56"/>
        <v/>
      </c>
      <c r="IE23" s="365" t="str">
        <f t="shared" ca="1" si="57"/>
        <v/>
      </c>
      <c r="IF23" s="365" t="str">
        <f t="shared" ca="1" si="58"/>
        <v/>
      </c>
      <c r="IG23" s="365" t="str">
        <f t="shared" ca="1" si="59"/>
        <v/>
      </c>
      <c r="IH23" s="365" t="str">
        <f t="shared" ca="1" si="60"/>
        <v/>
      </c>
    </row>
    <row r="24" spans="1:242" ht="19.8">
      <c r="A24" s="37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399">
        <f t="shared" si="63"/>
        <v>0</v>
      </c>
      <c r="HD24" s="402">
        <f t="shared" si="62"/>
        <v>0</v>
      </c>
      <c r="HE24" s="402">
        <f t="shared" si="62"/>
        <v>0</v>
      </c>
      <c r="HF24" s="401"/>
      <c r="HG24" s="399">
        <f>SUM(SUMIFS(K24:HB24,$K$13:$HB$13,{"エネルギー管理指定工場等*","県域*"}))</f>
        <v>0</v>
      </c>
      <c r="HH24" s="402">
        <f>SUM(SUMIFS(L24:HC24,$K$13:$HB$13,{"エネルギー管理指定工場等*","県域*"}))</f>
        <v>0</v>
      </c>
      <c r="HI24" s="402">
        <f>SUM(SUMIFS(M24:HD24,$K$13:$HB$13,{"エネルギー管理指定工場等*","県域*"}))</f>
        <v>0</v>
      </c>
      <c r="HJ24" s="401"/>
      <c r="HL24" s="387">
        <v>15</v>
      </c>
      <c r="HM24" s="1189"/>
      <c r="HN24" s="1200" t="str">
        <f ca="1">IF(COUNTIF(HN$10:HN23,OFFSET(A1_原単位2024,5,HL24+2))&gt;=1,"",OFFSET(A1_原単位2024,5,HL24+2)&amp;"")</f>
        <v/>
      </c>
      <c r="HO24" s="1204" t="str">
        <f t="shared" ca="1" si="49"/>
        <v/>
      </c>
      <c r="HP24" s="1205" t="str">
        <f t="shared" ca="1" si="50"/>
        <v/>
      </c>
      <c r="HQ24" s="1189"/>
      <c r="HR24" s="1200" t="str">
        <f ca="1">IF(COUNTIF(HR$10:HR23,OFFSET(A1_原単位2024,17,HL24+2))&gt;=1,"",OFFSET(A1_原単位2024,17,HL24+2)&amp;"")</f>
        <v/>
      </c>
      <c r="HS24" s="1212" t="str">
        <f t="shared" ca="1" si="51"/>
        <v/>
      </c>
      <c r="HT24" s="1213" t="str">
        <f t="shared" ca="1" si="52"/>
        <v/>
      </c>
      <c r="HU24" s="1214"/>
      <c r="HV24" s="1200" t="str">
        <f ca="1">IF(COUNTIF(HV$10:HV23,OFFSET(A1_原単位2024,29,HL24+2))&gt;=1,"",OFFSET(A1_原単位2024,29,HL24+2)&amp;"")</f>
        <v/>
      </c>
      <c r="HW24" s="1212" t="str">
        <f t="shared" ca="1" si="53"/>
        <v/>
      </c>
      <c r="HX24" s="1213" t="str">
        <f t="shared" ca="1" si="54"/>
        <v/>
      </c>
      <c r="HY24" s="1214"/>
      <c r="HZ24" s="1200" t="str">
        <f ca="1">IF(COUNTIF(HZ$10:HZ23,OFFSET(A1_原単位2024,41,HL24+2))&gt;=1,"",OFFSET(A1_原単位2024,41,HL24+2)&amp;"")</f>
        <v/>
      </c>
      <c r="IA24" s="1215" t="str">
        <f t="shared" ca="1" si="55"/>
        <v/>
      </c>
      <c r="IB24" s="1216" t="str">
        <f t="shared" ca="1" si="56"/>
        <v/>
      </c>
      <c r="IE24" s="365" t="str">
        <f t="shared" ca="1" si="57"/>
        <v/>
      </c>
      <c r="IF24" s="365" t="str">
        <f t="shared" ca="1" si="58"/>
        <v/>
      </c>
      <c r="IG24" s="365" t="str">
        <f t="shared" ca="1" si="59"/>
        <v/>
      </c>
      <c r="IH24" s="365" t="str">
        <f t="shared" ca="1" si="60"/>
        <v/>
      </c>
    </row>
    <row r="25" spans="1:242" ht="19.8">
      <c r="A25" s="37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399">
        <f t="shared" si="63"/>
        <v>0</v>
      </c>
      <c r="HD25" s="402">
        <f t="shared" si="62"/>
        <v>0</v>
      </c>
      <c r="HE25" s="402">
        <f t="shared" si="62"/>
        <v>0</v>
      </c>
      <c r="HF25" s="401"/>
      <c r="HG25" s="399">
        <f>SUM(SUMIFS(K25:HB25,$K$13:$HB$13,{"エネルギー管理指定工場等*","県域*"}))</f>
        <v>0</v>
      </c>
      <c r="HH25" s="402">
        <f>SUM(SUMIFS(L25:HC25,$K$13:$HB$13,{"エネルギー管理指定工場等*","県域*"}))</f>
        <v>0</v>
      </c>
      <c r="HI25" s="402">
        <f>SUM(SUMIFS(M25:HD25,$K$13:$HB$13,{"エネルギー管理指定工場等*","県域*"}))</f>
        <v>0</v>
      </c>
      <c r="HJ25" s="401"/>
      <c r="HL25" s="388">
        <v>16</v>
      </c>
      <c r="HM25" s="1189"/>
      <c r="HN25" s="1200" t="str">
        <f ca="1">IF(COUNTIF(HN$10:HN24,OFFSET(A1_原単位2024,5,HL25+2))&gt;=1,"",OFFSET(A1_原単位2024,5,HL25+2)&amp;"")</f>
        <v/>
      </c>
      <c r="HO25" s="1204" t="str">
        <f t="shared" ca="1" si="49"/>
        <v/>
      </c>
      <c r="HP25" s="1205" t="str">
        <f t="shared" ca="1" si="50"/>
        <v/>
      </c>
      <c r="HQ25" s="1189"/>
      <c r="HR25" s="1200" t="str">
        <f ca="1">IF(COUNTIF(HR$10:HR24,OFFSET(A1_原単位2024,17,HL25+2))&gt;=1,"",OFFSET(A1_原単位2024,17,HL25+2)&amp;"")</f>
        <v/>
      </c>
      <c r="HS25" s="1212" t="str">
        <f t="shared" ca="1" si="51"/>
        <v/>
      </c>
      <c r="HT25" s="1213" t="str">
        <f t="shared" ca="1" si="52"/>
        <v/>
      </c>
      <c r="HU25" s="1214"/>
      <c r="HV25" s="1200" t="str">
        <f ca="1">IF(COUNTIF(HV$10:HV24,OFFSET(A1_原単位2024,29,HL25+2))&gt;=1,"",OFFSET(A1_原単位2024,29,HL25+2)&amp;"")</f>
        <v/>
      </c>
      <c r="HW25" s="1212" t="str">
        <f t="shared" ca="1" si="53"/>
        <v/>
      </c>
      <c r="HX25" s="1213" t="str">
        <f t="shared" ca="1" si="54"/>
        <v/>
      </c>
      <c r="HY25" s="1214"/>
      <c r="HZ25" s="1200" t="str">
        <f ca="1">IF(COUNTIF(HZ$10:HZ24,OFFSET(A1_原単位2024,41,HL25+2))&gt;=1,"",OFFSET(A1_原単位2024,41,HL25+2)&amp;"")</f>
        <v/>
      </c>
      <c r="IA25" s="1215" t="str">
        <f t="shared" ca="1" si="55"/>
        <v/>
      </c>
      <c r="IB25" s="1216" t="str">
        <f t="shared" ca="1" si="56"/>
        <v/>
      </c>
      <c r="IE25" s="365" t="str">
        <f t="shared" ca="1" si="57"/>
        <v/>
      </c>
      <c r="IF25" s="365" t="str">
        <f t="shared" ca="1" si="58"/>
        <v/>
      </c>
      <c r="IG25" s="365" t="str">
        <f t="shared" ca="1" si="59"/>
        <v/>
      </c>
      <c r="IH25" s="365" t="str">
        <f t="shared" ca="1" si="60"/>
        <v/>
      </c>
    </row>
    <row r="26" spans="1:242" ht="19.8">
      <c r="A26" s="37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399">
        <f t="shared" si="63"/>
        <v>0</v>
      </c>
      <c r="HD26" s="402">
        <f t="shared" si="62"/>
        <v>0</v>
      </c>
      <c r="HE26" s="402">
        <f t="shared" si="62"/>
        <v>0</v>
      </c>
      <c r="HF26" s="401"/>
      <c r="HG26" s="399">
        <f>SUM(SUMIFS(K26:HB26,$K$13:$HB$13,{"エネルギー管理指定工場等*","県域*"}))</f>
        <v>0</v>
      </c>
      <c r="HH26" s="402">
        <f>SUM(SUMIFS(L26:HC26,$K$13:$HB$13,{"エネルギー管理指定工場等*","県域*"}))</f>
        <v>0</v>
      </c>
      <c r="HI26" s="402">
        <f>SUM(SUMIFS(M26:HD26,$K$13:$HB$13,{"エネルギー管理指定工場等*","県域*"}))</f>
        <v>0</v>
      </c>
      <c r="HJ26" s="401"/>
      <c r="HL26" s="387">
        <v>17</v>
      </c>
      <c r="HM26" s="1189"/>
      <c r="HN26" s="1200" t="str">
        <f ca="1">IF(COUNTIF(HN$10:HN25,OFFSET(A1_原単位2024,5,HL26+2))&gt;=1,"",OFFSET(A1_原単位2024,5,HL26+2)&amp;"")</f>
        <v/>
      </c>
      <c r="HO26" s="1204" t="str">
        <f t="shared" ca="1" si="49"/>
        <v/>
      </c>
      <c r="HP26" s="1205" t="str">
        <f t="shared" ca="1" si="50"/>
        <v/>
      </c>
      <c r="HQ26" s="1189"/>
      <c r="HR26" s="1200" t="str">
        <f ca="1">IF(COUNTIF(HR$10:HR25,OFFSET(A1_原単位2024,17,HL26+2))&gt;=1,"",OFFSET(A1_原単位2024,17,HL26+2)&amp;"")</f>
        <v/>
      </c>
      <c r="HS26" s="1212" t="str">
        <f t="shared" ca="1" si="51"/>
        <v/>
      </c>
      <c r="HT26" s="1213" t="str">
        <f t="shared" ca="1" si="52"/>
        <v/>
      </c>
      <c r="HU26" s="1214"/>
      <c r="HV26" s="1200" t="str">
        <f ca="1">IF(COUNTIF(HV$10:HV25,OFFSET(A1_原単位2024,29,HL26+2))&gt;=1,"",OFFSET(A1_原単位2024,29,HL26+2)&amp;"")</f>
        <v/>
      </c>
      <c r="HW26" s="1212" t="str">
        <f t="shared" ca="1" si="53"/>
        <v/>
      </c>
      <c r="HX26" s="1213" t="str">
        <f t="shared" ca="1" si="54"/>
        <v/>
      </c>
      <c r="HY26" s="1214"/>
      <c r="HZ26" s="1200" t="str">
        <f ca="1">IF(COUNTIF(HZ$10:HZ25,OFFSET(A1_原単位2024,41,HL26+2))&gt;=1,"",OFFSET(A1_原単位2024,41,HL26+2)&amp;"")</f>
        <v/>
      </c>
      <c r="IA26" s="1215" t="str">
        <f t="shared" ca="1" si="55"/>
        <v/>
      </c>
      <c r="IB26" s="1216" t="str">
        <f t="shared" ca="1" si="56"/>
        <v/>
      </c>
      <c r="IE26" s="365" t="str">
        <f t="shared" ca="1" si="57"/>
        <v/>
      </c>
      <c r="IF26" s="365" t="str">
        <f t="shared" ca="1" si="58"/>
        <v/>
      </c>
      <c r="IG26" s="365" t="str">
        <f t="shared" ca="1" si="59"/>
        <v/>
      </c>
      <c r="IH26" s="365" t="str">
        <f t="shared" ca="1" si="60"/>
        <v/>
      </c>
    </row>
    <row r="27" spans="1:242" ht="19.8">
      <c r="A27" s="37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399">
        <f t="shared" si="63"/>
        <v>0</v>
      </c>
      <c r="HD27" s="402">
        <f t="shared" si="62"/>
        <v>0</v>
      </c>
      <c r="HE27" s="402">
        <f t="shared" si="62"/>
        <v>0</v>
      </c>
      <c r="HF27" s="401"/>
      <c r="HG27" s="399">
        <f>SUM(SUMIFS(K27:HB27,$K$13:$HB$13,{"エネルギー管理指定工場等*","県域*"}))</f>
        <v>0</v>
      </c>
      <c r="HH27" s="402">
        <f>SUM(SUMIFS(L27:HC27,$K$13:$HB$13,{"エネルギー管理指定工場等*","県域*"}))</f>
        <v>0</v>
      </c>
      <c r="HI27" s="402">
        <f>SUM(SUMIFS(M27:HD27,$K$13:$HB$13,{"エネルギー管理指定工場等*","県域*"}))</f>
        <v>0</v>
      </c>
      <c r="HJ27" s="401"/>
      <c r="HL27" s="388">
        <v>18</v>
      </c>
      <c r="HM27" s="1189"/>
      <c r="HN27" s="1200" t="str">
        <f ca="1">IF(COUNTIF(HN$10:HN26,OFFSET(A1_原単位2024,5,HL27+2))&gt;=1,"",OFFSET(A1_原単位2024,5,HL27+2)&amp;"")</f>
        <v/>
      </c>
      <c r="HO27" s="1204" t="str">
        <f t="shared" ca="1" si="49"/>
        <v/>
      </c>
      <c r="HP27" s="1205" t="str">
        <f t="shared" ca="1" si="50"/>
        <v/>
      </c>
      <c r="HQ27" s="1189"/>
      <c r="HR27" s="1200" t="str">
        <f ca="1">IF(COUNTIF(HR$10:HR26,OFFSET(A1_原単位2024,17,HL27+2))&gt;=1,"",OFFSET(A1_原単位2024,17,HL27+2)&amp;"")</f>
        <v/>
      </c>
      <c r="HS27" s="1212" t="str">
        <f t="shared" ca="1" si="51"/>
        <v/>
      </c>
      <c r="HT27" s="1213" t="str">
        <f t="shared" ca="1" si="52"/>
        <v/>
      </c>
      <c r="HU27" s="1214"/>
      <c r="HV27" s="1200" t="str">
        <f ca="1">IF(COUNTIF(HV$10:HV26,OFFSET(A1_原単位2024,29,HL27+2))&gt;=1,"",OFFSET(A1_原単位2024,29,HL27+2)&amp;"")</f>
        <v/>
      </c>
      <c r="HW27" s="1212" t="str">
        <f t="shared" ca="1" si="53"/>
        <v/>
      </c>
      <c r="HX27" s="1213" t="str">
        <f t="shared" ca="1" si="54"/>
        <v/>
      </c>
      <c r="HY27" s="1214"/>
      <c r="HZ27" s="1200" t="str">
        <f ca="1">IF(COUNTIF(HZ$10:HZ26,OFFSET(A1_原単位2024,41,HL27+2))&gt;=1,"",OFFSET(A1_原単位2024,41,HL27+2)&amp;"")</f>
        <v/>
      </c>
      <c r="IA27" s="1215" t="str">
        <f t="shared" ca="1" si="55"/>
        <v/>
      </c>
      <c r="IB27" s="1216" t="str">
        <f t="shared" ca="1" si="56"/>
        <v/>
      </c>
      <c r="IE27" s="365" t="str">
        <f t="shared" ca="1" si="57"/>
        <v/>
      </c>
      <c r="IF27" s="365" t="str">
        <f t="shared" ca="1" si="58"/>
        <v/>
      </c>
      <c r="IG27" s="365" t="str">
        <f t="shared" ca="1" si="59"/>
        <v/>
      </c>
      <c r="IH27" s="365" t="str">
        <f t="shared" ca="1" si="60"/>
        <v/>
      </c>
    </row>
    <row r="28" spans="1:242" ht="19.8">
      <c r="A28" s="37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399">
        <f t="shared" si="63"/>
        <v>0</v>
      </c>
      <c r="HD28" s="402">
        <f t="shared" si="62"/>
        <v>0</v>
      </c>
      <c r="HE28" s="402">
        <f t="shared" si="62"/>
        <v>0</v>
      </c>
      <c r="HF28" s="401"/>
      <c r="HG28" s="399">
        <f>SUM(SUMIFS(K28:HB28,$K$13:$HB$13,{"エネルギー管理指定工場等*","県域*"}))</f>
        <v>0</v>
      </c>
      <c r="HH28" s="402">
        <f>SUM(SUMIFS(L28:HC28,$K$13:$HB$13,{"エネルギー管理指定工場等*","県域*"}))</f>
        <v>0</v>
      </c>
      <c r="HI28" s="402">
        <f>SUM(SUMIFS(M28:HD28,$K$13:$HB$13,{"エネルギー管理指定工場等*","県域*"}))</f>
        <v>0</v>
      </c>
      <c r="HJ28" s="401"/>
      <c r="HL28" s="387">
        <v>19</v>
      </c>
      <c r="HM28" s="1189"/>
      <c r="HN28" s="1200" t="str">
        <f ca="1">IF(COUNTIF(HN$10:HN27,OFFSET(A1_原単位2024,5,HL28+2))&gt;=1,"",OFFSET(A1_原単位2024,5,HL28+2)&amp;"")</f>
        <v/>
      </c>
      <c r="HO28" s="1204" t="str">
        <f t="shared" ca="1" si="49"/>
        <v/>
      </c>
      <c r="HP28" s="1205" t="str">
        <f t="shared" ca="1" si="50"/>
        <v/>
      </c>
      <c r="HQ28" s="1189"/>
      <c r="HR28" s="1200" t="str">
        <f ca="1">IF(COUNTIF(HR$10:HR27,OFFSET(A1_原単位2024,17,HL28+2))&gt;=1,"",OFFSET(A1_原単位2024,17,HL28+2)&amp;"")</f>
        <v/>
      </c>
      <c r="HS28" s="1212" t="str">
        <f t="shared" ca="1" si="51"/>
        <v/>
      </c>
      <c r="HT28" s="1213" t="str">
        <f t="shared" ca="1" si="52"/>
        <v/>
      </c>
      <c r="HU28" s="1214"/>
      <c r="HV28" s="1200" t="str">
        <f ca="1">IF(COUNTIF(HV$10:HV27,OFFSET(A1_原単位2024,29,HL28+2))&gt;=1,"",OFFSET(A1_原単位2024,29,HL28+2)&amp;"")</f>
        <v/>
      </c>
      <c r="HW28" s="1212" t="str">
        <f t="shared" ca="1" si="53"/>
        <v/>
      </c>
      <c r="HX28" s="1213" t="str">
        <f t="shared" ca="1" si="54"/>
        <v/>
      </c>
      <c r="HY28" s="1214"/>
      <c r="HZ28" s="1200" t="str">
        <f ca="1">IF(COUNTIF(HZ$10:HZ27,OFFSET(A1_原単位2024,41,HL28+2))&gt;=1,"",OFFSET(A1_原単位2024,41,HL28+2)&amp;"")</f>
        <v/>
      </c>
      <c r="IA28" s="1215" t="str">
        <f t="shared" ca="1" si="55"/>
        <v/>
      </c>
      <c r="IB28" s="1216" t="str">
        <f t="shared" ca="1" si="56"/>
        <v/>
      </c>
      <c r="IE28" s="365" t="str">
        <f t="shared" ca="1" si="57"/>
        <v/>
      </c>
      <c r="IF28" s="365" t="str">
        <f t="shared" ca="1" si="58"/>
        <v/>
      </c>
      <c r="IG28" s="365" t="str">
        <f t="shared" ca="1" si="59"/>
        <v/>
      </c>
      <c r="IH28" s="365" t="str">
        <f t="shared" ca="1" si="60"/>
        <v/>
      </c>
    </row>
    <row r="29" spans="1:242" ht="19.8">
      <c r="A29" s="37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399">
        <f t="shared" si="63"/>
        <v>0</v>
      </c>
      <c r="HD29" s="402">
        <f t="shared" si="62"/>
        <v>0</v>
      </c>
      <c r="HE29" s="402">
        <f t="shared" si="62"/>
        <v>0</v>
      </c>
      <c r="HF29" s="401"/>
      <c r="HG29" s="399">
        <f>SUM(SUMIFS(K29:HB29,$K$13:$HB$13,{"エネルギー管理指定工場等*","県域*"}))</f>
        <v>0</v>
      </c>
      <c r="HH29" s="402">
        <f>SUM(SUMIFS(L29:HC29,$K$13:$HB$13,{"エネルギー管理指定工場等*","県域*"}))</f>
        <v>0</v>
      </c>
      <c r="HI29" s="402">
        <f>SUM(SUMIFS(M29:HD29,$K$13:$HB$13,{"エネルギー管理指定工場等*","県域*"}))</f>
        <v>0</v>
      </c>
      <c r="HJ29" s="401"/>
      <c r="HL29" s="388">
        <v>20</v>
      </c>
      <c r="HM29" s="1189"/>
      <c r="HN29" s="1200" t="str">
        <f ca="1">IF(COUNTIF(HN$10:HN28,OFFSET(A1_原単位2024,5,HL29+2))&gt;=1,"",OFFSET(A1_原単位2024,5,HL29+2)&amp;"")</f>
        <v/>
      </c>
      <c r="HO29" s="1204" t="str">
        <f t="shared" ca="1" si="49"/>
        <v/>
      </c>
      <c r="HP29" s="1205" t="str">
        <f t="shared" ca="1" si="50"/>
        <v/>
      </c>
      <c r="HQ29" s="1189"/>
      <c r="HR29" s="1200" t="str">
        <f ca="1">IF(COUNTIF(HR$10:HR28,OFFSET(A1_原単位2024,17,HL29+2))&gt;=1,"",OFFSET(A1_原単位2024,17,HL29+2)&amp;"")</f>
        <v/>
      </c>
      <c r="HS29" s="1212" t="str">
        <f t="shared" ca="1" si="51"/>
        <v/>
      </c>
      <c r="HT29" s="1213" t="str">
        <f t="shared" ca="1" si="52"/>
        <v/>
      </c>
      <c r="HU29" s="1214"/>
      <c r="HV29" s="1200" t="str">
        <f ca="1">IF(COUNTIF(HV$10:HV28,OFFSET(A1_原単位2024,29,HL29+2))&gt;=1,"",OFFSET(A1_原単位2024,29,HL29+2)&amp;"")</f>
        <v/>
      </c>
      <c r="HW29" s="1212" t="str">
        <f t="shared" ca="1" si="53"/>
        <v/>
      </c>
      <c r="HX29" s="1213" t="str">
        <f t="shared" ca="1" si="54"/>
        <v/>
      </c>
      <c r="HY29" s="1214"/>
      <c r="HZ29" s="1200" t="str">
        <f ca="1">IF(COUNTIF(HZ$10:HZ28,OFFSET(A1_原単位2024,41,HL29+2))&gt;=1,"",OFFSET(A1_原単位2024,41,HL29+2)&amp;"")</f>
        <v/>
      </c>
      <c r="IA29" s="1215" t="str">
        <f t="shared" ca="1" si="55"/>
        <v/>
      </c>
      <c r="IB29" s="1216" t="str">
        <f t="shared" ca="1" si="56"/>
        <v/>
      </c>
      <c r="IE29" s="365" t="str">
        <f t="shared" ca="1" si="57"/>
        <v/>
      </c>
      <c r="IF29" s="365" t="str">
        <f t="shared" ca="1" si="58"/>
        <v/>
      </c>
      <c r="IG29" s="365" t="str">
        <f t="shared" ca="1" si="59"/>
        <v/>
      </c>
      <c r="IH29" s="365" t="str">
        <f t="shared" ca="1" si="60"/>
        <v/>
      </c>
    </row>
    <row r="30" spans="1:242" ht="19.8">
      <c r="A30" s="37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399">
        <f t="shared" si="63"/>
        <v>0</v>
      </c>
      <c r="HD30" s="402">
        <f t="shared" si="62"/>
        <v>0</v>
      </c>
      <c r="HE30" s="402">
        <f t="shared" si="62"/>
        <v>0</v>
      </c>
      <c r="HF30" s="401"/>
      <c r="HG30" s="399">
        <f>SUM(SUMIFS(K30:HB30,$K$13:$HB$13,{"エネルギー管理指定工場等*","県域*"}))</f>
        <v>0</v>
      </c>
      <c r="HH30" s="402">
        <f>SUM(SUMIFS(L30:HC30,$K$13:$HB$13,{"エネルギー管理指定工場等*","県域*"}))</f>
        <v>0</v>
      </c>
      <c r="HI30" s="402">
        <f>SUM(SUMIFS(M30:HD30,$K$13:$HB$13,{"エネルギー管理指定工場等*","県域*"}))</f>
        <v>0</v>
      </c>
      <c r="HJ30" s="401"/>
      <c r="HL30" s="387">
        <v>21</v>
      </c>
      <c r="HM30" s="1189"/>
      <c r="HN30" s="1200" t="str">
        <f ca="1">IF(COUNTIF(HN$10:HN29,OFFSET(A1_原単位2024,5,HL30+2))&gt;=1,"",OFFSET(A1_原単位2024,5,HL30+2)&amp;"")</f>
        <v/>
      </c>
      <c r="HO30" s="1204" t="str">
        <f t="shared" ca="1" si="49"/>
        <v/>
      </c>
      <c r="HP30" s="1205" t="str">
        <f t="shared" ca="1" si="50"/>
        <v/>
      </c>
      <c r="HQ30" s="1189"/>
      <c r="HR30" s="1200" t="str">
        <f ca="1">IF(COUNTIF(HR$10:HR29,OFFSET(A1_原単位2024,17,HL30+2))&gt;=1,"",OFFSET(A1_原単位2024,17,HL30+2)&amp;"")</f>
        <v/>
      </c>
      <c r="HS30" s="1212" t="str">
        <f t="shared" ca="1" si="51"/>
        <v/>
      </c>
      <c r="HT30" s="1213" t="str">
        <f t="shared" ca="1" si="52"/>
        <v/>
      </c>
      <c r="HU30" s="1214"/>
      <c r="HV30" s="1200" t="str">
        <f ca="1">IF(COUNTIF(HV$10:HV29,OFFSET(A1_原単位2024,29,HL30+2))&gt;=1,"",OFFSET(A1_原単位2024,29,HL30+2)&amp;"")</f>
        <v/>
      </c>
      <c r="HW30" s="1212" t="str">
        <f t="shared" ca="1" si="53"/>
        <v/>
      </c>
      <c r="HX30" s="1213" t="str">
        <f t="shared" ca="1" si="54"/>
        <v/>
      </c>
      <c r="HY30" s="1214"/>
      <c r="HZ30" s="1200" t="str">
        <f ca="1">IF(COUNTIF(HZ$10:HZ29,OFFSET(A1_原単位2024,41,HL30+2))&gt;=1,"",OFFSET(A1_原単位2024,41,HL30+2)&amp;"")</f>
        <v/>
      </c>
      <c r="IA30" s="1215" t="str">
        <f t="shared" ca="1" si="55"/>
        <v/>
      </c>
      <c r="IB30" s="1216" t="str">
        <f t="shared" ca="1" si="56"/>
        <v/>
      </c>
      <c r="IE30" s="365" t="str">
        <f t="shared" ca="1" si="57"/>
        <v/>
      </c>
      <c r="IF30" s="365" t="str">
        <f t="shared" ca="1" si="58"/>
        <v/>
      </c>
      <c r="IG30" s="365" t="str">
        <f t="shared" ca="1" si="59"/>
        <v/>
      </c>
      <c r="IH30" s="365" t="str">
        <f t="shared" ca="1" si="60"/>
        <v/>
      </c>
    </row>
    <row r="31" spans="1:242" ht="19.8">
      <c r="A31" s="37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399">
        <f t="shared" si="63"/>
        <v>0</v>
      </c>
      <c r="HD31" s="402">
        <f t="shared" si="62"/>
        <v>0</v>
      </c>
      <c r="HE31" s="402">
        <f t="shared" si="62"/>
        <v>0</v>
      </c>
      <c r="HF31" s="401"/>
      <c r="HG31" s="399">
        <f>SUM(SUMIFS(K31:HB31,$K$13:$HB$13,{"エネルギー管理指定工場等*","県域*"}))</f>
        <v>0</v>
      </c>
      <c r="HH31" s="402">
        <f>SUM(SUMIFS(L31:HC31,$K$13:$HB$13,{"エネルギー管理指定工場等*","県域*"}))</f>
        <v>0</v>
      </c>
      <c r="HI31" s="402">
        <f>SUM(SUMIFS(M31:HD31,$K$13:$HB$13,{"エネルギー管理指定工場等*","県域*"}))</f>
        <v>0</v>
      </c>
      <c r="HJ31" s="401"/>
      <c r="HL31" s="387">
        <v>22</v>
      </c>
      <c r="HM31" s="1189"/>
      <c r="HN31" s="1200" t="str">
        <f ca="1">IF(COUNTIF(HN$10:HN30,OFFSET(A1_原単位2024,5,HL31+2))&gt;=1,"",OFFSET(A1_原単位2024,5,HL31+2)&amp;"")</f>
        <v/>
      </c>
      <c r="HO31" s="1204" t="str">
        <f t="shared" ca="1" si="49"/>
        <v/>
      </c>
      <c r="HP31" s="1205" t="str">
        <f t="shared" ca="1" si="50"/>
        <v/>
      </c>
      <c r="HQ31" s="1189"/>
      <c r="HR31" s="1200" t="str">
        <f ca="1">IF(COUNTIF(HR$10:HR30,OFFSET(A1_原単位2024,17,HL31+2))&gt;=1,"",OFFSET(A1_原単位2024,17,HL31+2)&amp;"")</f>
        <v/>
      </c>
      <c r="HS31" s="1212" t="str">
        <f t="shared" ca="1" si="51"/>
        <v/>
      </c>
      <c r="HT31" s="1213" t="str">
        <f t="shared" ca="1" si="52"/>
        <v/>
      </c>
      <c r="HU31" s="1214"/>
      <c r="HV31" s="1200" t="str">
        <f ca="1">IF(COUNTIF(HV$10:HV30,OFFSET(A1_原単位2024,29,HL31+2))&gt;=1,"",OFFSET(A1_原単位2024,29,HL31+2)&amp;"")</f>
        <v/>
      </c>
      <c r="HW31" s="1212" t="str">
        <f t="shared" ca="1" si="53"/>
        <v/>
      </c>
      <c r="HX31" s="1213" t="str">
        <f t="shared" ca="1" si="54"/>
        <v/>
      </c>
      <c r="HY31" s="1214"/>
      <c r="HZ31" s="1200" t="str">
        <f ca="1">IF(COUNTIF(HZ$10:HZ30,OFFSET(A1_原単位2024,41,HL31+2))&gt;=1,"",OFFSET(A1_原単位2024,41,HL31+2)&amp;"")</f>
        <v/>
      </c>
      <c r="IA31" s="1215" t="str">
        <f t="shared" ca="1" si="55"/>
        <v/>
      </c>
      <c r="IB31" s="1216" t="str">
        <f t="shared" ca="1" si="56"/>
        <v/>
      </c>
      <c r="IE31" s="365" t="str">
        <f t="shared" ca="1" si="57"/>
        <v/>
      </c>
      <c r="IF31" s="365" t="str">
        <f t="shared" ca="1" si="58"/>
        <v/>
      </c>
      <c r="IG31" s="365" t="str">
        <f t="shared" ca="1" si="59"/>
        <v/>
      </c>
      <c r="IH31" s="365" t="str">
        <f t="shared" ca="1" si="60"/>
        <v/>
      </c>
    </row>
    <row r="32" spans="1:242" ht="19.8">
      <c r="A32" s="37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399">
        <f t="shared" si="63"/>
        <v>0</v>
      </c>
      <c r="HD32" s="402">
        <f t="shared" si="62"/>
        <v>0</v>
      </c>
      <c r="HE32" s="402">
        <f t="shared" si="62"/>
        <v>0</v>
      </c>
      <c r="HF32" s="401"/>
      <c r="HG32" s="399">
        <f>SUM(SUMIFS(K32:HB32,$K$13:$HB$13,{"エネルギー管理指定工場等*","県域*"}))</f>
        <v>0</v>
      </c>
      <c r="HH32" s="402">
        <f>SUM(SUMIFS(L32:HC32,$K$13:$HB$13,{"エネルギー管理指定工場等*","県域*"}))</f>
        <v>0</v>
      </c>
      <c r="HI32" s="402">
        <f>SUM(SUMIFS(M32:HD32,$K$13:$HB$13,{"エネルギー管理指定工場等*","県域*"}))</f>
        <v>0</v>
      </c>
      <c r="HJ32" s="401"/>
      <c r="HL32" s="388">
        <v>23</v>
      </c>
      <c r="HM32" s="1189"/>
      <c r="HN32" s="1200" t="str">
        <f ca="1">IF(COUNTIF(HN$10:HN31,OFFSET(A1_原単位2024,5,HL32+2))&gt;=1,"",OFFSET(A1_原単位2024,5,HL32+2)&amp;"")</f>
        <v/>
      </c>
      <c r="HO32" s="1204" t="str">
        <f t="shared" ca="1" si="49"/>
        <v/>
      </c>
      <c r="HP32" s="1205" t="str">
        <f t="shared" ca="1" si="50"/>
        <v/>
      </c>
      <c r="HQ32" s="1189"/>
      <c r="HR32" s="1200" t="str">
        <f ca="1">IF(COUNTIF(HR$10:HR31,OFFSET(A1_原単位2024,17,HL32+2))&gt;=1,"",OFFSET(A1_原単位2024,17,HL32+2)&amp;"")</f>
        <v/>
      </c>
      <c r="HS32" s="1212" t="str">
        <f t="shared" ca="1" si="51"/>
        <v/>
      </c>
      <c r="HT32" s="1213" t="str">
        <f t="shared" ca="1" si="52"/>
        <v/>
      </c>
      <c r="HU32" s="1214"/>
      <c r="HV32" s="1200" t="str">
        <f ca="1">IF(COUNTIF(HV$10:HV31,OFFSET(A1_原単位2024,29,HL32+2))&gt;=1,"",OFFSET(A1_原単位2024,29,HL32+2)&amp;"")</f>
        <v/>
      </c>
      <c r="HW32" s="1212" t="str">
        <f t="shared" ca="1" si="53"/>
        <v/>
      </c>
      <c r="HX32" s="1213" t="str">
        <f t="shared" ca="1" si="54"/>
        <v/>
      </c>
      <c r="HY32" s="1214"/>
      <c r="HZ32" s="1200" t="str">
        <f ca="1">IF(COUNTIF(HZ$10:HZ31,OFFSET(A1_原単位2024,41,HL32+2))&gt;=1,"",OFFSET(A1_原単位2024,41,HL32+2)&amp;"")</f>
        <v/>
      </c>
      <c r="IA32" s="1215" t="str">
        <f t="shared" ca="1" si="55"/>
        <v/>
      </c>
      <c r="IB32" s="1216" t="str">
        <f t="shared" ca="1" si="56"/>
        <v/>
      </c>
      <c r="IE32" s="365" t="str">
        <f t="shared" ca="1" si="57"/>
        <v/>
      </c>
      <c r="IF32" s="365" t="str">
        <f t="shared" ca="1" si="58"/>
        <v/>
      </c>
      <c r="IG32" s="365" t="str">
        <f t="shared" ca="1" si="59"/>
        <v/>
      </c>
      <c r="IH32" s="365" t="str">
        <f t="shared" ca="1" si="60"/>
        <v/>
      </c>
    </row>
    <row r="33" spans="1:242" ht="19.8">
      <c r="A33" s="37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399">
        <f t="shared" si="63"/>
        <v>0</v>
      </c>
      <c r="HD33" s="402">
        <f t="shared" si="63"/>
        <v>0</v>
      </c>
      <c r="HE33" s="402">
        <f t="shared" si="63"/>
        <v>0</v>
      </c>
      <c r="HF33" s="401"/>
      <c r="HG33" s="399">
        <f>SUM(SUMIFS(K33:HB33,$K$13:$HB$13,{"エネルギー管理指定工場等*","県域*"}))</f>
        <v>0</v>
      </c>
      <c r="HH33" s="402">
        <f>SUM(SUMIFS(L33:HC33,$K$13:$HB$13,{"エネルギー管理指定工場等*","県域*"}))</f>
        <v>0</v>
      </c>
      <c r="HI33" s="402">
        <f>SUM(SUMIFS(M33:HD33,$K$13:$HB$13,{"エネルギー管理指定工場等*","県域*"}))</f>
        <v>0</v>
      </c>
      <c r="HJ33" s="401"/>
      <c r="HL33" s="387">
        <v>24</v>
      </c>
      <c r="HM33" s="1189"/>
      <c r="HN33" s="1200" t="str">
        <f ca="1">IF(COUNTIF(HN$10:HN32,OFFSET(A1_原単位2024,5,HL33+2))&gt;=1,"",OFFSET(A1_原単位2024,5,HL33+2)&amp;"")</f>
        <v/>
      </c>
      <c r="HO33" s="1204" t="str">
        <f t="shared" ca="1" si="49"/>
        <v/>
      </c>
      <c r="HP33" s="1205" t="str">
        <f t="shared" ca="1" si="50"/>
        <v/>
      </c>
      <c r="HQ33" s="1189"/>
      <c r="HR33" s="1200" t="str">
        <f ca="1">IF(COUNTIF(HR$10:HR32,OFFSET(A1_原単位2024,17,HL33+2))&gt;=1,"",OFFSET(A1_原単位2024,17,HL33+2)&amp;"")</f>
        <v/>
      </c>
      <c r="HS33" s="1212" t="str">
        <f t="shared" ca="1" si="51"/>
        <v/>
      </c>
      <c r="HT33" s="1213" t="str">
        <f t="shared" ca="1" si="52"/>
        <v/>
      </c>
      <c r="HU33" s="1214"/>
      <c r="HV33" s="1200" t="str">
        <f ca="1">IF(COUNTIF(HV$10:HV32,OFFSET(A1_原単位2024,29,HL33+2))&gt;=1,"",OFFSET(A1_原単位2024,29,HL33+2)&amp;"")</f>
        <v/>
      </c>
      <c r="HW33" s="1212" t="str">
        <f t="shared" ca="1" si="53"/>
        <v/>
      </c>
      <c r="HX33" s="1213" t="str">
        <f t="shared" ca="1" si="54"/>
        <v/>
      </c>
      <c r="HY33" s="1214"/>
      <c r="HZ33" s="1200" t="str">
        <f ca="1">IF(COUNTIF(HZ$10:HZ32,OFFSET(A1_原単位2024,41,HL33+2))&gt;=1,"",OFFSET(A1_原単位2024,41,HL33+2)&amp;"")</f>
        <v/>
      </c>
      <c r="IA33" s="1215" t="str">
        <f t="shared" ca="1" si="55"/>
        <v/>
      </c>
      <c r="IB33" s="1216" t="str">
        <f t="shared" ca="1" si="56"/>
        <v/>
      </c>
      <c r="IE33" s="365" t="str">
        <f t="shared" ca="1" si="57"/>
        <v/>
      </c>
      <c r="IF33" s="365" t="str">
        <f t="shared" ca="1" si="58"/>
        <v/>
      </c>
      <c r="IG33" s="365" t="str">
        <f t="shared" ca="1" si="59"/>
        <v/>
      </c>
      <c r="IH33" s="365" t="str">
        <f t="shared" ca="1" si="60"/>
        <v/>
      </c>
    </row>
    <row r="34" spans="1:242" ht="19.8">
      <c r="A34" s="37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399">
        <f t="shared" si="63"/>
        <v>0</v>
      </c>
      <c r="HD34" s="402">
        <f t="shared" si="63"/>
        <v>0</v>
      </c>
      <c r="HE34" s="402">
        <f t="shared" si="63"/>
        <v>0</v>
      </c>
      <c r="HF34" s="401"/>
      <c r="HG34" s="399">
        <f>SUM(SUMIFS(K34:HB34,$K$13:$HB$13,{"エネルギー管理指定工場等*","県域*"}))</f>
        <v>0</v>
      </c>
      <c r="HH34" s="402">
        <f>SUM(SUMIFS(L34:HC34,$K$13:$HB$13,{"エネルギー管理指定工場等*","県域*"}))</f>
        <v>0</v>
      </c>
      <c r="HI34" s="402">
        <f>SUM(SUMIFS(M34:HD34,$K$13:$HB$13,{"エネルギー管理指定工場等*","県域*"}))</f>
        <v>0</v>
      </c>
      <c r="HJ34" s="401"/>
      <c r="HL34" s="388">
        <v>25</v>
      </c>
      <c r="HM34" s="1189"/>
      <c r="HN34" s="1200" t="str">
        <f ca="1">IF(COUNTIF(HN$10:HN33,OFFSET(A1_原単位2024,5,HL34+2))&gt;=1,"",OFFSET(A1_原単位2024,5,HL34+2)&amp;"")</f>
        <v/>
      </c>
      <c r="HO34" s="1204" t="str">
        <f t="shared" ca="1" si="49"/>
        <v/>
      </c>
      <c r="HP34" s="1205" t="str">
        <f t="shared" ca="1" si="50"/>
        <v/>
      </c>
      <c r="HQ34" s="1189"/>
      <c r="HR34" s="1200" t="str">
        <f ca="1">IF(COUNTIF(HR$10:HR33,OFFSET(A1_原単位2024,17,HL34+2))&gt;=1,"",OFFSET(A1_原単位2024,17,HL34+2)&amp;"")</f>
        <v/>
      </c>
      <c r="HS34" s="1212" t="str">
        <f t="shared" ca="1" si="51"/>
        <v/>
      </c>
      <c r="HT34" s="1213" t="str">
        <f t="shared" ca="1" si="52"/>
        <v/>
      </c>
      <c r="HU34" s="1214"/>
      <c r="HV34" s="1200" t="str">
        <f ca="1">IF(COUNTIF(HV$10:HV33,OFFSET(A1_原単位2024,29,HL34+2))&gt;=1,"",OFFSET(A1_原単位2024,29,HL34+2)&amp;"")</f>
        <v/>
      </c>
      <c r="HW34" s="1212" t="str">
        <f t="shared" ca="1" si="53"/>
        <v/>
      </c>
      <c r="HX34" s="1213" t="str">
        <f t="shared" ca="1" si="54"/>
        <v/>
      </c>
      <c r="HY34" s="1214"/>
      <c r="HZ34" s="1200" t="str">
        <f ca="1">IF(COUNTIF(HZ$10:HZ33,OFFSET(A1_原単位2024,41,HL34+2))&gt;=1,"",OFFSET(A1_原単位2024,41,HL34+2)&amp;"")</f>
        <v/>
      </c>
      <c r="IA34" s="1215" t="str">
        <f t="shared" ca="1" si="55"/>
        <v/>
      </c>
      <c r="IB34" s="1216" t="str">
        <f t="shared" ca="1" si="56"/>
        <v/>
      </c>
      <c r="IE34" s="365" t="str">
        <f t="shared" ca="1" si="57"/>
        <v/>
      </c>
      <c r="IF34" s="365" t="str">
        <f t="shared" ca="1" si="58"/>
        <v/>
      </c>
      <c r="IG34" s="365" t="str">
        <f t="shared" ca="1" si="59"/>
        <v/>
      </c>
      <c r="IH34" s="365" t="str">
        <f t="shared" ca="1" si="60"/>
        <v/>
      </c>
    </row>
    <row r="35" spans="1:242" ht="19.8">
      <c r="A35" s="37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399">
        <f t="shared" si="63"/>
        <v>0</v>
      </c>
      <c r="HD35" s="402">
        <f t="shared" si="63"/>
        <v>0</v>
      </c>
      <c r="HE35" s="402">
        <f t="shared" si="63"/>
        <v>0</v>
      </c>
      <c r="HF35" s="401"/>
      <c r="HG35" s="399">
        <f>SUM(SUMIFS(K35:HB35,$K$13:$HB$13,{"エネルギー管理指定工場等*","県域*"}))</f>
        <v>0</v>
      </c>
      <c r="HH35" s="402">
        <f>SUM(SUMIFS(L35:HC35,$K$13:$HB$13,{"エネルギー管理指定工場等*","県域*"}))</f>
        <v>0</v>
      </c>
      <c r="HI35" s="402">
        <f>SUM(SUMIFS(M35:HD35,$K$13:$HB$13,{"エネルギー管理指定工場等*","県域*"}))</f>
        <v>0</v>
      </c>
      <c r="HJ35" s="401"/>
      <c r="HL35" s="387">
        <v>26</v>
      </c>
      <c r="HM35" s="1189"/>
      <c r="HN35" s="1200" t="str">
        <f ca="1">IF(COUNTIF(HN$10:HN34,OFFSET(A1_原単位2024,5,HL35+2))&gt;=1,"",OFFSET(A1_原単位2024,5,HL35+2)&amp;"")</f>
        <v/>
      </c>
      <c r="HO35" s="1204" t="str">
        <f t="shared" ca="1" si="49"/>
        <v/>
      </c>
      <c r="HP35" s="1205" t="str">
        <f t="shared" ca="1" si="50"/>
        <v/>
      </c>
      <c r="HQ35" s="1189"/>
      <c r="HR35" s="1200" t="str">
        <f ca="1">IF(COUNTIF(HR$10:HR34,OFFSET(A1_原単位2024,17,HL35+2))&gt;=1,"",OFFSET(A1_原単位2024,17,HL35+2)&amp;"")</f>
        <v/>
      </c>
      <c r="HS35" s="1212" t="str">
        <f t="shared" ca="1" si="51"/>
        <v/>
      </c>
      <c r="HT35" s="1213" t="str">
        <f t="shared" ca="1" si="52"/>
        <v/>
      </c>
      <c r="HU35" s="1214"/>
      <c r="HV35" s="1200" t="str">
        <f ca="1">IF(COUNTIF(HV$10:HV34,OFFSET(A1_原単位2024,29,HL35+2))&gt;=1,"",OFFSET(A1_原単位2024,29,HL35+2)&amp;"")</f>
        <v/>
      </c>
      <c r="HW35" s="1212" t="str">
        <f t="shared" ca="1" si="53"/>
        <v/>
      </c>
      <c r="HX35" s="1213" t="str">
        <f t="shared" ca="1" si="54"/>
        <v/>
      </c>
      <c r="HY35" s="1214"/>
      <c r="HZ35" s="1200" t="str">
        <f ca="1">IF(COUNTIF(HZ$10:HZ34,OFFSET(A1_原単位2024,41,HL35+2))&gt;=1,"",OFFSET(A1_原単位2024,41,HL35+2)&amp;"")</f>
        <v/>
      </c>
      <c r="IA35" s="1215" t="str">
        <f t="shared" ca="1" si="55"/>
        <v/>
      </c>
      <c r="IB35" s="1216" t="str">
        <f t="shared" ca="1" si="56"/>
        <v/>
      </c>
      <c r="IE35" s="365" t="str">
        <f t="shared" ca="1" si="57"/>
        <v/>
      </c>
      <c r="IF35" s="365" t="str">
        <f t="shared" ca="1" si="58"/>
        <v/>
      </c>
      <c r="IG35" s="365" t="str">
        <f t="shared" ca="1" si="59"/>
        <v/>
      </c>
      <c r="IH35" s="365" t="str">
        <f t="shared" ca="1" si="60"/>
        <v/>
      </c>
    </row>
    <row r="36" spans="1:242" ht="19.8">
      <c r="A36" s="37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399">
        <f t="shared" si="63"/>
        <v>0</v>
      </c>
      <c r="HD36" s="402">
        <f t="shared" si="63"/>
        <v>0</v>
      </c>
      <c r="HE36" s="402">
        <f t="shared" si="63"/>
        <v>0</v>
      </c>
      <c r="HF36" s="401"/>
      <c r="HG36" s="399">
        <f>SUM(SUMIFS(K36:HB36,$K$13:$HB$13,{"エネルギー管理指定工場等*","県域*"}))</f>
        <v>0</v>
      </c>
      <c r="HH36" s="402">
        <f>SUM(SUMIFS(L36:HC36,$K$13:$HB$13,{"エネルギー管理指定工場等*","県域*"}))</f>
        <v>0</v>
      </c>
      <c r="HI36" s="402">
        <f>SUM(SUMIFS(M36:HD36,$K$13:$HB$13,{"エネルギー管理指定工場等*","県域*"}))</f>
        <v>0</v>
      </c>
      <c r="HJ36" s="401"/>
      <c r="HL36" s="388">
        <v>27</v>
      </c>
      <c r="HM36" s="1189"/>
      <c r="HN36" s="1200" t="str">
        <f ca="1">IF(COUNTIF(HN$10:HN35,OFFSET(A1_原単位2024,5,HL36+2))&gt;=1,"",OFFSET(A1_原単位2024,5,HL36+2)&amp;"")</f>
        <v/>
      </c>
      <c r="HO36" s="1204" t="str">
        <f t="shared" ca="1" si="49"/>
        <v/>
      </c>
      <c r="HP36" s="1205" t="str">
        <f t="shared" ca="1" si="50"/>
        <v/>
      </c>
      <c r="HQ36" s="1189"/>
      <c r="HR36" s="1200" t="str">
        <f ca="1">IF(COUNTIF(HR$10:HR35,OFFSET(A1_原単位2024,17,HL36+2))&gt;=1,"",OFFSET(A1_原単位2024,17,HL36+2)&amp;"")</f>
        <v/>
      </c>
      <c r="HS36" s="1212" t="str">
        <f t="shared" ca="1" si="51"/>
        <v/>
      </c>
      <c r="HT36" s="1213" t="str">
        <f t="shared" ca="1" si="52"/>
        <v/>
      </c>
      <c r="HU36" s="1214"/>
      <c r="HV36" s="1200" t="str">
        <f ca="1">IF(COUNTIF(HV$10:HV35,OFFSET(A1_原単位2024,29,HL36+2))&gt;=1,"",OFFSET(A1_原単位2024,29,HL36+2)&amp;"")</f>
        <v/>
      </c>
      <c r="HW36" s="1212" t="str">
        <f t="shared" ca="1" si="53"/>
        <v/>
      </c>
      <c r="HX36" s="1213" t="str">
        <f t="shared" ca="1" si="54"/>
        <v/>
      </c>
      <c r="HY36" s="1214"/>
      <c r="HZ36" s="1200" t="str">
        <f ca="1">IF(COUNTIF(HZ$10:HZ35,OFFSET(A1_原単位2024,41,HL36+2))&gt;=1,"",OFFSET(A1_原単位2024,41,HL36+2)&amp;"")</f>
        <v/>
      </c>
      <c r="IA36" s="1215" t="str">
        <f t="shared" ca="1" si="55"/>
        <v/>
      </c>
      <c r="IB36" s="1216" t="str">
        <f t="shared" ca="1" si="56"/>
        <v/>
      </c>
      <c r="IE36" s="365" t="str">
        <f t="shared" ca="1" si="57"/>
        <v/>
      </c>
      <c r="IF36" s="365" t="str">
        <f t="shared" ca="1" si="58"/>
        <v/>
      </c>
      <c r="IG36" s="365" t="str">
        <f t="shared" ca="1" si="59"/>
        <v/>
      </c>
      <c r="IH36" s="365" t="str">
        <f t="shared" ca="1" si="60"/>
        <v/>
      </c>
    </row>
    <row r="37" spans="1:242" ht="19.8">
      <c r="A37" s="37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399">
        <f t="shared" si="63"/>
        <v>0</v>
      </c>
      <c r="HD37" s="402">
        <f t="shared" si="63"/>
        <v>0</v>
      </c>
      <c r="HE37" s="402">
        <f t="shared" si="63"/>
        <v>0</v>
      </c>
      <c r="HF37" s="401"/>
      <c r="HG37" s="399">
        <f>SUM(SUMIFS(K37:HB37,$K$13:$HB$13,{"エネルギー管理指定工場等*","県域*"}))</f>
        <v>0</v>
      </c>
      <c r="HH37" s="402">
        <f>SUM(SUMIFS(L37:HC37,$K$13:$HB$13,{"エネルギー管理指定工場等*","県域*"}))</f>
        <v>0</v>
      </c>
      <c r="HI37" s="402">
        <f>SUM(SUMIFS(M37:HD37,$K$13:$HB$13,{"エネルギー管理指定工場等*","県域*"}))</f>
        <v>0</v>
      </c>
      <c r="HJ37" s="401"/>
      <c r="HL37" s="387">
        <v>28</v>
      </c>
      <c r="HM37" s="1189"/>
      <c r="HN37" s="1200" t="str">
        <f ca="1">IF(COUNTIF(HN$10:HN36,OFFSET(A1_原単位2024,5,HL37+2))&gt;=1,"",OFFSET(A1_原単位2024,5,HL37+2)&amp;"")</f>
        <v/>
      </c>
      <c r="HO37" s="1204" t="str">
        <f t="shared" ca="1" si="49"/>
        <v/>
      </c>
      <c r="HP37" s="1205" t="str">
        <f t="shared" ca="1" si="50"/>
        <v/>
      </c>
      <c r="HQ37" s="1189"/>
      <c r="HR37" s="1200" t="str">
        <f ca="1">IF(COUNTIF(HR$10:HR36,OFFSET(A1_原単位2024,17,HL37+2))&gt;=1,"",OFFSET(A1_原単位2024,17,HL37+2)&amp;"")</f>
        <v/>
      </c>
      <c r="HS37" s="1212" t="str">
        <f t="shared" ca="1" si="51"/>
        <v/>
      </c>
      <c r="HT37" s="1213" t="str">
        <f t="shared" ca="1" si="52"/>
        <v/>
      </c>
      <c r="HU37" s="1214"/>
      <c r="HV37" s="1200" t="str">
        <f ca="1">IF(COUNTIF(HV$10:HV36,OFFSET(A1_原単位2024,29,HL37+2))&gt;=1,"",OFFSET(A1_原単位2024,29,HL37+2)&amp;"")</f>
        <v/>
      </c>
      <c r="HW37" s="1212" t="str">
        <f t="shared" ca="1" si="53"/>
        <v/>
      </c>
      <c r="HX37" s="1213" t="str">
        <f t="shared" ca="1" si="54"/>
        <v/>
      </c>
      <c r="HY37" s="1214"/>
      <c r="HZ37" s="1200" t="str">
        <f ca="1">IF(COUNTIF(HZ$10:HZ36,OFFSET(A1_原単位2024,41,HL37+2))&gt;=1,"",OFFSET(A1_原単位2024,41,HL37+2)&amp;"")</f>
        <v/>
      </c>
      <c r="IA37" s="1215" t="str">
        <f t="shared" ca="1" si="55"/>
        <v/>
      </c>
      <c r="IB37" s="1216" t="str">
        <f t="shared" ca="1" si="56"/>
        <v/>
      </c>
      <c r="IE37" s="365" t="str">
        <f t="shared" ca="1" si="57"/>
        <v/>
      </c>
      <c r="IF37" s="365" t="str">
        <f t="shared" ca="1" si="58"/>
        <v/>
      </c>
      <c r="IG37" s="365" t="str">
        <f t="shared" ca="1" si="59"/>
        <v/>
      </c>
      <c r="IH37" s="365" t="str">
        <f t="shared" ca="1" si="60"/>
        <v/>
      </c>
    </row>
    <row r="38" spans="1:242" ht="19.8">
      <c r="A38" s="37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399">
        <f t="shared" si="63"/>
        <v>0</v>
      </c>
      <c r="HD38" s="402">
        <f t="shared" si="63"/>
        <v>0</v>
      </c>
      <c r="HE38" s="402">
        <f t="shared" si="63"/>
        <v>0</v>
      </c>
      <c r="HF38" s="401"/>
      <c r="HG38" s="399">
        <f>SUM(SUMIFS(K38:HB38,$K$13:$HB$13,{"エネルギー管理指定工場等*","県域*"}))</f>
        <v>0</v>
      </c>
      <c r="HH38" s="402">
        <f>SUM(SUMIFS(L38:HC38,$K$13:$HB$13,{"エネルギー管理指定工場等*","県域*"}))</f>
        <v>0</v>
      </c>
      <c r="HI38" s="402">
        <f>SUM(SUMIFS(M38:HD38,$K$13:$HB$13,{"エネルギー管理指定工場等*","県域*"}))</f>
        <v>0</v>
      </c>
      <c r="HJ38" s="401"/>
      <c r="HL38" s="387">
        <v>29</v>
      </c>
      <c r="HM38" s="1189"/>
      <c r="HN38" s="1200" t="str">
        <f ca="1">IF(COUNTIF(HN$10:HN37,OFFSET(A1_原単位2024,5,HL38+2))&gt;=1,"",OFFSET(A1_原単位2024,5,HL38+2)&amp;"")</f>
        <v/>
      </c>
      <c r="HO38" s="1204" t="str">
        <f t="shared" ca="1" si="49"/>
        <v/>
      </c>
      <c r="HP38" s="1205" t="str">
        <f t="shared" ca="1" si="50"/>
        <v/>
      </c>
      <c r="HQ38" s="1189"/>
      <c r="HR38" s="1200" t="str">
        <f ca="1">IF(COUNTIF(HR$10:HR37,OFFSET(A1_原単位2024,17,HL38+2))&gt;=1,"",OFFSET(A1_原単位2024,17,HL38+2)&amp;"")</f>
        <v/>
      </c>
      <c r="HS38" s="1212" t="str">
        <f t="shared" ca="1" si="51"/>
        <v/>
      </c>
      <c r="HT38" s="1213" t="str">
        <f t="shared" ca="1" si="52"/>
        <v/>
      </c>
      <c r="HU38" s="1214"/>
      <c r="HV38" s="1200" t="str">
        <f ca="1">IF(COUNTIF(HV$10:HV37,OFFSET(A1_原単位2024,29,HL38+2))&gt;=1,"",OFFSET(A1_原単位2024,29,HL38+2)&amp;"")</f>
        <v/>
      </c>
      <c r="HW38" s="1212" t="str">
        <f t="shared" ca="1" si="53"/>
        <v/>
      </c>
      <c r="HX38" s="1213" t="str">
        <f t="shared" ca="1" si="54"/>
        <v/>
      </c>
      <c r="HY38" s="1214"/>
      <c r="HZ38" s="1200" t="str">
        <f ca="1">IF(COUNTIF(HZ$10:HZ37,OFFSET(A1_原単位2024,41,HL38+2))&gt;=1,"",OFFSET(A1_原単位2024,41,HL38+2)&amp;"")</f>
        <v/>
      </c>
      <c r="IA38" s="1215" t="str">
        <f t="shared" ca="1" si="55"/>
        <v/>
      </c>
      <c r="IB38" s="1216" t="str">
        <f t="shared" ca="1" si="56"/>
        <v/>
      </c>
      <c r="IE38" s="365" t="str">
        <f t="shared" ca="1" si="57"/>
        <v/>
      </c>
      <c r="IF38" s="365" t="str">
        <f t="shared" ca="1" si="58"/>
        <v/>
      </c>
      <c r="IG38" s="365" t="str">
        <f t="shared" ca="1" si="59"/>
        <v/>
      </c>
      <c r="IH38" s="365" t="str">
        <f t="shared" ca="1" si="60"/>
        <v/>
      </c>
    </row>
    <row r="39" spans="1:242" ht="19.8">
      <c r="A39" s="37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399">
        <f t="shared" si="63"/>
        <v>0</v>
      </c>
      <c r="HD39" s="402">
        <f t="shared" si="63"/>
        <v>0</v>
      </c>
      <c r="HE39" s="402">
        <f t="shared" si="63"/>
        <v>0</v>
      </c>
      <c r="HF39" s="401"/>
      <c r="HG39" s="399">
        <f>SUM(SUMIFS(K39:HB39,$K$13:$HB$13,{"エネルギー管理指定工場等*","県域*"}))</f>
        <v>0</v>
      </c>
      <c r="HH39" s="402">
        <f>SUM(SUMIFS(L39:HC39,$K$13:$HB$13,{"エネルギー管理指定工場等*","県域*"}))</f>
        <v>0</v>
      </c>
      <c r="HI39" s="402">
        <f>SUM(SUMIFS(M39:HD39,$K$13:$HB$13,{"エネルギー管理指定工場等*","県域*"}))</f>
        <v>0</v>
      </c>
      <c r="HJ39" s="401"/>
      <c r="HL39" s="388">
        <v>30</v>
      </c>
      <c r="HM39" s="1189"/>
      <c r="HN39" s="1200" t="str">
        <f ca="1">IF(COUNTIF(HN$10:HN38,OFFSET(A1_原単位2024,5,HL39+2))&gt;=1,"",OFFSET(A1_原単位2024,5,HL39+2)&amp;"")</f>
        <v/>
      </c>
      <c r="HO39" s="1204" t="str">
        <f t="shared" ca="1" si="49"/>
        <v/>
      </c>
      <c r="HP39" s="1205" t="str">
        <f t="shared" ca="1" si="50"/>
        <v/>
      </c>
      <c r="HQ39" s="1189"/>
      <c r="HR39" s="1200" t="str">
        <f ca="1">IF(COUNTIF(HR$10:HR38,OFFSET(A1_原単位2024,17,HL39+2))&gt;=1,"",OFFSET(A1_原単位2024,17,HL39+2)&amp;"")</f>
        <v/>
      </c>
      <c r="HS39" s="1212" t="str">
        <f t="shared" ca="1" si="51"/>
        <v/>
      </c>
      <c r="HT39" s="1213" t="str">
        <f t="shared" ca="1" si="52"/>
        <v/>
      </c>
      <c r="HU39" s="1214"/>
      <c r="HV39" s="1200" t="str">
        <f ca="1">IF(COUNTIF(HV$10:HV38,OFFSET(A1_原単位2024,29,HL39+2))&gt;=1,"",OFFSET(A1_原単位2024,29,HL39+2)&amp;"")</f>
        <v/>
      </c>
      <c r="HW39" s="1212" t="str">
        <f t="shared" ca="1" si="53"/>
        <v/>
      </c>
      <c r="HX39" s="1213" t="str">
        <f t="shared" ca="1" si="54"/>
        <v/>
      </c>
      <c r="HY39" s="1214"/>
      <c r="HZ39" s="1200" t="str">
        <f ca="1">IF(COUNTIF(HZ$10:HZ38,OFFSET(A1_原単位2024,41,HL39+2))&gt;=1,"",OFFSET(A1_原単位2024,41,HL39+2)&amp;"")</f>
        <v/>
      </c>
      <c r="IA39" s="1215" t="str">
        <f t="shared" ca="1" si="55"/>
        <v/>
      </c>
      <c r="IB39" s="1216" t="str">
        <f t="shared" ca="1" si="56"/>
        <v/>
      </c>
      <c r="IE39" s="365" t="str">
        <f t="shared" ca="1" si="57"/>
        <v/>
      </c>
      <c r="IF39" s="365" t="str">
        <f t="shared" ca="1" si="58"/>
        <v/>
      </c>
      <c r="IG39" s="365" t="str">
        <f t="shared" ca="1" si="59"/>
        <v/>
      </c>
      <c r="IH39" s="365" t="str">
        <f t="shared" ca="1" si="60"/>
        <v/>
      </c>
    </row>
    <row r="40" spans="1:242" ht="19.8">
      <c r="A40" s="37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399">
        <f t="shared" si="63"/>
        <v>0</v>
      </c>
      <c r="HD40" s="402">
        <f t="shared" si="63"/>
        <v>0</v>
      </c>
      <c r="HE40" s="402">
        <f t="shared" si="63"/>
        <v>0</v>
      </c>
      <c r="HF40" s="401"/>
      <c r="HG40" s="399">
        <f>SUM(SUMIFS(K40:HB40,$K$13:$HB$13,{"エネルギー管理指定工場等*","県域*"}))</f>
        <v>0</v>
      </c>
      <c r="HH40" s="402">
        <f>SUM(SUMIFS(L40:HC40,$K$13:$HB$13,{"エネルギー管理指定工場等*","県域*"}))</f>
        <v>0</v>
      </c>
      <c r="HI40" s="402">
        <f>SUM(SUMIFS(M40:HD40,$K$13:$HB$13,{"エネルギー管理指定工場等*","県域*"}))</f>
        <v>0</v>
      </c>
      <c r="HJ40" s="401"/>
      <c r="HL40" s="387">
        <v>31</v>
      </c>
      <c r="HM40" s="1189"/>
      <c r="HN40" s="1200" t="str">
        <f ca="1">IF(COUNTIF(HN$10:HN39,OFFSET(A1_原単位2024,5,HL40+2))&gt;=1,"",OFFSET(A1_原単位2024,5,HL40+2)&amp;"")</f>
        <v/>
      </c>
      <c r="HO40" s="1204" t="str">
        <f t="shared" ca="1" si="49"/>
        <v/>
      </c>
      <c r="HP40" s="1205" t="str">
        <f t="shared" ca="1" si="50"/>
        <v/>
      </c>
      <c r="HQ40" s="1189"/>
      <c r="HR40" s="1200" t="str">
        <f ca="1">IF(COUNTIF(HR$10:HR39,OFFSET(A1_原単位2024,17,HL40+2))&gt;=1,"",OFFSET(A1_原単位2024,17,HL40+2)&amp;"")</f>
        <v/>
      </c>
      <c r="HS40" s="1212" t="str">
        <f t="shared" ca="1" si="51"/>
        <v/>
      </c>
      <c r="HT40" s="1213" t="str">
        <f t="shared" ca="1" si="52"/>
        <v/>
      </c>
      <c r="HU40" s="1214"/>
      <c r="HV40" s="1200" t="str">
        <f ca="1">IF(COUNTIF(HV$10:HV39,OFFSET(A1_原単位2024,29,HL40+2))&gt;=1,"",OFFSET(A1_原単位2024,29,HL40+2)&amp;"")</f>
        <v/>
      </c>
      <c r="HW40" s="1212" t="str">
        <f t="shared" ca="1" si="53"/>
        <v/>
      </c>
      <c r="HX40" s="1213" t="str">
        <f t="shared" ca="1" si="54"/>
        <v/>
      </c>
      <c r="HY40" s="1214"/>
      <c r="HZ40" s="1200" t="str">
        <f ca="1">IF(COUNTIF(HZ$10:HZ39,OFFSET(A1_原単位2024,41,HL40+2))&gt;=1,"",OFFSET(A1_原単位2024,41,HL40+2)&amp;"")</f>
        <v/>
      </c>
      <c r="IA40" s="1215" t="str">
        <f t="shared" ca="1" si="55"/>
        <v/>
      </c>
      <c r="IB40" s="1216" t="str">
        <f t="shared" ca="1" si="56"/>
        <v/>
      </c>
      <c r="IE40" s="365" t="str">
        <f t="shared" ca="1" si="57"/>
        <v/>
      </c>
      <c r="IF40" s="365" t="str">
        <f t="shared" ca="1" si="58"/>
        <v/>
      </c>
      <c r="IG40" s="365" t="str">
        <f t="shared" ca="1" si="59"/>
        <v/>
      </c>
      <c r="IH40" s="365" t="str">
        <f t="shared" ca="1" si="60"/>
        <v/>
      </c>
    </row>
    <row r="41" spans="1:242" ht="19.8">
      <c r="A41" s="37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399">
        <f t="shared" si="63"/>
        <v>0</v>
      </c>
      <c r="HD41" s="402">
        <f t="shared" si="63"/>
        <v>0</v>
      </c>
      <c r="HE41" s="402">
        <f t="shared" si="63"/>
        <v>0</v>
      </c>
      <c r="HF41" s="401"/>
      <c r="HG41" s="399">
        <f>SUM(SUMIFS(K41:HB41,$K$13:$HB$13,{"エネルギー管理指定工場等*","県域*"}))</f>
        <v>0</v>
      </c>
      <c r="HH41" s="402">
        <f>SUM(SUMIFS(L41:HC41,$K$13:$HB$13,{"エネルギー管理指定工場等*","県域*"}))</f>
        <v>0</v>
      </c>
      <c r="HI41" s="402">
        <f>SUM(SUMIFS(M41:HD41,$K$13:$HB$13,{"エネルギー管理指定工場等*","県域*"}))</f>
        <v>0</v>
      </c>
      <c r="HJ41" s="401"/>
      <c r="HL41" s="388">
        <v>32</v>
      </c>
      <c r="HM41" s="1189"/>
      <c r="HN41" s="1200" t="str">
        <f ca="1">IF(COUNTIF(HN$10:HN40,OFFSET(A1_原単位2024,5,HL41+2))&gt;=1,"",OFFSET(A1_原単位2024,5,HL41+2)&amp;"")</f>
        <v/>
      </c>
      <c r="HO41" s="1204" t="str">
        <f t="shared" ca="1" si="49"/>
        <v/>
      </c>
      <c r="HP41" s="1205" t="str">
        <f t="shared" ca="1" si="50"/>
        <v/>
      </c>
      <c r="HQ41" s="1189"/>
      <c r="HR41" s="1200" t="str">
        <f ca="1">IF(COUNTIF(HR$10:HR40,OFFSET(A1_原単位2024,17,HL41+2))&gt;=1,"",OFFSET(A1_原単位2024,17,HL41+2)&amp;"")</f>
        <v/>
      </c>
      <c r="HS41" s="1212" t="str">
        <f t="shared" ca="1" si="51"/>
        <v/>
      </c>
      <c r="HT41" s="1213" t="str">
        <f t="shared" ca="1" si="52"/>
        <v/>
      </c>
      <c r="HU41" s="1214"/>
      <c r="HV41" s="1200" t="str">
        <f ca="1">IF(COUNTIF(HV$10:HV40,OFFSET(A1_原単位2024,29,HL41+2))&gt;=1,"",OFFSET(A1_原単位2024,29,HL41+2)&amp;"")</f>
        <v/>
      </c>
      <c r="HW41" s="1212" t="str">
        <f t="shared" ca="1" si="53"/>
        <v/>
      </c>
      <c r="HX41" s="1213" t="str">
        <f t="shared" ca="1" si="54"/>
        <v/>
      </c>
      <c r="HY41" s="1214"/>
      <c r="HZ41" s="1200" t="str">
        <f ca="1">IF(COUNTIF(HZ$10:HZ40,OFFSET(A1_原単位2024,41,HL41+2))&gt;=1,"",OFFSET(A1_原単位2024,41,HL41+2)&amp;"")</f>
        <v/>
      </c>
      <c r="IA41" s="1215" t="str">
        <f t="shared" ca="1" si="55"/>
        <v/>
      </c>
      <c r="IB41" s="1216" t="str">
        <f t="shared" ca="1" si="56"/>
        <v/>
      </c>
      <c r="IE41" s="365" t="str">
        <f t="shared" ca="1" si="57"/>
        <v/>
      </c>
      <c r="IF41" s="365" t="str">
        <f t="shared" ca="1" si="58"/>
        <v/>
      </c>
      <c r="IG41" s="365" t="str">
        <f t="shared" ca="1" si="59"/>
        <v/>
      </c>
      <c r="IH41" s="365" t="str">
        <f t="shared" ca="1" si="60"/>
        <v/>
      </c>
    </row>
    <row r="42" spans="1:242" ht="19.8">
      <c r="A42" s="37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399">
        <f t="shared" si="63"/>
        <v>0</v>
      </c>
      <c r="HD42" s="402">
        <f t="shared" si="63"/>
        <v>0</v>
      </c>
      <c r="HE42" s="402">
        <f t="shared" si="63"/>
        <v>0</v>
      </c>
      <c r="HF42" s="401"/>
      <c r="HG42" s="399">
        <f>SUM(SUMIFS(K42:HB42,$K$13:$HB$13,{"エネルギー管理指定工場等*","県域*"}))</f>
        <v>0</v>
      </c>
      <c r="HH42" s="402">
        <f>SUM(SUMIFS(L42:HC42,$K$13:$HB$13,{"エネルギー管理指定工場等*","県域*"}))</f>
        <v>0</v>
      </c>
      <c r="HI42" s="402">
        <f>SUM(SUMIFS(M42:HD42,$K$13:$HB$13,{"エネルギー管理指定工場等*","県域*"}))</f>
        <v>0</v>
      </c>
      <c r="HJ42" s="401"/>
      <c r="HL42" s="387">
        <v>33</v>
      </c>
      <c r="HM42" s="1189"/>
      <c r="HN42" s="1200" t="str">
        <f ca="1">IF(COUNTIF(HN$10:HN41,OFFSET(A1_原単位2024,5,HL42+2))&gt;=1,"",OFFSET(A1_原単位2024,5,HL42+2)&amp;"")</f>
        <v/>
      </c>
      <c r="HO42" s="1204" t="str">
        <f t="shared" ref="HO42:HO59" ca="1" si="64">IF(HN42="","",HYPERLINK("#"&amp;IE42,"&lt;"&amp;IE42&amp;"&gt;"))</f>
        <v/>
      </c>
      <c r="HP42" s="1205" t="str">
        <f t="shared" ref="HP42:HP59" ca="1" si="65">IF(HN42="","",HYPERLINK("#"&amp;OFFSET(A1_原単位2024,66,$HL42+2),OFFSET(A1_原単位2024,62,$HL42+2)))</f>
        <v/>
      </c>
      <c r="HQ42" s="1189"/>
      <c r="HR42" s="1200" t="str">
        <f ca="1">IF(COUNTIF(HR$10:HR41,OFFSET(A1_原単位2024,17,HL42+2))&gt;=1,"",OFFSET(A1_原単位2024,17,HL42+2)&amp;"")</f>
        <v/>
      </c>
      <c r="HS42" s="1212" t="str">
        <f t="shared" ref="HS42:HS59" ca="1" si="66">IF(HR42="","",HYPERLINK("#"&amp;IF42,"&lt;"&amp;IF42&amp;"&gt;"))</f>
        <v/>
      </c>
      <c r="HT42" s="1213" t="str">
        <f t="shared" ref="HT42:HT59" ca="1" si="67">IF(HR42="","",HYPERLINK("#"&amp;OFFSET(A1_原単位2024,67,$HL42+2),OFFSET(A1_原単位2024,63,$HL42+2)))</f>
        <v/>
      </c>
      <c r="HU42" s="1214"/>
      <c r="HV42" s="1200" t="str">
        <f ca="1">IF(COUNTIF(HV$10:HV41,OFFSET(A1_原単位2024,29,HL42+2))&gt;=1,"",OFFSET(A1_原単位2024,29,HL42+2)&amp;"")</f>
        <v/>
      </c>
      <c r="HW42" s="1212" t="str">
        <f t="shared" ref="HW42:HW59" ca="1" si="68">IF(HV42="","",HYPERLINK("#"&amp;IG42,"&lt;"&amp;IG42&amp;"&gt;"))</f>
        <v/>
      </c>
      <c r="HX42" s="1213" t="str">
        <f t="shared" ref="HX42:HX59" ca="1" si="69">IF(HV42="","",HYPERLINK("#"&amp;OFFSET(A1_原単位2024,68,$HL42+2),OFFSET(A1_原単位2024,64,$HL42+2)))</f>
        <v/>
      </c>
      <c r="HY42" s="1214"/>
      <c r="HZ42" s="1200" t="str">
        <f ca="1">IF(COUNTIF(HZ$10:HZ41,OFFSET(A1_原単位2024,41,HL42+2))&gt;=1,"",OFFSET(A1_原単位2024,41,HL42+2)&amp;"")</f>
        <v/>
      </c>
      <c r="IA42" s="1215" t="str">
        <f t="shared" ref="IA42:IA59" ca="1" si="70">IF(HZ42="","",HYPERLINK("#"&amp;IH42,"&lt;"&amp;IH42&amp;"&gt;"))</f>
        <v/>
      </c>
      <c r="IB42" s="1216" t="str">
        <f t="shared" ref="IB42:IB59" ca="1" si="71">IF(HZ42="","",HYPERLINK("#"&amp;OFFSET(A1_原単位2024,69,$HL42+2),OFFSET(A1_原単位2024,65,$HL42+2)))</f>
        <v/>
      </c>
      <c r="IE42" s="365" t="str">
        <f t="shared" ref="IE42:IE59" ca="1" si="72">IF($HN42="","",ADDRESS(ROW(貼付け_2024実績)+5,OFFSET(A1_原単位2024,7,$HL42+2)+COLUMN(貼付け_2024実績)+1,4))</f>
        <v/>
      </c>
      <c r="IF42" s="365" t="str">
        <f t="shared" ref="IF42:IF59" ca="1" si="73">IF($HR42="","",ADDRESS(ROW(貼付け_2024実績)+5,OFFSET(A1_原単位2024,19,$HL42+2)+COLUMN(貼付け_2024実績)+1,4))</f>
        <v/>
      </c>
      <c r="IG42" s="365" t="str">
        <f t="shared" ref="IG42:IG59" ca="1" si="74">IF($HV42="","",ADDRESS(ROW(貼付け_2024実績)+5,OFFSET(A1_原単位2024,31,$HL42+2)+COLUMN(貼付け_2024実績)+1,4))</f>
        <v/>
      </c>
      <c r="IH42" s="365" t="str">
        <f t="shared" ref="IH42:IH59" ca="1" si="75">IF($HZ42="","",ADDRESS(ROW(貼付け_2024実績)+5,OFFSET(A1_原単位2024,43,$HL42+2)+COLUMN(貼付け_2024実績)+1,4))</f>
        <v/>
      </c>
    </row>
    <row r="43" spans="1:242" ht="19.8">
      <c r="A43" s="37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399">
        <f t="shared" si="63"/>
        <v>0</v>
      </c>
      <c r="HD43" s="402">
        <f t="shared" si="63"/>
        <v>0</v>
      </c>
      <c r="HE43" s="402">
        <f t="shared" si="63"/>
        <v>0</v>
      </c>
      <c r="HF43" s="401"/>
      <c r="HG43" s="399">
        <f>SUM(SUMIFS(K43:HB43,$K$13:$HB$13,{"エネルギー管理指定工場等*","県域*"}))</f>
        <v>0</v>
      </c>
      <c r="HH43" s="402">
        <f>SUM(SUMIFS(L43:HC43,$K$13:$HB$13,{"エネルギー管理指定工場等*","県域*"}))</f>
        <v>0</v>
      </c>
      <c r="HI43" s="402">
        <f>SUM(SUMIFS(M43:HD43,$K$13:$HB$13,{"エネルギー管理指定工場等*","県域*"}))</f>
        <v>0</v>
      </c>
      <c r="HJ43" s="401"/>
      <c r="HL43" s="388">
        <v>34</v>
      </c>
      <c r="HM43" s="1189"/>
      <c r="HN43" s="1200" t="str">
        <f ca="1">IF(COUNTIF(HN$10:HN42,OFFSET(A1_原単位2024,5,HL43+2))&gt;=1,"",OFFSET(A1_原単位2024,5,HL43+2)&amp;"")</f>
        <v/>
      </c>
      <c r="HO43" s="1204" t="str">
        <f t="shared" ca="1" si="64"/>
        <v/>
      </c>
      <c r="HP43" s="1205" t="str">
        <f t="shared" ca="1" si="65"/>
        <v/>
      </c>
      <c r="HQ43" s="1189"/>
      <c r="HR43" s="1200" t="str">
        <f ca="1">IF(COUNTIF(HR$10:HR42,OFFSET(A1_原単位2024,17,HL43+2))&gt;=1,"",OFFSET(A1_原単位2024,17,HL43+2)&amp;"")</f>
        <v/>
      </c>
      <c r="HS43" s="1212" t="str">
        <f t="shared" ca="1" si="66"/>
        <v/>
      </c>
      <c r="HT43" s="1213" t="str">
        <f t="shared" ca="1" si="67"/>
        <v/>
      </c>
      <c r="HU43" s="1214"/>
      <c r="HV43" s="1200" t="str">
        <f ca="1">IF(COUNTIF(HV$10:HV42,OFFSET(A1_原単位2024,29,HL43+2))&gt;=1,"",OFFSET(A1_原単位2024,29,HL43+2)&amp;"")</f>
        <v/>
      </c>
      <c r="HW43" s="1212" t="str">
        <f t="shared" ca="1" si="68"/>
        <v/>
      </c>
      <c r="HX43" s="1213" t="str">
        <f t="shared" ca="1" si="69"/>
        <v/>
      </c>
      <c r="HY43" s="1214"/>
      <c r="HZ43" s="1200" t="str">
        <f ca="1">IF(COUNTIF(HZ$10:HZ42,OFFSET(A1_原単位2024,41,HL43+2))&gt;=1,"",OFFSET(A1_原単位2024,41,HL43+2)&amp;"")</f>
        <v/>
      </c>
      <c r="IA43" s="1215" t="str">
        <f t="shared" ca="1" si="70"/>
        <v/>
      </c>
      <c r="IB43" s="1216" t="str">
        <f t="shared" ca="1" si="71"/>
        <v/>
      </c>
      <c r="IE43" s="365" t="str">
        <f t="shared" ca="1" si="72"/>
        <v/>
      </c>
      <c r="IF43" s="365" t="str">
        <f t="shared" ca="1" si="73"/>
        <v/>
      </c>
      <c r="IG43" s="365" t="str">
        <f t="shared" ca="1" si="74"/>
        <v/>
      </c>
      <c r="IH43" s="365" t="str">
        <f t="shared" ca="1" si="75"/>
        <v/>
      </c>
    </row>
    <row r="44" spans="1:242" ht="19.8">
      <c r="A44" s="37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399">
        <f t="shared" si="63"/>
        <v>0</v>
      </c>
      <c r="HD44" s="402">
        <f t="shared" si="63"/>
        <v>0</v>
      </c>
      <c r="HE44" s="402">
        <f t="shared" si="63"/>
        <v>0</v>
      </c>
      <c r="HF44" s="401"/>
      <c r="HG44" s="399">
        <f>SUM(SUMIFS(K44:HB44,$K$13:$HB$13,{"エネルギー管理指定工場等*","県域*"}))</f>
        <v>0</v>
      </c>
      <c r="HH44" s="402">
        <f>SUM(SUMIFS(L44:HC44,$K$13:$HB$13,{"エネルギー管理指定工場等*","県域*"}))</f>
        <v>0</v>
      </c>
      <c r="HI44" s="402">
        <f>SUM(SUMIFS(M44:HD44,$K$13:$HB$13,{"エネルギー管理指定工場等*","県域*"}))</f>
        <v>0</v>
      </c>
      <c r="HJ44" s="401"/>
      <c r="HL44" s="387">
        <v>35</v>
      </c>
      <c r="HM44" s="1189"/>
      <c r="HN44" s="1200" t="str">
        <f ca="1">IF(COUNTIF(HN$10:HN43,OFFSET(A1_原単位2024,5,HL44+2))&gt;=1,"",OFFSET(A1_原単位2024,5,HL44+2)&amp;"")</f>
        <v/>
      </c>
      <c r="HO44" s="1204" t="str">
        <f t="shared" ca="1" si="64"/>
        <v/>
      </c>
      <c r="HP44" s="1205" t="str">
        <f t="shared" ca="1" si="65"/>
        <v/>
      </c>
      <c r="HQ44" s="1189"/>
      <c r="HR44" s="1200" t="str">
        <f ca="1">IF(COUNTIF(HR$10:HR43,OFFSET(A1_原単位2024,17,HL44+2))&gt;=1,"",OFFSET(A1_原単位2024,17,HL44+2)&amp;"")</f>
        <v/>
      </c>
      <c r="HS44" s="1212" t="str">
        <f t="shared" ca="1" si="66"/>
        <v/>
      </c>
      <c r="HT44" s="1213" t="str">
        <f t="shared" ca="1" si="67"/>
        <v/>
      </c>
      <c r="HU44" s="1214"/>
      <c r="HV44" s="1200" t="str">
        <f ca="1">IF(COUNTIF(HV$10:HV43,OFFSET(A1_原単位2024,29,HL44+2))&gt;=1,"",OFFSET(A1_原単位2024,29,HL44+2)&amp;"")</f>
        <v/>
      </c>
      <c r="HW44" s="1212" t="str">
        <f t="shared" ca="1" si="68"/>
        <v/>
      </c>
      <c r="HX44" s="1213" t="str">
        <f t="shared" ca="1" si="69"/>
        <v/>
      </c>
      <c r="HY44" s="1214"/>
      <c r="HZ44" s="1200" t="str">
        <f ca="1">IF(COUNTIF(HZ$10:HZ43,OFFSET(A1_原単位2024,41,HL44+2))&gt;=1,"",OFFSET(A1_原単位2024,41,HL44+2)&amp;"")</f>
        <v/>
      </c>
      <c r="IA44" s="1215" t="str">
        <f t="shared" ca="1" si="70"/>
        <v/>
      </c>
      <c r="IB44" s="1216" t="str">
        <f t="shared" ca="1" si="71"/>
        <v/>
      </c>
      <c r="IE44" s="365" t="str">
        <f t="shared" ca="1" si="72"/>
        <v/>
      </c>
      <c r="IF44" s="365" t="str">
        <f t="shared" ca="1" si="73"/>
        <v/>
      </c>
      <c r="IG44" s="365" t="str">
        <f t="shared" ca="1" si="74"/>
        <v/>
      </c>
      <c r="IH44" s="365" t="str">
        <f t="shared" ca="1" si="75"/>
        <v/>
      </c>
    </row>
    <row r="45" spans="1:242" ht="19.8">
      <c r="A45" s="37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399">
        <f t="shared" si="63"/>
        <v>0</v>
      </c>
      <c r="HD45" s="402">
        <f t="shared" si="63"/>
        <v>0</v>
      </c>
      <c r="HE45" s="402">
        <f t="shared" si="63"/>
        <v>0</v>
      </c>
      <c r="HF45" s="401"/>
      <c r="HG45" s="399">
        <f>SUM(SUMIFS(K45:HB45,$K$13:$HB$13,{"エネルギー管理指定工場等*","県域*"}))</f>
        <v>0</v>
      </c>
      <c r="HH45" s="402">
        <f>SUM(SUMIFS(L45:HC45,$K$13:$HB$13,{"エネルギー管理指定工場等*","県域*"}))</f>
        <v>0</v>
      </c>
      <c r="HI45" s="402">
        <f>SUM(SUMIFS(M45:HD45,$K$13:$HB$13,{"エネルギー管理指定工場等*","県域*"}))</f>
        <v>0</v>
      </c>
      <c r="HJ45" s="401"/>
      <c r="HL45" s="387">
        <v>36</v>
      </c>
      <c r="HM45" s="1189"/>
      <c r="HN45" s="1200" t="str">
        <f ca="1">IF(COUNTIF(HN$10:HN44,OFFSET(A1_原単位2024,5,HL45+2))&gt;=1,"",OFFSET(A1_原単位2024,5,HL45+2)&amp;"")</f>
        <v/>
      </c>
      <c r="HO45" s="1204" t="str">
        <f t="shared" ca="1" si="64"/>
        <v/>
      </c>
      <c r="HP45" s="1205" t="str">
        <f t="shared" ca="1" si="65"/>
        <v/>
      </c>
      <c r="HQ45" s="1189"/>
      <c r="HR45" s="1200" t="str">
        <f ca="1">IF(COUNTIF(HR$10:HR44,OFFSET(A1_原単位2024,17,HL45+2))&gt;=1,"",OFFSET(A1_原単位2024,17,HL45+2)&amp;"")</f>
        <v/>
      </c>
      <c r="HS45" s="1212" t="str">
        <f t="shared" ca="1" si="66"/>
        <v/>
      </c>
      <c r="HT45" s="1213" t="str">
        <f t="shared" ca="1" si="67"/>
        <v/>
      </c>
      <c r="HU45" s="1214"/>
      <c r="HV45" s="1200" t="str">
        <f ca="1">IF(COUNTIF(HV$10:HV44,OFFSET(A1_原単位2024,29,HL45+2))&gt;=1,"",OFFSET(A1_原単位2024,29,HL45+2)&amp;"")</f>
        <v/>
      </c>
      <c r="HW45" s="1212" t="str">
        <f t="shared" ca="1" si="68"/>
        <v/>
      </c>
      <c r="HX45" s="1213" t="str">
        <f t="shared" ca="1" si="69"/>
        <v/>
      </c>
      <c r="HY45" s="1214"/>
      <c r="HZ45" s="1200" t="str">
        <f ca="1">IF(COUNTIF(HZ$10:HZ44,OFFSET(A1_原単位2024,41,HL45+2))&gt;=1,"",OFFSET(A1_原単位2024,41,HL45+2)&amp;"")</f>
        <v/>
      </c>
      <c r="IA45" s="1215" t="str">
        <f t="shared" ca="1" si="70"/>
        <v/>
      </c>
      <c r="IB45" s="1216" t="str">
        <f t="shared" ca="1" si="71"/>
        <v/>
      </c>
      <c r="IE45" s="365" t="str">
        <f t="shared" ca="1" si="72"/>
        <v/>
      </c>
      <c r="IF45" s="365" t="str">
        <f t="shared" ca="1" si="73"/>
        <v/>
      </c>
      <c r="IG45" s="365" t="str">
        <f t="shared" ca="1" si="74"/>
        <v/>
      </c>
      <c r="IH45" s="365" t="str">
        <f t="shared" ca="1" si="75"/>
        <v/>
      </c>
    </row>
    <row r="46" spans="1:242" ht="19.8">
      <c r="A46" s="37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399">
        <f t="shared" si="63"/>
        <v>0</v>
      </c>
      <c r="HD46" s="402">
        <f t="shared" si="63"/>
        <v>0</v>
      </c>
      <c r="HE46" s="402">
        <f t="shared" si="63"/>
        <v>0</v>
      </c>
      <c r="HF46" s="401"/>
      <c r="HG46" s="399">
        <f>SUM(SUMIFS(K46:HB46,$K$13:$HB$13,{"エネルギー管理指定工場等*","県域*"}))</f>
        <v>0</v>
      </c>
      <c r="HH46" s="402">
        <f>SUM(SUMIFS(L46:HC46,$K$13:$HB$13,{"エネルギー管理指定工場等*","県域*"}))</f>
        <v>0</v>
      </c>
      <c r="HI46" s="402">
        <f>SUM(SUMIFS(M46:HD46,$K$13:$HB$13,{"エネルギー管理指定工場等*","県域*"}))</f>
        <v>0</v>
      </c>
      <c r="HJ46" s="401"/>
      <c r="HL46" s="388">
        <v>37</v>
      </c>
      <c r="HM46" s="1189"/>
      <c r="HN46" s="1200" t="str">
        <f ca="1">IF(COUNTIF(HN$10:HN45,OFFSET(A1_原単位2024,5,HL46+2))&gt;=1,"",OFFSET(A1_原単位2024,5,HL46+2)&amp;"")</f>
        <v/>
      </c>
      <c r="HO46" s="1204" t="str">
        <f t="shared" ca="1" si="64"/>
        <v/>
      </c>
      <c r="HP46" s="1205" t="str">
        <f t="shared" ca="1" si="65"/>
        <v/>
      </c>
      <c r="HQ46" s="1189"/>
      <c r="HR46" s="1200" t="str">
        <f ca="1">IF(COUNTIF(HR$10:HR45,OFFSET(A1_原単位2024,17,HL46+2))&gt;=1,"",OFFSET(A1_原単位2024,17,HL46+2)&amp;"")</f>
        <v/>
      </c>
      <c r="HS46" s="1212" t="str">
        <f t="shared" ca="1" si="66"/>
        <v/>
      </c>
      <c r="HT46" s="1213" t="str">
        <f t="shared" ca="1" si="67"/>
        <v/>
      </c>
      <c r="HU46" s="1214"/>
      <c r="HV46" s="1200" t="str">
        <f ca="1">IF(COUNTIF(HV$10:HV45,OFFSET(A1_原単位2024,29,HL46+2))&gt;=1,"",OFFSET(A1_原単位2024,29,HL46+2)&amp;"")</f>
        <v/>
      </c>
      <c r="HW46" s="1212" t="str">
        <f t="shared" ca="1" si="68"/>
        <v/>
      </c>
      <c r="HX46" s="1213" t="str">
        <f t="shared" ca="1" si="69"/>
        <v/>
      </c>
      <c r="HY46" s="1214"/>
      <c r="HZ46" s="1200" t="str">
        <f ca="1">IF(COUNTIF(HZ$10:HZ45,OFFSET(A1_原単位2024,41,HL46+2))&gt;=1,"",OFFSET(A1_原単位2024,41,HL46+2)&amp;"")</f>
        <v/>
      </c>
      <c r="IA46" s="1215" t="str">
        <f t="shared" ca="1" si="70"/>
        <v/>
      </c>
      <c r="IB46" s="1216" t="str">
        <f t="shared" ca="1" si="71"/>
        <v/>
      </c>
      <c r="IE46" s="365" t="str">
        <f t="shared" ca="1" si="72"/>
        <v/>
      </c>
      <c r="IF46" s="365" t="str">
        <f t="shared" ca="1" si="73"/>
        <v/>
      </c>
      <c r="IG46" s="365" t="str">
        <f t="shared" ca="1" si="74"/>
        <v/>
      </c>
      <c r="IH46" s="365" t="str">
        <f t="shared" ca="1" si="75"/>
        <v/>
      </c>
    </row>
    <row r="47" spans="1:242" ht="19.8">
      <c r="A47" s="37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399">
        <f t="shared" si="63"/>
        <v>0</v>
      </c>
      <c r="HD47" s="402">
        <f t="shared" si="63"/>
        <v>0</v>
      </c>
      <c r="HE47" s="402">
        <f t="shared" si="63"/>
        <v>0</v>
      </c>
      <c r="HF47" s="401"/>
      <c r="HG47" s="399">
        <f>SUM(SUMIFS(K47:HB47,$K$13:$HB$13,{"エネルギー管理指定工場等*","県域*"}))</f>
        <v>0</v>
      </c>
      <c r="HH47" s="402">
        <f>SUM(SUMIFS(L47:HC47,$K$13:$HB$13,{"エネルギー管理指定工場等*","県域*"}))</f>
        <v>0</v>
      </c>
      <c r="HI47" s="402">
        <f>SUM(SUMIFS(M47:HD47,$K$13:$HB$13,{"エネルギー管理指定工場等*","県域*"}))</f>
        <v>0</v>
      </c>
      <c r="HJ47" s="401"/>
      <c r="HL47" s="387">
        <v>38</v>
      </c>
      <c r="HM47" s="1189"/>
      <c r="HN47" s="1200" t="str">
        <f ca="1">IF(COUNTIF(HN$10:HN46,OFFSET(A1_原単位2024,5,HL47+2))&gt;=1,"",OFFSET(A1_原単位2024,5,HL47+2)&amp;"")</f>
        <v/>
      </c>
      <c r="HO47" s="1204" t="str">
        <f t="shared" ca="1" si="64"/>
        <v/>
      </c>
      <c r="HP47" s="1205" t="str">
        <f t="shared" ca="1" si="65"/>
        <v/>
      </c>
      <c r="HQ47" s="1189"/>
      <c r="HR47" s="1200" t="str">
        <f ca="1">IF(COUNTIF(HR$10:HR46,OFFSET(A1_原単位2024,17,HL47+2))&gt;=1,"",OFFSET(A1_原単位2024,17,HL47+2)&amp;"")</f>
        <v/>
      </c>
      <c r="HS47" s="1212" t="str">
        <f t="shared" ca="1" si="66"/>
        <v/>
      </c>
      <c r="HT47" s="1213" t="str">
        <f t="shared" ca="1" si="67"/>
        <v/>
      </c>
      <c r="HU47" s="1214"/>
      <c r="HV47" s="1200" t="str">
        <f ca="1">IF(COUNTIF(HV$10:HV46,OFFSET(A1_原単位2024,29,HL47+2))&gt;=1,"",OFFSET(A1_原単位2024,29,HL47+2)&amp;"")</f>
        <v/>
      </c>
      <c r="HW47" s="1212" t="str">
        <f t="shared" ca="1" si="68"/>
        <v/>
      </c>
      <c r="HX47" s="1213" t="str">
        <f t="shared" ca="1" si="69"/>
        <v/>
      </c>
      <c r="HY47" s="1214"/>
      <c r="HZ47" s="1200" t="str">
        <f ca="1">IF(COUNTIF(HZ$10:HZ46,OFFSET(A1_原単位2024,41,HL47+2))&gt;=1,"",OFFSET(A1_原単位2024,41,HL47+2)&amp;"")</f>
        <v/>
      </c>
      <c r="IA47" s="1215" t="str">
        <f t="shared" ca="1" si="70"/>
        <v/>
      </c>
      <c r="IB47" s="1216" t="str">
        <f t="shared" ca="1" si="71"/>
        <v/>
      </c>
      <c r="IE47" s="365" t="str">
        <f t="shared" ca="1" si="72"/>
        <v/>
      </c>
      <c r="IF47" s="365" t="str">
        <f t="shared" ca="1" si="73"/>
        <v/>
      </c>
      <c r="IG47" s="365" t="str">
        <f t="shared" ca="1" si="74"/>
        <v/>
      </c>
      <c r="IH47" s="365" t="str">
        <f t="shared" ca="1" si="75"/>
        <v/>
      </c>
    </row>
    <row r="48" spans="1:242" ht="19.8">
      <c r="A48" s="37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399">
        <f t="shared" si="63"/>
        <v>0</v>
      </c>
      <c r="HD48" s="402">
        <f t="shared" si="63"/>
        <v>0</v>
      </c>
      <c r="HE48" s="402">
        <f t="shared" si="63"/>
        <v>0</v>
      </c>
      <c r="HF48" s="401"/>
      <c r="HG48" s="399">
        <f>SUM(SUMIFS(K48:HB48,$K$13:$HB$13,{"エネルギー管理指定工場等*","県域*"}))</f>
        <v>0</v>
      </c>
      <c r="HH48" s="402">
        <f>SUM(SUMIFS(L48:HC48,$K$13:$HB$13,{"エネルギー管理指定工場等*","県域*"}))</f>
        <v>0</v>
      </c>
      <c r="HI48" s="402">
        <f>SUM(SUMIFS(M48:HD48,$K$13:$HB$13,{"エネルギー管理指定工場等*","県域*"}))</f>
        <v>0</v>
      </c>
      <c r="HJ48" s="401"/>
      <c r="HL48" s="387">
        <v>39</v>
      </c>
      <c r="HM48" s="1189"/>
      <c r="HN48" s="1200" t="str">
        <f ca="1">IF(COUNTIF(HN$10:HN47,OFFSET(A1_原単位2024,5,HL48+2))&gt;=1,"",OFFSET(A1_原単位2024,5,HL48+2)&amp;"")</f>
        <v/>
      </c>
      <c r="HO48" s="1204" t="str">
        <f t="shared" ca="1" si="64"/>
        <v/>
      </c>
      <c r="HP48" s="1205" t="str">
        <f t="shared" ca="1" si="65"/>
        <v/>
      </c>
      <c r="HQ48" s="1189"/>
      <c r="HR48" s="1200" t="str">
        <f ca="1">IF(COUNTIF(HR$10:HR47,OFFSET(A1_原単位2024,17,HL48+2))&gt;=1,"",OFFSET(A1_原単位2024,17,HL48+2)&amp;"")</f>
        <v/>
      </c>
      <c r="HS48" s="1212" t="str">
        <f t="shared" ca="1" si="66"/>
        <v/>
      </c>
      <c r="HT48" s="1213" t="str">
        <f t="shared" ca="1" si="67"/>
        <v/>
      </c>
      <c r="HU48" s="1214"/>
      <c r="HV48" s="1200" t="str">
        <f ca="1">IF(COUNTIF(HV$10:HV47,OFFSET(A1_原単位2024,29,HL48+2))&gt;=1,"",OFFSET(A1_原単位2024,29,HL48+2)&amp;"")</f>
        <v/>
      </c>
      <c r="HW48" s="1212" t="str">
        <f t="shared" ca="1" si="68"/>
        <v/>
      </c>
      <c r="HX48" s="1213" t="str">
        <f t="shared" ca="1" si="69"/>
        <v/>
      </c>
      <c r="HY48" s="1214"/>
      <c r="HZ48" s="1200" t="str">
        <f ca="1">IF(COUNTIF(HZ$10:HZ47,OFFSET(A1_原単位2024,41,HL48+2))&gt;=1,"",OFFSET(A1_原単位2024,41,HL48+2)&amp;"")</f>
        <v/>
      </c>
      <c r="IA48" s="1215" t="str">
        <f t="shared" ca="1" si="70"/>
        <v/>
      </c>
      <c r="IB48" s="1216" t="str">
        <f t="shared" ca="1" si="71"/>
        <v/>
      </c>
      <c r="IE48" s="365" t="str">
        <f t="shared" ca="1" si="72"/>
        <v/>
      </c>
      <c r="IF48" s="365" t="str">
        <f t="shared" ca="1" si="73"/>
        <v/>
      </c>
      <c r="IG48" s="365" t="str">
        <f t="shared" ca="1" si="74"/>
        <v/>
      </c>
      <c r="IH48" s="365" t="str">
        <f t="shared" ca="1" si="75"/>
        <v/>
      </c>
    </row>
    <row r="49" spans="1:242" ht="19.8">
      <c r="A49" s="37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399">
        <f t="shared" si="63"/>
        <v>0</v>
      </c>
      <c r="HD49" s="402">
        <f t="shared" si="63"/>
        <v>0</v>
      </c>
      <c r="HE49" s="402">
        <f t="shared" si="63"/>
        <v>0</v>
      </c>
      <c r="HF49" s="401"/>
      <c r="HG49" s="399">
        <f>SUM(SUMIFS(K49:HB49,$K$13:$HB$13,{"エネルギー管理指定工場等*","県域*"}))</f>
        <v>0</v>
      </c>
      <c r="HH49" s="402">
        <f>SUM(SUMIFS(L49:HC49,$K$13:$HB$13,{"エネルギー管理指定工場等*","県域*"}))</f>
        <v>0</v>
      </c>
      <c r="HI49" s="402">
        <f>SUM(SUMIFS(M49:HD49,$K$13:$HB$13,{"エネルギー管理指定工場等*","県域*"}))</f>
        <v>0</v>
      </c>
      <c r="HJ49" s="401"/>
      <c r="HL49" s="388">
        <v>40</v>
      </c>
      <c r="HM49" s="1189"/>
      <c r="HN49" s="1200" t="str">
        <f ca="1">IF(COUNTIF(HN$10:HN48,OFFSET(A1_原単位2024,5,HL49+2))&gt;=1,"",OFFSET(A1_原単位2024,5,HL49+2)&amp;"")</f>
        <v/>
      </c>
      <c r="HO49" s="1204" t="str">
        <f t="shared" ca="1" si="64"/>
        <v/>
      </c>
      <c r="HP49" s="1205" t="str">
        <f t="shared" ca="1" si="65"/>
        <v/>
      </c>
      <c r="HQ49" s="1189"/>
      <c r="HR49" s="1200" t="str">
        <f ca="1">IF(COUNTIF(HR$10:HR48,OFFSET(A1_原単位2024,17,HL49+2))&gt;=1,"",OFFSET(A1_原単位2024,17,HL49+2)&amp;"")</f>
        <v/>
      </c>
      <c r="HS49" s="1212" t="str">
        <f t="shared" ca="1" si="66"/>
        <v/>
      </c>
      <c r="HT49" s="1213" t="str">
        <f t="shared" ca="1" si="67"/>
        <v/>
      </c>
      <c r="HU49" s="1214"/>
      <c r="HV49" s="1200" t="str">
        <f ca="1">IF(COUNTIF(HV$10:HV48,OFFSET(A1_原単位2024,29,HL49+2))&gt;=1,"",OFFSET(A1_原単位2024,29,HL49+2)&amp;"")</f>
        <v/>
      </c>
      <c r="HW49" s="1212" t="str">
        <f t="shared" ca="1" si="68"/>
        <v/>
      </c>
      <c r="HX49" s="1213" t="str">
        <f t="shared" ca="1" si="69"/>
        <v/>
      </c>
      <c r="HY49" s="1214"/>
      <c r="HZ49" s="1200" t="str">
        <f ca="1">IF(COUNTIF(HZ$10:HZ48,OFFSET(A1_原単位2024,41,HL49+2))&gt;=1,"",OFFSET(A1_原単位2024,41,HL49+2)&amp;"")</f>
        <v/>
      </c>
      <c r="IA49" s="1215" t="str">
        <f t="shared" ca="1" si="70"/>
        <v/>
      </c>
      <c r="IB49" s="1216" t="str">
        <f t="shared" ca="1" si="71"/>
        <v/>
      </c>
      <c r="IE49" s="365" t="str">
        <f t="shared" ca="1" si="72"/>
        <v/>
      </c>
      <c r="IF49" s="365" t="str">
        <f t="shared" ca="1" si="73"/>
        <v/>
      </c>
      <c r="IG49" s="365" t="str">
        <f t="shared" ca="1" si="74"/>
        <v/>
      </c>
      <c r="IH49" s="365" t="str">
        <f t="shared" ca="1" si="75"/>
        <v/>
      </c>
    </row>
    <row r="50" spans="1:242" ht="19.8">
      <c r="A50" s="37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399">
        <f t="shared" si="63"/>
        <v>0</v>
      </c>
      <c r="HD50" s="402">
        <f t="shared" si="63"/>
        <v>0</v>
      </c>
      <c r="HE50" s="402">
        <f t="shared" si="63"/>
        <v>0</v>
      </c>
      <c r="HF50" s="401"/>
      <c r="HG50" s="399">
        <f>SUM(SUMIFS(K50:HB50,$K$13:$HB$13,{"エネルギー管理指定工場等*","県域*"}))</f>
        <v>0</v>
      </c>
      <c r="HH50" s="402">
        <f>SUM(SUMIFS(L50:HC50,$K$13:$HB$13,{"エネルギー管理指定工場等*","県域*"}))</f>
        <v>0</v>
      </c>
      <c r="HI50" s="402">
        <f>SUM(SUMIFS(M50:HD50,$K$13:$HB$13,{"エネルギー管理指定工場等*","県域*"}))</f>
        <v>0</v>
      </c>
      <c r="HJ50" s="401"/>
      <c r="HL50" s="387">
        <v>41</v>
      </c>
      <c r="HM50" s="1189"/>
      <c r="HN50" s="1200" t="str">
        <f ca="1">IF(COUNTIF(HN$10:HN49,OFFSET(A1_原単位2024,5,HL50+2))&gt;=1,"",OFFSET(A1_原単位2024,5,HL50+2)&amp;"")</f>
        <v/>
      </c>
      <c r="HO50" s="1204" t="str">
        <f t="shared" ca="1" si="64"/>
        <v/>
      </c>
      <c r="HP50" s="1205" t="str">
        <f t="shared" ca="1" si="65"/>
        <v/>
      </c>
      <c r="HQ50" s="1189"/>
      <c r="HR50" s="1200" t="str">
        <f ca="1">IF(COUNTIF(HR$10:HR49,OFFSET(A1_原単位2024,17,HL50+2))&gt;=1,"",OFFSET(A1_原単位2024,17,HL50+2)&amp;"")</f>
        <v/>
      </c>
      <c r="HS50" s="1212" t="str">
        <f t="shared" ca="1" si="66"/>
        <v/>
      </c>
      <c r="HT50" s="1213" t="str">
        <f t="shared" ca="1" si="67"/>
        <v/>
      </c>
      <c r="HU50" s="1214"/>
      <c r="HV50" s="1200" t="str">
        <f ca="1">IF(COUNTIF(HV$10:HV49,OFFSET(A1_原単位2024,29,HL50+2))&gt;=1,"",OFFSET(A1_原単位2024,29,HL50+2)&amp;"")</f>
        <v/>
      </c>
      <c r="HW50" s="1212" t="str">
        <f t="shared" ca="1" si="68"/>
        <v/>
      </c>
      <c r="HX50" s="1213" t="str">
        <f t="shared" ca="1" si="69"/>
        <v/>
      </c>
      <c r="HY50" s="1214"/>
      <c r="HZ50" s="1200" t="str">
        <f ca="1">IF(COUNTIF(HZ$10:HZ49,OFFSET(A1_原単位2024,41,HL50+2))&gt;=1,"",OFFSET(A1_原単位2024,41,HL50+2)&amp;"")</f>
        <v/>
      </c>
      <c r="IA50" s="1215" t="str">
        <f t="shared" ca="1" si="70"/>
        <v/>
      </c>
      <c r="IB50" s="1216" t="str">
        <f t="shared" ca="1" si="71"/>
        <v/>
      </c>
      <c r="IE50" s="365" t="str">
        <f t="shared" ca="1" si="72"/>
        <v/>
      </c>
      <c r="IF50" s="365" t="str">
        <f t="shared" ca="1" si="73"/>
        <v/>
      </c>
      <c r="IG50" s="365" t="str">
        <f t="shared" ca="1" si="74"/>
        <v/>
      </c>
      <c r="IH50" s="365" t="str">
        <f t="shared" ca="1" si="75"/>
        <v/>
      </c>
    </row>
    <row r="51" spans="1:242" ht="19.8">
      <c r="A51" s="37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399">
        <f t="shared" si="63"/>
        <v>0</v>
      </c>
      <c r="HD51" s="402">
        <f t="shared" si="63"/>
        <v>0</v>
      </c>
      <c r="HE51" s="402">
        <f t="shared" si="63"/>
        <v>0</v>
      </c>
      <c r="HF51" s="401"/>
      <c r="HG51" s="399">
        <f>SUM(SUMIFS(K51:HB51,$K$13:$HB$13,{"エネルギー管理指定工場等*","県域*"}))</f>
        <v>0</v>
      </c>
      <c r="HH51" s="402">
        <f>SUM(SUMIFS(L51:HC51,$K$13:$HB$13,{"エネルギー管理指定工場等*","県域*"}))</f>
        <v>0</v>
      </c>
      <c r="HI51" s="402">
        <f>SUM(SUMIFS(M51:HD51,$K$13:$HB$13,{"エネルギー管理指定工場等*","県域*"}))</f>
        <v>0</v>
      </c>
      <c r="HJ51" s="401"/>
      <c r="HL51" s="387">
        <v>42</v>
      </c>
      <c r="HM51" s="1189"/>
      <c r="HN51" s="1200" t="str">
        <f ca="1">IF(COUNTIF(HN$10:HN50,OFFSET(A1_原単位2024,5,HL51+2))&gt;=1,"",OFFSET(A1_原単位2024,5,HL51+2)&amp;"")</f>
        <v/>
      </c>
      <c r="HO51" s="1204" t="str">
        <f t="shared" ca="1" si="64"/>
        <v/>
      </c>
      <c r="HP51" s="1205" t="str">
        <f t="shared" ca="1" si="65"/>
        <v/>
      </c>
      <c r="HQ51" s="1189"/>
      <c r="HR51" s="1200" t="str">
        <f ca="1">IF(COUNTIF(HR$10:HR50,OFFSET(A1_原単位2024,17,HL51+2))&gt;=1,"",OFFSET(A1_原単位2024,17,HL51+2)&amp;"")</f>
        <v/>
      </c>
      <c r="HS51" s="1212" t="str">
        <f t="shared" ca="1" si="66"/>
        <v/>
      </c>
      <c r="HT51" s="1213" t="str">
        <f t="shared" ca="1" si="67"/>
        <v/>
      </c>
      <c r="HU51" s="1214"/>
      <c r="HV51" s="1200" t="str">
        <f ca="1">IF(COUNTIF(HV$10:HV50,OFFSET(A1_原単位2024,29,HL51+2))&gt;=1,"",OFFSET(A1_原単位2024,29,HL51+2)&amp;"")</f>
        <v/>
      </c>
      <c r="HW51" s="1212" t="str">
        <f t="shared" ca="1" si="68"/>
        <v/>
      </c>
      <c r="HX51" s="1213" t="str">
        <f t="shared" ca="1" si="69"/>
        <v/>
      </c>
      <c r="HY51" s="1214"/>
      <c r="HZ51" s="1200" t="str">
        <f ca="1">IF(COUNTIF(HZ$10:HZ50,OFFSET(A1_原単位2024,41,HL51+2))&gt;=1,"",OFFSET(A1_原単位2024,41,HL51+2)&amp;"")</f>
        <v/>
      </c>
      <c r="IA51" s="1215" t="str">
        <f t="shared" ca="1" si="70"/>
        <v/>
      </c>
      <c r="IB51" s="1216" t="str">
        <f t="shared" ca="1" si="71"/>
        <v/>
      </c>
      <c r="IE51" s="365" t="str">
        <f t="shared" ca="1" si="72"/>
        <v/>
      </c>
      <c r="IF51" s="365" t="str">
        <f t="shared" ca="1" si="73"/>
        <v/>
      </c>
      <c r="IG51" s="365" t="str">
        <f t="shared" ca="1" si="74"/>
        <v/>
      </c>
      <c r="IH51" s="365" t="str">
        <f t="shared" ca="1" si="75"/>
        <v/>
      </c>
    </row>
    <row r="52" spans="1:242" ht="19.8">
      <c r="A52" s="37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399">
        <f t="shared" si="63"/>
        <v>0</v>
      </c>
      <c r="HD52" s="402">
        <f t="shared" si="63"/>
        <v>0</v>
      </c>
      <c r="HE52" s="402">
        <f t="shared" si="63"/>
        <v>0</v>
      </c>
      <c r="HF52" s="401"/>
      <c r="HG52" s="399">
        <f>SUM(SUMIFS(K52:HB52,$K$13:$HB$13,{"エネルギー管理指定工場等*","県域*"}))</f>
        <v>0</v>
      </c>
      <c r="HH52" s="402">
        <f>SUM(SUMIFS(L52:HC52,$K$13:$HB$13,{"エネルギー管理指定工場等*","県域*"}))</f>
        <v>0</v>
      </c>
      <c r="HI52" s="402">
        <f>SUM(SUMIFS(M52:HD52,$K$13:$HB$13,{"エネルギー管理指定工場等*","県域*"}))</f>
        <v>0</v>
      </c>
      <c r="HJ52" s="401"/>
      <c r="HL52" s="388">
        <v>43</v>
      </c>
      <c r="HM52" s="1189"/>
      <c r="HN52" s="1200" t="str">
        <f ca="1">IF(COUNTIF(HN$10:HN51,OFFSET(A1_原単位2024,5,HL52+2))&gt;=1,"",OFFSET(A1_原単位2024,5,HL52+2)&amp;"")</f>
        <v/>
      </c>
      <c r="HO52" s="1204" t="str">
        <f t="shared" ca="1" si="64"/>
        <v/>
      </c>
      <c r="HP52" s="1205" t="str">
        <f t="shared" ca="1" si="65"/>
        <v/>
      </c>
      <c r="HQ52" s="1189"/>
      <c r="HR52" s="1200" t="str">
        <f ca="1">IF(COUNTIF(HR$10:HR51,OFFSET(A1_原単位2024,17,HL52+2))&gt;=1,"",OFFSET(A1_原単位2024,17,HL52+2)&amp;"")</f>
        <v/>
      </c>
      <c r="HS52" s="1212" t="str">
        <f t="shared" ca="1" si="66"/>
        <v/>
      </c>
      <c r="HT52" s="1213" t="str">
        <f t="shared" ca="1" si="67"/>
        <v/>
      </c>
      <c r="HU52" s="1214"/>
      <c r="HV52" s="1200" t="str">
        <f ca="1">IF(COUNTIF(HV$10:HV51,OFFSET(A1_原単位2024,29,HL52+2))&gt;=1,"",OFFSET(A1_原単位2024,29,HL52+2)&amp;"")</f>
        <v/>
      </c>
      <c r="HW52" s="1212" t="str">
        <f t="shared" ca="1" si="68"/>
        <v/>
      </c>
      <c r="HX52" s="1213" t="str">
        <f t="shared" ca="1" si="69"/>
        <v/>
      </c>
      <c r="HY52" s="1214"/>
      <c r="HZ52" s="1200" t="str">
        <f ca="1">IF(COUNTIF(HZ$10:HZ51,OFFSET(A1_原単位2024,41,HL52+2))&gt;=1,"",OFFSET(A1_原単位2024,41,HL52+2)&amp;"")</f>
        <v/>
      </c>
      <c r="IA52" s="1215" t="str">
        <f t="shared" ca="1" si="70"/>
        <v/>
      </c>
      <c r="IB52" s="1216" t="str">
        <f t="shared" ca="1" si="71"/>
        <v/>
      </c>
      <c r="IE52" s="365" t="str">
        <f t="shared" ca="1" si="72"/>
        <v/>
      </c>
      <c r="IF52" s="365" t="str">
        <f t="shared" ca="1" si="73"/>
        <v/>
      </c>
      <c r="IG52" s="365" t="str">
        <f t="shared" ca="1" si="74"/>
        <v/>
      </c>
      <c r="IH52" s="365" t="str">
        <f t="shared" ca="1" si="75"/>
        <v/>
      </c>
    </row>
    <row r="53" spans="1:242" ht="19.8">
      <c r="A53" s="37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399">
        <f t="shared" si="63"/>
        <v>0</v>
      </c>
      <c r="HD53" s="402">
        <f t="shared" si="63"/>
        <v>0</v>
      </c>
      <c r="HE53" s="402">
        <f t="shared" si="63"/>
        <v>0</v>
      </c>
      <c r="HF53" s="401"/>
      <c r="HG53" s="399">
        <f>SUM(SUMIFS(K53:HB53,$K$13:$HB$13,{"エネルギー管理指定工場等*","県域*"}))</f>
        <v>0</v>
      </c>
      <c r="HH53" s="402">
        <f>SUM(SUMIFS(L53:HC53,$K$13:$HB$13,{"エネルギー管理指定工場等*","県域*"}))</f>
        <v>0</v>
      </c>
      <c r="HI53" s="402">
        <f>SUM(SUMIFS(M53:HD53,$K$13:$HB$13,{"エネルギー管理指定工場等*","県域*"}))</f>
        <v>0</v>
      </c>
      <c r="HJ53" s="401"/>
      <c r="HL53" s="387">
        <v>44</v>
      </c>
      <c r="HM53" s="1189"/>
      <c r="HN53" s="1200" t="str">
        <f ca="1">IF(COUNTIF(HN$10:HN52,OFFSET(A1_原単位2024,5,HL53+2))&gt;=1,"",OFFSET(A1_原単位2024,5,HL53+2)&amp;"")</f>
        <v/>
      </c>
      <c r="HO53" s="1204" t="str">
        <f t="shared" ca="1" si="64"/>
        <v/>
      </c>
      <c r="HP53" s="1205" t="str">
        <f t="shared" ca="1" si="65"/>
        <v/>
      </c>
      <c r="HQ53" s="1189"/>
      <c r="HR53" s="1200" t="str">
        <f ca="1">IF(COUNTIF(HR$10:HR52,OFFSET(A1_原単位2024,17,HL53+2))&gt;=1,"",OFFSET(A1_原単位2024,17,HL53+2)&amp;"")</f>
        <v/>
      </c>
      <c r="HS53" s="1212" t="str">
        <f t="shared" ca="1" si="66"/>
        <v/>
      </c>
      <c r="HT53" s="1213" t="str">
        <f t="shared" ca="1" si="67"/>
        <v/>
      </c>
      <c r="HU53" s="1214"/>
      <c r="HV53" s="1200" t="str">
        <f ca="1">IF(COUNTIF(HV$10:HV52,OFFSET(A1_原単位2024,29,HL53+2))&gt;=1,"",OFFSET(A1_原単位2024,29,HL53+2)&amp;"")</f>
        <v/>
      </c>
      <c r="HW53" s="1212" t="str">
        <f t="shared" ca="1" si="68"/>
        <v/>
      </c>
      <c r="HX53" s="1213" t="str">
        <f t="shared" ca="1" si="69"/>
        <v/>
      </c>
      <c r="HY53" s="1214"/>
      <c r="HZ53" s="1200" t="str">
        <f ca="1">IF(COUNTIF(HZ$10:HZ52,OFFSET(A1_原単位2024,41,HL53+2))&gt;=1,"",OFFSET(A1_原単位2024,41,HL53+2)&amp;"")</f>
        <v/>
      </c>
      <c r="IA53" s="1215" t="str">
        <f t="shared" ca="1" si="70"/>
        <v/>
      </c>
      <c r="IB53" s="1216" t="str">
        <f t="shared" ca="1" si="71"/>
        <v/>
      </c>
      <c r="IE53" s="365" t="str">
        <f t="shared" ca="1" si="72"/>
        <v/>
      </c>
      <c r="IF53" s="365" t="str">
        <f t="shared" ca="1" si="73"/>
        <v/>
      </c>
      <c r="IG53" s="365" t="str">
        <f t="shared" ca="1" si="74"/>
        <v/>
      </c>
      <c r="IH53" s="365" t="str">
        <f t="shared" ca="1" si="75"/>
        <v/>
      </c>
    </row>
    <row r="54" spans="1:242" ht="19.8">
      <c r="A54" s="37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399">
        <f t="shared" si="63"/>
        <v>0</v>
      </c>
      <c r="HD54" s="402">
        <f t="shared" si="63"/>
        <v>0</v>
      </c>
      <c r="HE54" s="402">
        <f t="shared" si="63"/>
        <v>0</v>
      </c>
      <c r="HF54" s="401"/>
      <c r="HG54" s="399">
        <f>SUM(SUMIFS(K54:HB54,$K$13:$HB$13,{"エネルギー管理指定工場等*","県域*"}))</f>
        <v>0</v>
      </c>
      <c r="HH54" s="402">
        <f>SUM(SUMIFS(L54:HC54,$K$13:$HB$13,{"エネルギー管理指定工場等*","県域*"}))</f>
        <v>0</v>
      </c>
      <c r="HI54" s="402">
        <f>SUM(SUMIFS(M54:HD54,$K$13:$HB$13,{"エネルギー管理指定工場等*","県域*"}))</f>
        <v>0</v>
      </c>
      <c r="HJ54" s="401"/>
      <c r="HL54" s="387">
        <v>45</v>
      </c>
      <c r="HM54" s="1189"/>
      <c r="HN54" s="1200" t="str">
        <f ca="1">IF(COUNTIF(HN$10:HN53,OFFSET(A1_原単位2024,5,HL54+2))&gt;=1,"",OFFSET(A1_原単位2024,5,HL54+2)&amp;"")</f>
        <v/>
      </c>
      <c r="HO54" s="1204" t="str">
        <f t="shared" ca="1" si="64"/>
        <v/>
      </c>
      <c r="HP54" s="1205" t="str">
        <f t="shared" ca="1" si="65"/>
        <v/>
      </c>
      <c r="HQ54" s="1189"/>
      <c r="HR54" s="1200" t="str">
        <f ca="1">IF(COUNTIF(HR$10:HR53,OFFSET(A1_原単位2024,17,HL54+2))&gt;=1,"",OFFSET(A1_原単位2024,17,HL54+2)&amp;"")</f>
        <v/>
      </c>
      <c r="HS54" s="1212" t="str">
        <f t="shared" ca="1" si="66"/>
        <v/>
      </c>
      <c r="HT54" s="1213" t="str">
        <f t="shared" ca="1" si="67"/>
        <v/>
      </c>
      <c r="HU54" s="1214"/>
      <c r="HV54" s="1200" t="str">
        <f ca="1">IF(COUNTIF(HV$10:HV53,OFFSET(A1_原単位2024,29,HL54+2))&gt;=1,"",OFFSET(A1_原単位2024,29,HL54+2)&amp;"")</f>
        <v/>
      </c>
      <c r="HW54" s="1212" t="str">
        <f t="shared" ca="1" si="68"/>
        <v/>
      </c>
      <c r="HX54" s="1213" t="str">
        <f t="shared" ca="1" si="69"/>
        <v/>
      </c>
      <c r="HY54" s="1214"/>
      <c r="HZ54" s="1200" t="str">
        <f ca="1">IF(COUNTIF(HZ$10:HZ53,OFFSET(A1_原単位2024,41,HL54+2))&gt;=1,"",OFFSET(A1_原単位2024,41,HL54+2)&amp;"")</f>
        <v/>
      </c>
      <c r="IA54" s="1215" t="str">
        <f t="shared" ca="1" si="70"/>
        <v/>
      </c>
      <c r="IB54" s="1216" t="str">
        <f t="shared" ca="1" si="71"/>
        <v/>
      </c>
      <c r="IE54" s="365" t="str">
        <f t="shared" ca="1" si="72"/>
        <v/>
      </c>
      <c r="IF54" s="365" t="str">
        <f t="shared" ca="1" si="73"/>
        <v/>
      </c>
      <c r="IG54" s="365" t="str">
        <f t="shared" ca="1" si="74"/>
        <v/>
      </c>
      <c r="IH54" s="365" t="str">
        <f t="shared" ca="1" si="75"/>
        <v/>
      </c>
    </row>
    <row r="55" spans="1:242" ht="19.8">
      <c r="A55" s="37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399">
        <f t="shared" si="63"/>
        <v>0</v>
      </c>
      <c r="HD55" s="402">
        <f t="shared" si="63"/>
        <v>0</v>
      </c>
      <c r="HE55" s="402">
        <f t="shared" si="63"/>
        <v>0</v>
      </c>
      <c r="HF55" s="401"/>
      <c r="HG55" s="399">
        <f>SUM(SUMIFS(K55:HB55,$K$13:$HB$13,{"エネルギー管理指定工場等*","県域*"}))</f>
        <v>0</v>
      </c>
      <c r="HH55" s="402">
        <f>SUM(SUMIFS(L55:HC55,$K$13:$HB$13,{"エネルギー管理指定工場等*","県域*"}))</f>
        <v>0</v>
      </c>
      <c r="HI55" s="402">
        <f>SUM(SUMIFS(M55:HD55,$K$13:$HB$13,{"エネルギー管理指定工場等*","県域*"}))</f>
        <v>0</v>
      </c>
      <c r="HJ55" s="401"/>
      <c r="HL55" s="388">
        <v>46</v>
      </c>
      <c r="HM55" s="1189"/>
      <c r="HN55" s="1200" t="str">
        <f ca="1">IF(COUNTIF(HN$10:HN54,OFFSET(A1_原単位2024,5,HL55+2))&gt;=1,"",OFFSET(A1_原単位2024,5,HL55+2)&amp;"")</f>
        <v/>
      </c>
      <c r="HO55" s="1204" t="str">
        <f t="shared" ca="1" si="64"/>
        <v/>
      </c>
      <c r="HP55" s="1205" t="str">
        <f t="shared" ca="1" si="65"/>
        <v/>
      </c>
      <c r="HQ55" s="1189"/>
      <c r="HR55" s="1200" t="str">
        <f ca="1">IF(COUNTIF(HR$10:HR54,OFFSET(A1_原単位2024,17,HL55+2))&gt;=1,"",OFFSET(A1_原単位2024,17,HL55+2)&amp;"")</f>
        <v/>
      </c>
      <c r="HS55" s="1212" t="str">
        <f t="shared" ca="1" si="66"/>
        <v/>
      </c>
      <c r="HT55" s="1213" t="str">
        <f t="shared" ca="1" si="67"/>
        <v/>
      </c>
      <c r="HU55" s="1214"/>
      <c r="HV55" s="1200" t="str">
        <f ca="1">IF(COUNTIF(HV$10:HV54,OFFSET(A1_原単位2024,29,HL55+2))&gt;=1,"",OFFSET(A1_原単位2024,29,HL55+2)&amp;"")</f>
        <v/>
      </c>
      <c r="HW55" s="1212" t="str">
        <f t="shared" ca="1" si="68"/>
        <v/>
      </c>
      <c r="HX55" s="1213" t="str">
        <f t="shared" ca="1" si="69"/>
        <v/>
      </c>
      <c r="HY55" s="1214"/>
      <c r="HZ55" s="1200" t="str">
        <f ca="1">IF(COUNTIF(HZ$10:HZ54,OFFSET(A1_原単位2024,41,HL55+2))&gt;=1,"",OFFSET(A1_原単位2024,41,HL55+2)&amp;"")</f>
        <v/>
      </c>
      <c r="IA55" s="1215" t="str">
        <f t="shared" ca="1" si="70"/>
        <v/>
      </c>
      <c r="IB55" s="1216" t="str">
        <f t="shared" ca="1" si="71"/>
        <v/>
      </c>
      <c r="IE55" s="365" t="str">
        <f t="shared" ca="1" si="72"/>
        <v/>
      </c>
      <c r="IF55" s="365" t="str">
        <f t="shared" ca="1" si="73"/>
        <v/>
      </c>
      <c r="IG55" s="365" t="str">
        <f t="shared" ca="1" si="74"/>
        <v/>
      </c>
      <c r="IH55" s="365" t="str">
        <f t="shared" ca="1" si="75"/>
        <v/>
      </c>
    </row>
    <row r="56" spans="1:242" ht="19.8">
      <c r="A56" s="37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399">
        <f t="shared" si="63"/>
        <v>0</v>
      </c>
      <c r="HD56" s="402">
        <f t="shared" si="63"/>
        <v>0</v>
      </c>
      <c r="HE56" s="402">
        <f t="shared" si="63"/>
        <v>0</v>
      </c>
      <c r="HF56" s="401"/>
      <c r="HG56" s="399">
        <f>SUM(SUMIFS(K56:HB56,$K$13:$HB$13,{"エネルギー管理指定工場等*","県域*"}))</f>
        <v>0</v>
      </c>
      <c r="HH56" s="402">
        <f>SUM(SUMIFS(L56:HC56,$K$13:$HB$13,{"エネルギー管理指定工場等*","県域*"}))</f>
        <v>0</v>
      </c>
      <c r="HI56" s="402">
        <f>SUM(SUMIFS(M56:HD56,$K$13:$HB$13,{"エネルギー管理指定工場等*","県域*"}))</f>
        <v>0</v>
      </c>
      <c r="HJ56" s="401"/>
      <c r="HL56" s="387">
        <v>47</v>
      </c>
      <c r="HM56" s="1189"/>
      <c r="HN56" s="1200" t="str">
        <f ca="1">IF(COUNTIF(HN$10:HN55,OFFSET(A1_原単位2024,5,HL56+2))&gt;=1,"",OFFSET(A1_原単位2024,5,HL56+2)&amp;"")</f>
        <v/>
      </c>
      <c r="HO56" s="1204" t="str">
        <f t="shared" ca="1" si="64"/>
        <v/>
      </c>
      <c r="HP56" s="1205" t="str">
        <f t="shared" ca="1" si="65"/>
        <v/>
      </c>
      <c r="HQ56" s="1189"/>
      <c r="HR56" s="1200" t="str">
        <f ca="1">IF(COUNTIF(HR$10:HR55,OFFSET(A1_原単位2024,17,HL56+2))&gt;=1,"",OFFSET(A1_原単位2024,17,HL56+2)&amp;"")</f>
        <v/>
      </c>
      <c r="HS56" s="1212" t="str">
        <f t="shared" ca="1" si="66"/>
        <v/>
      </c>
      <c r="HT56" s="1213" t="str">
        <f t="shared" ca="1" si="67"/>
        <v/>
      </c>
      <c r="HU56" s="1214"/>
      <c r="HV56" s="1200" t="str">
        <f ca="1">IF(COUNTIF(HV$10:HV55,OFFSET(A1_原単位2024,29,HL56+2))&gt;=1,"",OFFSET(A1_原単位2024,29,HL56+2)&amp;"")</f>
        <v/>
      </c>
      <c r="HW56" s="1212" t="str">
        <f t="shared" ca="1" si="68"/>
        <v/>
      </c>
      <c r="HX56" s="1213" t="str">
        <f t="shared" ca="1" si="69"/>
        <v/>
      </c>
      <c r="HY56" s="1214"/>
      <c r="HZ56" s="1200" t="str">
        <f ca="1">IF(COUNTIF(HZ$10:HZ55,OFFSET(A1_原単位2024,41,HL56+2))&gt;=1,"",OFFSET(A1_原単位2024,41,HL56+2)&amp;"")</f>
        <v/>
      </c>
      <c r="IA56" s="1215" t="str">
        <f t="shared" ca="1" si="70"/>
        <v/>
      </c>
      <c r="IB56" s="1216" t="str">
        <f t="shared" ca="1" si="71"/>
        <v/>
      </c>
      <c r="IE56" s="365" t="str">
        <f t="shared" ca="1" si="72"/>
        <v/>
      </c>
      <c r="IF56" s="365" t="str">
        <f t="shared" ca="1" si="73"/>
        <v/>
      </c>
      <c r="IG56" s="365" t="str">
        <f t="shared" ca="1" si="74"/>
        <v/>
      </c>
      <c r="IH56" s="365" t="str">
        <f t="shared" ca="1" si="75"/>
        <v/>
      </c>
    </row>
    <row r="57" spans="1:242" ht="19.8">
      <c r="A57" s="37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399">
        <f t="shared" si="63"/>
        <v>0</v>
      </c>
      <c r="HD57" s="402">
        <f t="shared" si="63"/>
        <v>0</v>
      </c>
      <c r="HE57" s="402">
        <f t="shared" si="63"/>
        <v>0</v>
      </c>
      <c r="HF57" s="401"/>
      <c r="HG57" s="399">
        <f>SUM(SUMIFS(K57:HB57,$K$13:$HB$13,{"エネルギー管理指定工場等*","県域*"}))</f>
        <v>0</v>
      </c>
      <c r="HH57" s="402">
        <f>SUM(SUMIFS(L57:HC57,$K$13:$HB$13,{"エネルギー管理指定工場等*","県域*"}))</f>
        <v>0</v>
      </c>
      <c r="HI57" s="402">
        <f>SUM(SUMIFS(M57:HD57,$K$13:$HB$13,{"エネルギー管理指定工場等*","県域*"}))</f>
        <v>0</v>
      </c>
      <c r="HJ57" s="401"/>
      <c r="HL57" s="388">
        <v>48</v>
      </c>
      <c r="HM57" s="1189"/>
      <c r="HN57" s="1200" t="str">
        <f ca="1">IF(COUNTIF(HN$10:HN56,OFFSET(A1_原単位2024,5,HL57+2))&gt;=1,"",OFFSET(A1_原単位2024,5,HL57+2)&amp;"")</f>
        <v/>
      </c>
      <c r="HO57" s="1204" t="str">
        <f t="shared" ca="1" si="64"/>
        <v/>
      </c>
      <c r="HP57" s="1205" t="str">
        <f t="shared" ca="1" si="65"/>
        <v/>
      </c>
      <c r="HQ57" s="1189"/>
      <c r="HR57" s="1200" t="str">
        <f ca="1">IF(COUNTIF(HR$10:HR56,OFFSET(A1_原単位2024,17,HL57+2))&gt;=1,"",OFFSET(A1_原単位2024,17,HL57+2)&amp;"")</f>
        <v/>
      </c>
      <c r="HS57" s="1212" t="str">
        <f t="shared" ca="1" si="66"/>
        <v/>
      </c>
      <c r="HT57" s="1213" t="str">
        <f t="shared" ca="1" si="67"/>
        <v/>
      </c>
      <c r="HU57" s="1214"/>
      <c r="HV57" s="1200" t="str">
        <f ca="1">IF(COUNTIF(HV$10:HV56,OFFSET(A1_原単位2024,29,HL57+2))&gt;=1,"",OFFSET(A1_原単位2024,29,HL57+2)&amp;"")</f>
        <v/>
      </c>
      <c r="HW57" s="1212" t="str">
        <f t="shared" ca="1" si="68"/>
        <v/>
      </c>
      <c r="HX57" s="1213" t="str">
        <f t="shared" ca="1" si="69"/>
        <v/>
      </c>
      <c r="HY57" s="1214"/>
      <c r="HZ57" s="1200" t="str">
        <f ca="1">IF(COUNTIF(HZ$10:HZ56,OFFSET(A1_原単位2024,41,HL57+2))&gt;=1,"",OFFSET(A1_原単位2024,41,HL57+2)&amp;"")</f>
        <v/>
      </c>
      <c r="IA57" s="1215" t="str">
        <f t="shared" ca="1" si="70"/>
        <v/>
      </c>
      <c r="IB57" s="1216" t="str">
        <f t="shared" ca="1" si="71"/>
        <v/>
      </c>
      <c r="IE57" s="365" t="str">
        <f t="shared" ca="1" si="72"/>
        <v/>
      </c>
      <c r="IF57" s="365" t="str">
        <f t="shared" ca="1" si="73"/>
        <v/>
      </c>
      <c r="IG57" s="365" t="str">
        <f t="shared" ca="1" si="74"/>
        <v/>
      </c>
      <c r="IH57" s="365" t="str">
        <f t="shared" ca="1" si="75"/>
        <v/>
      </c>
    </row>
    <row r="58" spans="1:242" ht="19.8">
      <c r="A58" s="37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399">
        <f t="shared" si="63"/>
        <v>0</v>
      </c>
      <c r="HD58" s="402">
        <f t="shared" si="63"/>
        <v>0</v>
      </c>
      <c r="HE58" s="402">
        <f t="shared" si="63"/>
        <v>0</v>
      </c>
      <c r="HF58" s="401"/>
      <c r="HG58" s="399">
        <f>SUM(SUMIFS(K58:HB58,$K$13:$HB$13,{"エネルギー管理指定工場等*","県域*"}))</f>
        <v>0</v>
      </c>
      <c r="HH58" s="402">
        <f>SUM(SUMIFS(L58:HC58,$K$13:$HB$13,{"エネルギー管理指定工場等*","県域*"}))</f>
        <v>0</v>
      </c>
      <c r="HI58" s="402">
        <f>SUM(SUMIFS(M58:HD58,$K$13:$HB$13,{"エネルギー管理指定工場等*","県域*"}))</f>
        <v>0</v>
      </c>
      <c r="HJ58" s="401"/>
      <c r="HL58" s="387">
        <v>49</v>
      </c>
      <c r="HM58" s="1189"/>
      <c r="HN58" s="1200" t="str">
        <f ca="1">IF(COUNTIF(HN$10:HN57,OFFSET(A1_原単位2024,5,HL58+2))&gt;=1,"",OFFSET(A1_原単位2024,5,HL58+2)&amp;"")</f>
        <v/>
      </c>
      <c r="HO58" s="1204" t="str">
        <f t="shared" ca="1" si="64"/>
        <v/>
      </c>
      <c r="HP58" s="1205" t="str">
        <f t="shared" ca="1" si="65"/>
        <v/>
      </c>
      <c r="HQ58" s="1189"/>
      <c r="HR58" s="1200" t="str">
        <f ca="1">IF(COUNTIF(HR$10:HR57,OFFSET(A1_原単位2024,17,HL58+2))&gt;=1,"",OFFSET(A1_原単位2024,17,HL58+2)&amp;"")</f>
        <v/>
      </c>
      <c r="HS58" s="1212" t="str">
        <f t="shared" ca="1" si="66"/>
        <v/>
      </c>
      <c r="HT58" s="1213" t="str">
        <f t="shared" ca="1" si="67"/>
        <v/>
      </c>
      <c r="HU58" s="1214"/>
      <c r="HV58" s="1200" t="str">
        <f ca="1">IF(COUNTIF(HV$10:HV57,OFFSET(A1_原単位2024,29,HL58+2))&gt;=1,"",OFFSET(A1_原単位2024,29,HL58+2)&amp;"")</f>
        <v/>
      </c>
      <c r="HW58" s="1212" t="str">
        <f t="shared" ca="1" si="68"/>
        <v/>
      </c>
      <c r="HX58" s="1213" t="str">
        <f t="shared" ca="1" si="69"/>
        <v/>
      </c>
      <c r="HY58" s="1214"/>
      <c r="HZ58" s="1200" t="str">
        <f ca="1">IF(COUNTIF(HZ$10:HZ57,OFFSET(A1_原単位2024,41,HL58+2))&gt;=1,"",OFFSET(A1_原単位2024,41,HL58+2)&amp;"")</f>
        <v/>
      </c>
      <c r="IA58" s="1215" t="str">
        <f t="shared" ca="1" si="70"/>
        <v/>
      </c>
      <c r="IB58" s="1216" t="str">
        <f t="shared" ca="1" si="71"/>
        <v/>
      </c>
      <c r="IE58" s="365" t="str">
        <f t="shared" ca="1" si="72"/>
        <v/>
      </c>
      <c r="IF58" s="365" t="str">
        <f t="shared" ca="1" si="73"/>
        <v/>
      </c>
      <c r="IG58" s="365" t="str">
        <f t="shared" ca="1" si="74"/>
        <v/>
      </c>
      <c r="IH58" s="365" t="str">
        <f t="shared" ca="1" si="75"/>
        <v/>
      </c>
    </row>
    <row r="59" spans="1:242" ht="20.399999999999999" thickBot="1">
      <c r="A59" s="37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399">
        <f t="shared" si="63"/>
        <v>0</v>
      </c>
      <c r="HD59" s="402">
        <f t="shared" si="63"/>
        <v>0</v>
      </c>
      <c r="HE59" s="402">
        <f t="shared" si="63"/>
        <v>0</v>
      </c>
      <c r="HF59" s="401"/>
      <c r="HG59" s="399">
        <f>SUM(SUMIFS(K59:HB59,$K$13:$HB$13,{"エネルギー管理指定工場等*","県域*"}))</f>
        <v>0</v>
      </c>
      <c r="HH59" s="402">
        <f>SUM(SUMIFS(L59:HC59,$K$13:$HB$13,{"エネルギー管理指定工場等*","県域*"}))</f>
        <v>0</v>
      </c>
      <c r="HI59" s="402">
        <f>SUM(SUMIFS(M59:HD59,$K$13:$HB$13,{"エネルギー管理指定工場等*","県域*"}))</f>
        <v>0</v>
      </c>
      <c r="HJ59" s="401"/>
      <c r="HL59" s="407">
        <v>50</v>
      </c>
      <c r="HM59" s="1190"/>
      <c r="HN59" s="1201" t="str">
        <f ca="1">IF(COUNTIF(HN$10:HN58,OFFSET(A1_原単位2024,5,HL59+2))&gt;=1,"",OFFSET(A1_原単位2024,5,HL59+2)&amp;"")</f>
        <v/>
      </c>
      <c r="HO59" s="1206" t="str">
        <f t="shared" ca="1" si="64"/>
        <v/>
      </c>
      <c r="HP59" s="1207" t="str">
        <f t="shared" ca="1" si="65"/>
        <v/>
      </c>
      <c r="HQ59" s="1190"/>
      <c r="HR59" s="1201" t="str">
        <f ca="1">IF(COUNTIF(HR$10:HR58,OFFSET(A1_原単位2024,17,HL59+2))&gt;=1,"",OFFSET(A1_原単位2024,17,HL59+2)&amp;"")</f>
        <v/>
      </c>
      <c r="HS59" s="1217" t="str">
        <f t="shared" ca="1" si="66"/>
        <v/>
      </c>
      <c r="HT59" s="1218" t="str">
        <f t="shared" ca="1" si="67"/>
        <v/>
      </c>
      <c r="HU59" s="1219"/>
      <c r="HV59" s="1201" t="str">
        <f ca="1">IF(COUNTIF(HV$10:HV58,OFFSET(A1_原単位2024,29,HL59+2))&gt;=1,"",OFFSET(A1_原単位2024,29,HL59+2)&amp;"")</f>
        <v/>
      </c>
      <c r="HW59" s="1217" t="str">
        <f t="shared" ca="1" si="68"/>
        <v/>
      </c>
      <c r="HX59" s="1218" t="str">
        <f t="shared" ca="1" si="69"/>
        <v/>
      </c>
      <c r="HY59" s="1219"/>
      <c r="HZ59" s="1201" t="str">
        <f ca="1">IF(COUNTIF(HZ$10:HZ58,OFFSET(A1_原単位2024,41,HL59+2))&gt;=1,"",OFFSET(A1_原単位2024,41,HL59+2)&amp;"")</f>
        <v/>
      </c>
      <c r="IA59" s="1220" t="str">
        <f t="shared" ca="1" si="70"/>
        <v/>
      </c>
      <c r="IB59" s="1221" t="str">
        <f t="shared" ca="1" si="71"/>
        <v/>
      </c>
      <c r="IE59" s="365" t="str">
        <f t="shared" ca="1" si="72"/>
        <v/>
      </c>
      <c r="IF59" s="365" t="str">
        <f t="shared" ca="1" si="73"/>
        <v/>
      </c>
      <c r="IG59" s="365" t="str">
        <f t="shared" ca="1" si="74"/>
        <v/>
      </c>
      <c r="IH59" s="365" t="str">
        <f t="shared" ca="1" si="75"/>
        <v/>
      </c>
    </row>
    <row r="60" spans="1:242" ht="19.8">
      <c r="A60" s="37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399">
        <f t="shared" si="63"/>
        <v>0</v>
      </c>
      <c r="HD60" s="402">
        <f t="shared" si="63"/>
        <v>0</v>
      </c>
      <c r="HE60" s="402">
        <f t="shared" si="63"/>
        <v>0</v>
      </c>
      <c r="HF60" s="401"/>
      <c r="HG60" s="399">
        <f>SUM(SUMIFS(K60:HB60,$K$13:$HB$13,{"エネルギー管理指定工場等*","県域*"}))</f>
        <v>0</v>
      </c>
      <c r="HH60" s="402">
        <f>SUM(SUMIFS(L60:HC60,$K$13:$HB$13,{"エネルギー管理指定工場等*","県域*"}))</f>
        <v>0</v>
      </c>
      <c r="HI60" s="402">
        <f>SUM(SUMIFS(M60:HD60,$K$13:$HB$13,{"エネルギー管理指定工場等*","県域*"}))</f>
        <v>0</v>
      </c>
      <c r="HJ60" s="401"/>
    </row>
    <row r="61" spans="1:242" ht="19.8">
      <c r="A61" s="37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399">
        <f t="shared" si="63"/>
        <v>0</v>
      </c>
      <c r="HD61" s="402">
        <f t="shared" si="63"/>
        <v>0</v>
      </c>
      <c r="HE61" s="402">
        <f t="shared" si="63"/>
        <v>0</v>
      </c>
      <c r="HF61" s="401"/>
      <c r="HG61" s="399">
        <f>SUM(SUMIFS(K61:HB61,$K$13:$HB$13,{"エネルギー管理指定工場等*","県域*"}))</f>
        <v>0</v>
      </c>
      <c r="HH61" s="402">
        <f>SUM(SUMIFS(L61:HC61,$K$13:$HB$13,{"エネルギー管理指定工場等*","県域*"}))</f>
        <v>0</v>
      </c>
      <c r="HI61" s="402">
        <f>SUM(SUMIFS(M61:HD61,$K$13:$HB$13,{"エネルギー管理指定工場等*","県域*"}))</f>
        <v>0</v>
      </c>
      <c r="HJ61" s="401"/>
    </row>
    <row r="62" spans="1:242" ht="19.8">
      <c r="A62" s="37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399">
        <f t="shared" si="63"/>
        <v>0</v>
      </c>
      <c r="HD62" s="402">
        <f t="shared" si="63"/>
        <v>0</v>
      </c>
      <c r="HE62" s="402">
        <f t="shared" si="63"/>
        <v>0</v>
      </c>
      <c r="HF62" s="401"/>
      <c r="HG62" s="399">
        <f>SUM(SUMIFS(K62:HB62,$K$13:$HB$13,{"エネルギー管理指定工場等*","県域*"}))</f>
        <v>0</v>
      </c>
      <c r="HH62" s="402">
        <f>SUM(SUMIFS(L62:HC62,$K$13:$HB$13,{"エネルギー管理指定工場等*","県域*"}))</f>
        <v>0</v>
      </c>
      <c r="HI62" s="402">
        <f>SUM(SUMIFS(M62:HD62,$K$13:$HB$13,{"エネルギー管理指定工場等*","県域*"}))</f>
        <v>0</v>
      </c>
      <c r="HJ62" s="401"/>
    </row>
    <row r="63" spans="1:242" ht="19.8">
      <c r="A63" s="37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399">
        <f t="shared" si="63"/>
        <v>0</v>
      </c>
      <c r="HD63" s="402">
        <f t="shared" si="63"/>
        <v>0</v>
      </c>
      <c r="HE63" s="402">
        <f t="shared" si="63"/>
        <v>0</v>
      </c>
      <c r="HF63" s="401"/>
      <c r="HG63" s="399">
        <f>SUM(SUMIFS(K63:HB63,$K$13:$HB$13,{"エネルギー管理指定工場等*","県域*"}))</f>
        <v>0</v>
      </c>
      <c r="HH63" s="402">
        <f>SUM(SUMIFS(L63:HC63,$K$13:$HB$13,{"エネルギー管理指定工場等*","県域*"}))</f>
        <v>0</v>
      </c>
      <c r="HI63" s="402">
        <f>SUM(SUMIFS(M63:HD63,$K$13:$HB$13,{"エネルギー管理指定工場等*","県域*"}))</f>
        <v>0</v>
      </c>
      <c r="HJ63" s="401"/>
    </row>
    <row r="64" spans="1:242" ht="19.8">
      <c r="A64" s="37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399">
        <f t="shared" si="63"/>
        <v>0</v>
      </c>
      <c r="HD64" s="402">
        <f t="shared" si="63"/>
        <v>0</v>
      </c>
      <c r="HE64" s="402">
        <f t="shared" si="63"/>
        <v>0</v>
      </c>
      <c r="HF64" s="401"/>
      <c r="HG64" s="399">
        <f>SUM(SUMIFS(K64:HB64,$K$13:$HB$13,{"エネルギー管理指定工場等*","県域*"}))</f>
        <v>0</v>
      </c>
      <c r="HH64" s="402">
        <f>SUM(SUMIFS(L64:HC64,$K$13:$HB$13,{"エネルギー管理指定工場等*","県域*"}))</f>
        <v>0</v>
      </c>
      <c r="HI64" s="402">
        <f>SUM(SUMIFS(M64:HD64,$K$13:$HB$13,{"エネルギー管理指定工場等*","県域*"}))</f>
        <v>0</v>
      </c>
      <c r="HJ64" s="401"/>
    </row>
    <row r="65" spans="1:218" ht="59.4">
      <c r="A65" s="371"/>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399">
        <f t="shared" si="63"/>
        <v>0</v>
      </c>
      <c r="HD65" s="408"/>
      <c r="HE65" s="402">
        <f t="shared" si="63"/>
        <v>0</v>
      </c>
      <c r="HF65" s="400">
        <f t="shared" si="63"/>
        <v>0</v>
      </c>
      <c r="HG65" s="399">
        <f>SUM(SUMIFS(K65:HB65,$K$13:$HB$13,{"エネルギー管理指定工場等*","県域*"}))</f>
        <v>0</v>
      </c>
      <c r="HH65" s="408"/>
      <c r="HI65" s="402">
        <f>SUM(SUMIFS(M65:HD65,$K$13:$HB$13,{"エネルギー管理指定工場等*","県域*"}))</f>
        <v>0</v>
      </c>
      <c r="HJ65" s="400">
        <f>SUM(SUMIFS(N65:HE65,$K$13:$HB$13,{"エネルギー管理指定工場等*","県域*"}))</f>
        <v>0</v>
      </c>
    </row>
    <row r="66" spans="1:218" ht="19.8">
      <c r="A66" s="37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399">
        <f t="shared" si="63"/>
        <v>0</v>
      </c>
      <c r="HD66" s="408"/>
      <c r="HE66" s="402">
        <f t="shared" si="63"/>
        <v>0</v>
      </c>
      <c r="HF66" s="400">
        <f t="shared" si="63"/>
        <v>0</v>
      </c>
      <c r="HG66" s="399">
        <f>SUM(SUMIFS(K66:HB66,$K$13:$HB$13,{"エネルギー管理指定工場等*","県域*"}))</f>
        <v>0</v>
      </c>
      <c r="HH66" s="408"/>
      <c r="HI66" s="402">
        <f>SUM(SUMIFS(M66:HD66,$K$13:$HB$13,{"エネルギー管理指定工場等*","県域*"}))</f>
        <v>0</v>
      </c>
      <c r="HJ66" s="400">
        <f>SUM(SUMIFS(N66:HE66,$K$13:$HB$13,{"エネルギー管理指定工場等*","県域*"}))</f>
        <v>0</v>
      </c>
    </row>
    <row r="67" spans="1:218" ht="19.8">
      <c r="A67" s="37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399">
        <f t="shared" si="63"/>
        <v>0</v>
      </c>
      <c r="HD67" s="408"/>
      <c r="HE67" s="402">
        <f t="shared" si="63"/>
        <v>0</v>
      </c>
      <c r="HF67" s="400">
        <f t="shared" si="63"/>
        <v>0</v>
      </c>
      <c r="HG67" s="399">
        <f>SUM(SUMIFS(K67:HB67,$K$13:$HB$13,{"エネルギー管理指定工場等*","県域*"}))</f>
        <v>0</v>
      </c>
      <c r="HH67" s="408"/>
      <c r="HI67" s="402">
        <f>SUM(SUMIFS(M67:HD67,$K$13:$HB$13,{"エネルギー管理指定工場等*","県域*"}))</f>
        <v>0</v>
      </c>
      <c r="HJ67" s="400">
        <f>SUM(SUMIFS(N67:HE67,$K$13:$HB$13,{"エネルギー管理指定工場等*","県域*"}))</f>
        <v>0</v>
      </c>
    </row>
    <row r="68" spans="1:218" ht="19.8">
      <c r="A68" s="37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399">
        <f t="shared" si="63"/>
        <v>0</v>
      </c>
      <c r="HD68" s="408"/>
      <c r="HE68" s="402">
        <f t="shared" si="63"/>
        <v>0</v>
      </c>
      <c r="HF68" s="400">
        <f t="shared" si="63"/>
        <v>0</v>
      </c>
      <c r="HG68" s="399">
        <f>SUM(SUMIFS(K68:HB68,$K$13:$HB$13,{"エネルギー管理指定工場等*","県域*"}))</f>
        <v>0</v>
      </c>
      <c r="HH68" s="408"/>
      <c r="HI68" s="402">
        <f>SUM(SUMIFS(M68:HD68,$K$13:$HB$13,{"エネルギー管理指定工場等*","県域*"}))</f>
        <v>0</v>
      </c>
      <c r="HJ68" s="400">
        <f>SUM(SUMIFS(N68:HE68,$K$13:$HB$13,{"エネルギー管理指定工場等*","県域*"}))</f>
        <v>0</v>
      </c>
    </row>
    <row r="69" spans="1:218" ht="19.8">
      <c r="A69" s="37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399">
        <f t="shared" si="63"/>
        <v>0</v>
      </c>
      <c r="HD69" s="408"/>
      <c r="HE69" s="402">
        <f t="shared" si="63"/>
        <v>0</v>
      </c>
      <c r="HF69" s="400">
        <f t="shared" si="63"/>
        <v>0</v>
      </c>
      <c r="HG69" s="399">
        <f>SUM(SUMIFS(K69:HB69,$K$13:$HB$13,{"エネルギー管理指定工場等*","県域*"}))</f>
        <v>0</v>
      </c>
      <c r="HH69" s="408"/>
      <c r="HI69" s="402">
        <f>SUM(SUMIFS(M69:HD69,$K$13:$HB$13,{"エネルギー管理指定工場等*","県域*"}))</f>
        <v>0</v>
      </c>
      <c r="HJ69" s="400">
        <f>SUM(SUMIFS(N69:HE69,$K$13:$HB$13,{"エネルギー管理指定工場等*","県域*"}))</f>
        <v>0</v>
      </c>
    </row>
    <row r="70" spans="1:218" ht="19.8">
      <c r="A70" s="37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399">
        <f t="shared" si="63"/>
        <v>0</v>
      </c>
      <c r="HD70" s="408"/>
      <c r="HE70" s="402">
        <f t="shared" si="63"/>
        <v>0</v>
      </c>
      <c r="HF70" s="400">
        <f t="shared" si="63"/>
        <v>0</v>
      </c>
      <c r="HG70" s="399">
        <f>SUM(SUMIFS(K70:HB70,$K$13:$HB$13,{"エネルギー管理指定工場等*","県域*"}))</f>
        <v>0</v>
      </c>
      <c r="HH70" s="408"/>
      <c r="HI70" s="402">
        <f>SUM(SUMIFS(M70:HD70,$K$13:$HB$13,{"エネルギー管理指定工場等*","県域*"}))</f>
        <v>0</v>
      </c>
      <c r="HJ70" s="400">
        <f>SUM(SUMIFS(N70:HE70,$K$13:$HB$13,{"エネルギー管理指定工場等*","県域*"}))</f>
        <v>0</v>
      </c>
    </row>
    <row r="71" spans="1:218" ht="19.8">
      <c r="A71" s="37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399">
        <f t="shared" si="63"/>
        <v>0</v>
      </c>
      <c r="HD71" s="408"/>
      <c r="HE71" s="402">
        <f t="shared" si="63"/>
        <v>0</v>
      </c>
      <c r="HF71" s="400">
        <f t="shared" si="63"/>
        <v>0</v>
      </c>
      <c r="HG71" s="399">
        <f>SUM(SUMIFS(K71:HB71,$K$13:$HB$13,{"エネルギー管理指定工場等*","県域*"}))</f>
        <v>0</v>
      </c>
      <c r="HH71" s="408"/>
      <c r="HI71" s="402">
        <f>SUM(SUMIFS(M71:HD71,$K$13:$HB$13,{"エネルギー管理指定工場等*","県域*"}))</f>
        <v>0</v>
      </c>
      <c r="HJ71" s="400">
        <f>SUM(SUMIFS(N71:HE71,$K$13:$HB$13,{"エネルギー管理指定工場等*","県域*"}))</f>
        <v>0</v>
      </c>
    </row>
    <row r="72" spans="1:218" ht="19.8">
      <c r="A72" s="37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399">
        <f t="shared" si="63"/>
        <v>0</v>
      </c>
      <c r="HD72" s="408"/>
      <c r="HE72" s="402">
        <f t="shared" si="63"/>
        <v>0</v>
      </c>
      <c r="HF72" s="400">
        <f t="shared" si="63"/>
        <v>0</v>
      </c>
      <c r="HG72" s="399">
        <f>SUM(SUMIFS(K72:HB72,$K$13:$HB$13,{"エネルギー管理指定工場等*","県域*"}))</f>
        <v>0</v>
      </c>
      <c r="HH72" s="408"/>
      <c r="HI72" s="402">
        <f>SUM(SUMIFS(M72:HD72,$K$13:$HB$13,{"エネルギー管理指定工場等*","県域*"}))</f>
        <v>0</v>
      </c>
      <c r="HJ72" s="400">
        <f>SUM(SUMIFS(N72:HE72,$K$13:$HB$13,{"エネルギー管理指定工場等*","県域*"}))</f>
        <v>0</v>
      </c>
    </row>
    <row r="73" spans="1:218" ht="19.8">
      <c r="A73" s="37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399">
        <f t="shared" si="63"/>
        <v>0</v>
      </c>
      <c r="HD73" s="408"/>
      <c r="HE73" s="402">
        <f t="shared" si="63"/>
        <v>0</v>
      </c>
      <c r="HF73" s="400">
        <f t="shared" si="63"/>
        <v>0</v>
      </c>
      <c r="HG73" s="399">
        <f>SUM(SUMIFS(K73:HB73,$K$13:$HB$13,{"エネルギー管理指定工場等*","県域*"}))</f>
        <v>0</v>
      </c>
      <c r="HH73" s="408"/>
      <c r="HI73" s="402">
        <f>SUM(SUMIFS(M73:HD73,$K$13:$HB$13,{"エネルギー管理指定工場等*","県域*"}))</f>
        <v>0</v>
      </c>
      <c r="HJ73" s="400">
        <f>SUM(SUMIFS(N73:HE73,$K$13:$HB$13,{"エネルギー管理指定工場等*","県域*"}))</f>
        <v>0</v>
      </c>
    </row>
    <row r="74" spans="1:218" ht="19.8">
      <c r="A74" s="37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406">
        <f t="shared" si="63"/>
        <v>0</v>
      </c>
      <c r="HD74" s="409"/>
      <c r="HE74" s="403">
        <f t="shared" si="63"/>
        <v>0</v>
      </c>
      <c r="HF74" s="410">
        <f t="shared" si="63"/>
        <v>0</v>
      </c>
      <c r="HG74" s="406">
        <f>SUM(SUMIFS(K74:HB74,$K$13:$HB$13,{"エネルギー管理指定工場等*","県域*"}))</f>
        <v>0</v>
      </c>
      <c r="HH74" s="409"/>
      <c r="HI74" s="403">
        <f>SUM(SUMIFS(M74:HD74,$K$13:$HB$13,{"エネルギー管理指定工場等*","県域*"}))</f>
        <v>0</v>
      </c>
      <c r="HJ74" s="410">
        <f>SUM(SUMIFS(N74:HE74,$K$13:$HB$13,{"エネルギー管理指定工場等*","県域*"}))</f>
        <v>0</v>
      </c>
    </row>
    <row r="75" spans="1:218" ht="39.6">
      <c r="A75" s="371"/>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406">
        <f t="shared" si="63"/>
        <v>0</v>
      </c>
      <c r="HD75" s="409"/>
      <c r="HE75" s="403">
        <f t="shared" si="63"/>
        <v>0</v>
      </c>
      <c r="HF75" s="410">
        <f t="shared" si="63"/>
        <v>0</v>
      </c>
      <c r="HG75" s="406">
        <f>SUM(SUMIFS(K75:HB75,$K$13:$HB$13,{"エネルギー管理指定工場等*","県域*"}))</f>
        <v>0</v>
      </c>
      <c r="HH75" s="409"/>
      <c r="HI75" s="403">
        <f>SUM(SUMIFS(M75:HD75,$K$13:$HB$13,{"エネルギー管理指定工場等*","県域*"}))</f>
        <v>0</v>
      </c>
      <c r="HJ75" s="410">
        <f>SUM(SUMIFS(N75:HE75,$K$13:$HB$13,{"エネルギー管理指定工場等*","県域*"}))</f>
        <v>0</v>
      </c>
    </row>
    <row r="76" spans="1:218" ht="19.8">
      <c r="A76" s="37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406">
        <f t="shared" si="63"/>
        <v>0</v>
      </c>
      <c r="HD76" s="409"/>
      <c r="HE76" s="403">
        <f t="shared" si="63"/>
        <v>0</v>
      </c>
      <c r="HF76" s="410">
        <f t="shared" si="63"/>
        <v>0</v>
      </c>
      <c r="HG76" s="406">
        <f>SUM(SUMIFS(K76:HB76,$K$13:$HB$13,{"エネルギー管理指定工場等*","県域*"}))</f>
        <v>0</v>
      </c>
      <c r="HH76" s="409"/>
      <c r="HI76" s="403">
        <f>SUM(SUMIFS(M76:HD76,$K$13:$HB$13,{"エネルギー管理指定工場等*","県域*"}))</f>
        <v>0</v>
      </c>
      <c r="HJ76" s="410">
        <f>SUM(SUMIFS(N76:HE76,$K$13:$HB$13,{"エネルギー管理指定工場等*","県域*"}))</f>
        <v>0</v>
      </c>
    </row>
    <row r="77" spans="1:218" ht="19.8">
      <c r="A77" s="37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406">
        <f t="shared" si="63"/>
        <v>0</v>
      </c>
      <c r="HD77" s="409"/>
      <c r="HE77" s="403">
        <f t="shared" si="63"/>
        <v>0</v>
      </c>
      <c r="HF77" s="410">
        <f t="shared" si="63"/>
        <v>0</v>
      </c>
      <c r="HG77" s="406">
        <f>SUM(SUMIFS(K77:HB77,$K$13:$HB$13,{"エネルギー管理指定工場等*","県域*"}))</f>
        <v>0</v>
      </c>
      <c r="HH77" s="409"/>
      <c r="HI77" s="403">
        <f>SUM(SUMIFS(M77:HD77,$K$13:$HB$13,{"エネルギー管理指定工場等*","県域*"}))</f>
        <v>0</v>
      </c>
      <c r="HJ77" s="410">
        <f>SUM(SUMIFS(N77:HE77,$K$13:$HB$13,{"エネルギー管理指定工場等*","県域*"}))</f>
        <v>0</v>
      </c>
    </row>
    <row r="78" spans="1:218" ht="19.8">
      <c r="A78" s="37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406">
        <f t="shared" si="63"/>
        <v>0</v>
      </c>
      <c r="HD78" s="409"/>
      <c r="HE78" s="403">
        <f t="shared" si="63"/>
        <v>0</v>
      </c>
      <c r="HF78" s="410">
        <f t="shared" si="63"/>
        <v>0</v>
      </c>
      <c r="HG78" s="406">
        <f>SUM(SUMIFS(K78:HB78,$K$13:$HB$13,{"エネルギー管理指定工場等*","県域*"}))</f>
        <v>0</v>
      </c>
      <c r="HH78" s="409"/>
      <c r="HI78" s="403">
        <f>SUM(SUMIFS(M78:HD78,$K$13:$HB$13,{"エネルギー管理指定工場等*","県域*"}))</f>
        <v>0</v>
      </c>
      <c r="HJ78" s="410">
        <f>SUM(SUMIFS(N78:HE78,$K$13:$HB$13,{"エネルギー管理指定工場等*","県域*"}))</f>
        <v>0</v>
      </c>
    </row>
    <row r="79" spans="1:218" ht="19.8">
      <c r="A79" s="37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406">
        <f t="shared" si="63"/>
        <v>0</v>
      </c>
      <c r="HD79" s="409"/>
      <c r="HE79" s="403">
        <f t="shared" si="63"/>
        <v>0</v>
      </c>
      <c r="HF79" s="410">
        <f t="shared" si="63"/>
        <v>0</v>
      </c>
      <c r="HG79" s="406">
        <f>SUM(SUMIFS(K79:HB79,$K$13:$HB$13,{"エネルギー管理指定工場等*","県域*"}))</f>
        <v>0</v>
      </c>
      <c r="HH79" s="409"/>
      <c r="HI79" s="403">
        <f>SUM(SUMIFS(M79:HD79,$K$13:$HB$13,{"エネルギー管理指定工場等*","県域*"}))</f>
        <v>0</v>
      </c>
      <c r="HJ79" s="410">
        <f>SUM(SUMIFS(N79:HE79,$K$13:$HB$13,{"エネルギー管理指定工場等*","県域*"}))</f>
        <v>0</v>
      </c>
    </row>
    <row r="80" spans="1:218" ht="19.8">
      <c r="A80" s="37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399">
        <f t="shared" si="63"/>
        <v>0</v>
      </c>
      <c r="HD80" s="408"/>
      <c r="HE80" s="402">
        <f t="shared" si="63"/>
        <v>0</v>
      </c>
      <c r="HF80" s="400">
        <f t="shared" si="63"/>
        <v>0</v>
      </c>
      <c r="HG80" s="399">
        <f>SUM(SUMIFS(K80:HB80,$K$13:$HB$13,{"エネルギー管理指定工場等*","県域*"}))</f>
        <v>0</v>
      </c>
      <c r="HH80" s="408"/>
      <c r="HI80" s="402">
        <f>SUM(SUMIFS(M80:HD80,$K$13:$HB$13,{"エネルギー管理指定工場等*","県域*"}))</f>
        <v>0</v>
      </c>
      <c r="HJ80" s="400">
        <f>SUM(SUMIFS(N80:HE80,$K$13:$HB$13,{"エネルギー管理指定工場等*","県域*"}))</f>
        <v>0</v>
      </c>
    </row>
    <row r="81" spans="1:218" ht="59.4">
      <c r="A81" s="371"/>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405">
        <f t="shared" si="63"/>
        <v>0</v>
      </c>
      <c r="HD81" s="412"/>
      <c r="HE81" s="412"/>
      <c r="HF81" s="411"/>
      <c r="HG81" s="405">
        <f>SUM(SUMIFS(K81:HB81,$K$13:$HB$13,{"エネルギー管理指定工場等*","県域*"}))</f>
        <v>0</v>
      </c>
      <c r="HH81" s="412"/>
      <c r="HI81" s="412"/>
      <c r="HJ81" s="411"/>
    </row>
    <row r="82" spans="1:218" ht="19.8">
      <c r="A82" s="37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399">
        <f t="shared" ref="HC82:HC107" si="76">K82+O82+S82+W82+AA82+AE82+AI82+AM82+AQ82+AU82+AY82+BC82+BG82+BK82+BO82+BS82+BW82+CA82+CE82+CI82+CM82+CQ82+CU82+CY82+DC82+DG82+DK82+DO82+DS82+DW82+EA82+EE82+EI82+EM82+EQ82+EU82+EY82+FC82+FG82+FK82+FO82+FS82+FW82+GA82+GE82+GI82+GM82+GQ82+GU82+GY82</f>
        <v>0</v>
      </c>
      <c r="HD82" s="408"/>
      <c r="HE82" s="408"/>
      <c r="HF82" s="401"/>
      <c r="HG82" s="399">
        <f>SUM(SUMIFS(K82:HB82,$K$13:$HB$13,{"エネルギー管理指定工場等*","県域*"}))</f>
        <v>0</v>
      </c>
      <c r="HH82" s="408"/>
      <c r="HI82" s="408"/>
      <c r="HJ82" s="401"/>
    </row>
    <row r="83" spans="1:218" ht="39.6">
      <c r="A83" s="37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399">
        <f t="shared" si="76"/>
        <v>0</v>
      </c>
      <c r="HD83" s="408"/>
      <c r="HE83" s="408"/>
      <c r="HF83" s="401"/>
      <c r="HG83" s="399">
        <f>SUM(SUMIFS(K83:HB83,$K$13:$HB$13,{"エネルギー管理指定工場等*","県域*"}))</f>
        <v>0</v>
      </c>
      <c r="HH83" s="408"/>
      <c r="HI83" s="408"/>
      <c r="HJ83" s="401"/>
    </row>
    <row r="84" spans="1:218" ht="19.8">
      <c r="A84" s="37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399">
        <f t="shared" si="76"/>
        <v>0</v>
      </c>
      <c r="HD84" s="408"/>
      <c r="HE84" s="408"/>
      <c r="HF84" s="401"/>
      <c r="HG84" s="399">
        <f>SUM(SUMIFS(K84:HB84,$K$13:$HB$13,{"エネルギー管理指定工場等*","県域*"}))</f>
        <v>0</v>
      </c>
      <c r="HH84" s="408"/>
      <c r="HI84" s="408"/>
      <c r="HJ84" s="401"/>
    </row>
    <row r="85" spans="1:218" ht="19.8">
      <c r="A85" s="37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399">
        <f t="shared" si="76"/>
        <v>0</v>
      </c>
      <c r="HD85" s="408"/>
      <c r="HE85" s="408"/>
      <c r="HF85" s="401"/>
      <c r="HG85" s="399">
        <f>SUM(SUMIFS(K85:HB85,$K$13:$HB$13,{"エネルギー管理指定工場等*","県域*"}))</f>
        <v>0</v>
      </c>
      <c r="HH85" s="408"/>
      <c r="HI85" s="408"/>
      <c r="HJ85" s="401"/>
    </row>
    <row r="86" spans="1:218" ht="19.8">
      <c r="A86" s="37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399">
        <f t="shared" si="76"/>
        <v>0</v>
      </c>
      <c r="HD86" s="408"/>
      <c r="HE86" s="408"/>
      <c r="HF86" s="401"/>
      <c r="HG86" s="399">
        <f>SUM(SUMIFS(K86:HB86,$K$13:$HB$13,{"エネルギー管理指定工場等*","県域*"}))</f>
        <v>0</v>
      </c>
      <c r="HH86" s="408"/>
      <c r="HI86" s="408"/>
      <c r="HJ86" s="401"/>
    </row>
    <row r="87" spans="1:218" ht="19.8">
      <c r="A87" s="37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399">
        <f t="shared" si="76"/>
        <v>0</v>
      </c>
      <c r="HD87" s="408"/>
      <c r="HE87" s="408"/>
      <c r="HF87" s="401"/>
      <c r="HG87" s="399">
        <f>SUM(SUMIFS(K87:HB87,$K$13:$HB$13,{"エネルギー管理指定工場等*","県域*"}))</f>
        <v>0</v>
      </c>
      <c r="HH87" s="408"/>
      <c r="HI87" s="408"/>
      <c r="HJ87" s="401"/>
    </row>
    <row r="88" spans="1:218" ht="19.8">
      <c r="A88" s="37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399">
        <f t="shared" si="76"/>
        <v>0</v>
      </c>
      <c r="HD88" s="408"/>
      <c r="HE88" s="408"/>
      <c r="HF88" s="401"/>
      <c r="HG88" s="399">
        <f>SUM(SUMIFS(K88:HB88,$K$13:$HB$13,{"エネルギー管理指定工場等*","県域*"}))</f>
        <v>0</v>
      </c>
      <c r="HH88" s="408"/>
      <c r="HI88" s="408"/>
      <c r="HJ88" s="401"/>
    </row>
    <row r="89" spans="1:218" ht="19.8">
      <c r="A89" s="37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399">
        <f t="shared" si="76"/>
        <v>0</v>
      </c>
      <c r="HD89" s="408"/>
      <c r="HE89" s="408"/>
      <c r="HF89" s="401"/>
      <c r="HG89" s="399">
        <f>SUM(SUMIFS(K89:HB89,$K$13:$HB$13,{"エネルギー管理指定工場等*","県域*"}))</f>
        <v>0</v>
      </c>
      <c r="HH89" s="408"/>
      <c r="HI89" s="408"/>
      <c r="HJ89" s="401"/>
    </row>
    <row r="90" spans="1:218" ht="19.8">
      <c r="A90" s="37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399">
        <f t="shared" si="76"/>
        <v>0</v>
      </c>
      <c r="HD90" s="408"/>
      <c r="HE90" s="408"/>
      <c r="HF90" s="401"/>
      <c r="HG90" s="399">
        <f>SUM(SUMIFS(K90:HB90,$K$13:$HB$13,{"エネルギー管理指定工場等*","県域*"}))</f>
        <v>0</v>
      </c>
      <c r="HH90" s="408"/>
      <c r="HI90" s="408"/>
      <c r="HJ90" s="401"/>
    </row>
    <row r="91" spans="1:218" ht="19.8">
      <c r="A91" s="37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399">
        <f t="shared" si="76"/>
        <v>0</v>
      </c>
      <c r="HD91" s="408"/>
      <c r="HE91" s="408"/>
      <c r="HF91" s="401"/>
      <c r="HG91" s="399">
        <f>SUM(SUMIFS(K91:HB91,$K$13:$HB$13,{"エネルギー管理指定工場等*","県域*"}))</f>
        <v>0</v>
      </c>
      <c r="HH91" s="408"/>
      <c r="HI91" s="408"/>
      <c r="HJ91" s="401"/>
    </row>
    <row r="92" spans="1:218" ht="19.8">
      <c r="A92" s="37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399">
        <f t="shared" si="76"/>
        <v>0</v>
      </c>
      <c r="HD92" s="408"/>
      <c r="HE92" s="402">
        <f t="shared" ref="HE92:HE107" si="77">M92+Q92+U92+Y92+AC92+AG92+AK92+AO92+AS92+AW92+BA92+BE92+BI92+BM92+BQ92+BU92+BY92+CC92+CG92+CK92+CO92+CS92+CW92+DA92+DE92+DI92+DM92+DQ92+DU92+DY92+EC92+EG92+EK92+EO92+ES92+EW92+FA92+FE92+FI92+FM92+FQ92+FU92+FY92+GC92+GG92+GK92+GO92+GS92+GW92+HA92</f>
        <v>0</v>
      </c>
      <c r="HF92" s="401"/>
      <c r="HG92" s="399">
        <f>SUM(SUMIFS(K92:HB92,$K$13:$HB$13,{"エネルギー管理指定工場等*","県域*"}))</f>
        <v>0</v>
      </c>
      <c r="HH92" s="408"/>
      <c r="HI92" s="402">
        <f>SUM(SUMIFS(M92:HD92,$K$13:$HB$13,{"エネルギー管理指定工場等*","県域*"}))</f>
        <v>0</v>
      </c>
      <c r="HJ92" s="401"/>
    </row>
    <row r="93" spans="1:218" ht="19.8">
      <c r="A93" s="37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399">
        <f t="shared" si="76"/>
        <v>0</v>
      </c>
      <c r="HD93" s="408"/>
      <c r="HE93" s="408"/>
      <c r="HF93" s="401"/>
      <c r="HG93" s="399">
        <f>SUM(SUMIFS(K93:HB93,$K$13:$HB$13,{"エネルギー管理指定工場等*","県域*"}))</f>
        <v>0</v>
      </c>
      <c r="HH93" s="408"/>
      <c r="HI93" s="408"/>
      <c r="HJ93" s="401"/>
    </row>
    <row r="94" spans="1:218" ht="19.8">
      <c r="A94" s="37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399">
        <f t="shared" si="76"/>
        <v>0</v>
      </c>
      <c r="HD94" s="408"/>
      <c r="HE94" s="402">
        <f t="shared" ref="HE94" si="78">M94+Q94+U94+Y94+AC94+AG94+AK94+AO94+AS94+AW94+BA94+BE94+BI94+BM94+BQ94+BU94+BY94+CC94+CG94+CK94+CO94+CS94+CW94+DA94+DE94+DI94+DM94+DQ94+DU94+DY94+EC94+EG94+EK94+EO94+ES94+EW94+FA94+FE94+FI94+FM94+FQ94+FU94+FY94+GC94+GG94+GK94+GO94+GS94+GW94+HA94</f>
        <v>0</v>
      </c>
      <c r="HF94" s="401"/>
      <c r="HG94" s="399">
        <f>SUM(SUMIFS(K94:HB94,$K$13:$HB$13,{"エネルギー管理指定工場等*","県域*"}))</f>
        <v>0</v>
      </c>
      <c r="HH94" s="408"/>
      <c r="HI94" s="402">
        <f>SUM(SUMIFS(M94:HD94,$K$13:$HB$13,{"エネルギー管理指定工場等*","県域*"}))</f>
        <v>0</v>
      </c>
      <c r="HJ94" s="401"/>
    </row>
    <row r="95" spans="1:218" ht="19.8">
      <c r="A95" s="37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399">
        <f t="shared" si="76"/>
        <v>0</v>
      </c>
      <c r="HD95" s="408"/>
      <c r="HE95" s="408"/>
      <c r="HF95" s="401"/>
      <c r="HG95" s="399">
        <f>SUM(SUMIFS(K95:HB95,$K$13:$HB$13,{"エネルギー管理指定工場等*","県域*"}))</f>
        <v>0</v>
      </c>
      <c r="HH95" s="408"/>
      <c r="HI95" s="408"/>
      <c r="HJ95" s="401"/>
    </row>
    <row r="96" spans="1:218" ht="19.8">
      <c r="A96" s="37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399">
        <f t="shared" si="76"/>
        <v>0</v>
      </c>
      <c r="HD96" s="408"/>
      <c r="HE96" s="402">
        <f t="shared" si="77"/>
        <v>0</v>
      </c>
      <c r="HF96" s="401"/>
      <c r="HG96" s="399">
        <f>SUM(SUMIFS(K96:HB96,$K$13:$HB$13,{"エネルギー管理指定工場等*","県域*"}))</f>
        <v>0</v>
      </c>
      <c r="HH96" s="408"/>
      <c r="HI96" s="402">
        <f>SUM(SUMIFS(M96:HD96,$K$13:$HB$13,{"エネルギー管理指定工場等*","県域*"}))</f>
        <v>0</v>
      </c>
      <c r="HJ96" s="401"/>
    </row>
    <row r="97" spans="1:218" ht="19.8">
      <c r="A97" s="37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399">
        <f t="shared" si="76"/>
        <v>0</v>
      </c>
      <c r="HD97" s="408"/>
      <c r="HE97" s="408"/>
      <c r="HF97" s="401"/>
      <c r="HG97" s="399">
        <f>SUM(SUMIFS(K97:HB97,$K$13:$HB$13,{"エネルギー管理指定工場等*","県域*"}))</f>
        <v>0</v>
      </c>
      <c r="HH97" s="408"/>
      <c r="HI97" s="408"/>
      <c r="HJ97" s="401"/>
    </row>
    <row r="98" spans="1:218" ht="19.8">
      <c r="A98" s="37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399">
        <f t="shared" si="76"/>
        <v>0</v>
      </c>
      <c r="HD98" s="408"/>
      <c r="HE98" s="402">
        <f t="shared" si="77"/>
        <v>0</v>
      </c>
      <c r="HF98" s="401"/>
      <c r="HG98" s="399">
        <f>SUM(SUMIFS(K98:HB98,$K$13:$HB$13,{"エネルギー管理指定工場等*","県域*"}))</f>
        <v>0</v>
      </c>
      <c r="HH98" s="408"/>
      <c r="HI98" s="402">
        <f>SUM(SUMIFS(M98:HD98,$K$13:$HB$13,{"エネルギー管理指定工場等*","県域*"}))</f>
        <v>0</v>
      </c>
      <c r="HJ98" s="401"/>
    </row>
    <row r="99" spans="1:218" ht="19.8">
      <c r="A99" s="37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399">
        <f t="shared" si="76"/>
        <v>0</v>
      </c>
      <c r="HD99" s="408"/>
      <c r="HE99" s="408"/>
      <c r="HF99" s="401"/>
      <c r="HG99" s="399">
        <f>SUM(SUMIFS(K99:HB99,$K$13:$HB$13,{"エネルギー管理指定工場等*","県域*"}))</f>
        <v>0</v>
      </c>
      <c r="HH99" s="408"/>
      <c r="HI99" s="408"/>
      <c r="HJ99" s="401"/>
    </row>
    <row r="100" spans="1:218" ht="99">
      <c r="A100" s="371"/>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399">
        <f t="shared" si="76"/>
        <v>0</v>
      </c>
      <c r="HD100" s="408"/>
      <c r="HE100" s="402">
        <f t="shared" si="77"/>
        <v>0</v>
      </c>
      <c r="HF100" s="401"/>
      <c r="HG100" s="399">
        <f>SUM(SUMIFS(K100:HB100,$K$13:$HB$13,{"エネルギー管理指定工場等*","県域*"}))</f>
        <v>0</v>
      </c>
      <c r="HH100" s="408"/>
      <c r="HI100" s="402">
        <f>SUM(SUMIFS(M100:HD100,$K$13:$HB$13,{"エネルギー管理指定工場等*","県域*"}))</f>
        <v>0</v>
      </c>
      <c r="HJ100" s="401"/>
    </row>
    <row r="101" spans="1:218" ht="19.8">
      <c r="A101" s="37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399">
        <f t="shared" si="76"/>
        <v>0</v>
      </c>
      <c r="HD101" s="408"/>
      <c r="HE101" s="408"/>
      <c r="HF101" s="401"/>
      <c r="HG101" s="399">
        <f>SUM(SUMIFS(K101:HB101,$K$13:$HB$13,{"エネルギー管理指定工場等*","県域*"}))</f>
        <v>0</v>
      </c>
      <c r="HH101" s="408"/>
      <c r="HI101" s="408"/>
      <c r="HJ101" s="401"/>
    </row>
    <row r="102" spans="1:218" ht="19.8">
      <c r="A102" s="37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399">
        <f t="shared" si="76"/>
        <v>0</v>
      </c>
      <c r="HD102" s="408"/>
      <c r="HE102" s="402">
        <f t="shared" si="77"/>
        <v>0</v>
      </c>
      <c r="HF102" s="401"/>
      <c r="HG102" s="399">
        <f>SUM(SUMIFS(K102:HB102,$K$13:$HB$13,{"エネルギー管理指定工場等*","県域*"}))</f>
        <v>0</v>
      </c>
      <c r="HH102" s="408"/>
      <c r="HI102" s="402">
        <f>SUM(SUMIFS(M102:HD102,$K$13:$HB$13,{"エネルギー管理指定工場等*","県域*"}))</f>
        <v>0</v>
      </c>
      <c r="HJ102" s="401"/>
    </row>
    <row r="103" spans="1:218" ht="19.8">
      <c r="A103" s="37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399">
        <f t="shared" si="76"/>
        <v>0</v>
      </c>
      <c r="HD103" s="408"/>
      <c r="HE103" s="408"/>
      <c r="HF103" s="401"/>
      <c r="HG103" s="399">
        <f>SUM(SUMIFS(K103:HB103,$K$13:$HB$13,{"エネルギー管理指定工場等*","県域*"}))</f>
        <v>0</v>
      </c>
      <c r="HH103" s="408"/>
      <c r="HI103" s="408"/>
      <c r="HJ103" s="401"/>
    </row>
    <row r="104" spans="1:218" ht="59.4">
      <c r="A104" s="37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399">
        <f t="shared" si="76"/>
        <v>0</v>
      </c>
      <c r="HD104" s="408"/>
      <c r="HE104" s="402">
        <f t="shared" si="77"/>
        <v>0</v>
      </c>
      <c r="HF104" s="401"/>
      <c r="HG104" s="399">
        <f>SUM(SUMIFS(K104:HB104,$K$13:$HB$13,{"エネルギー管理指定工場等*","県域*"}))</f>
        <v>0</v>
      </c>
      <c r="HH104" s="408"/>
      <c r="HI104" s="402">
        <f>SUM(SUMIFS(M104:HD104,$K$13:$HB$13,{"エネルギー管理指定工場等*","県域*"}))</f>
        <v>0</v>
      </c>
      <c r="HJ104" s="401"/>
    </row>
    <row r="105" spans="1:218" ht="19.8">
      <c r="A105" s="37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399">
        <f t="shared" si="76"/>
        <v>0</v>
      </c>
      <c r="HD105" s="408"/>
      <c r="HE105" s="402">
        <f t="shared" si="77"/>
        <v>0</v>
      </c>
      <c r="HF105" s="401"/>
      <c r="HG105" s="399">
        <f>SUM(SUMIFS(K105:HB105,$K$13:$HB$13,{"エネルギー管理指定工場等*","県域*"}))</f>
        <v>0</v>
      </c>
      <c r="HH105" s="408"/>
      <c r="HI105" s="402">
        <f>SUM(SUMIFS(M105:HD105,$K$13:$HB$13,{"エネルギー管理指定工場等*","県域*"}))</f>
        <v>0</v>
      </c>
      <c r="HJ105" s="401"/>
    </row>
    <row r="106" spans="1:218" ht="59.4">
      <c r="A106" s="37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399">
        <f t="shared" si="76"/>
        <v>0</v>
      </c>
      <c r="HD106" s="408"/>
      <c r="HE106" s="402">
        <f t="shared" si="77"/>
        <v>0</v>
      </c>
      <c r="HF106" s="401"/>
      <c r="HG106" s="399">
        <f>SUM(SUMIFS(K106:HB106,$K$13:$HB$13,{"エネルギー管理指定工場等*","県域*"}))</f>
        <v>0</v>
      </c>
      <c r="HH106" s="408"/>
      <c r="HI106" s="402">
        <f>SUM(SUMIFS(M106:HD106,$K$13:$HB$13,{"エネルギー管理指定工場等*","県域*"}))</f>
        <v>0</v>
      </c>
      <c r="HJ106" s="401"/>
    </row>
    <row r="107" spans="1:218" ht="20.399999999999999" thickBot="1">
      <c r="A107" s="37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413">
        <f t="shared" si="76"/>
        <v>0</v>
      </c>
      <c r="HD107" s="414"/>
      <c r="HE107" s="416">
        <f t="shared" si="77"/>
        <v>0</v>
      </c>
      <c r="HF107" s="415"/>
      <c r="HG107" s="413">
        <f>SUM(SUMIFS(K107:HB107,$K$13:$HB$13,{"エネルギー管理指定工場等*","県域*"}))</f>
        <v>0</v>
      </c>
      <c r="HH107" s="414"/>
      <c r="HI107" s="416">
        <f>SUM(SUMIFS(M107:HD107,$K$13:$HB$13,{"エネルギー管理指定工場等*","県域*"}))</f>
        <v>0</v>
      </c>
      <c r="HJ107" s="415"/>
    </row>
    <row r="108" spans="1:218" ht="19.8">
      <c r="A108" s="37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row>
    <row r="109" spans="1:218" ht="19.8">
      <c r="A109" s="37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row>
    <row r="110" spans="1:218" ht="20.399999999999999" thickBot="1">
      <c r="A110" s="37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row>
    <row r="111" spans="1:218" ht="20.399999999999999" thickBot="1">
      <c r="A111" s="37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417" t="s">
        <v>579</v>
      </c>
      <c r="HD111" s="418" t="s">
        <v>536</v>
      </c>
      <c r="HE111" s="418" t="s">
        <v>537</v>
      </c>
      <c r="HF111" s="419" t="s">
        <v>538</v>
      </c>
      <c r="HG111" s="417" t="s">
        <v>579</v>
      </c>
      <c r="HH111" s="418" t="s">
        <v>536</v>
      </c>
      <c r="HI111" s="418" t="s">
        <v>537</v>
      </c>
      <c r="HJ111" s="419" t="s">
        <v>538</v>
      </c>
    </row>
    <row r="112" spans="1:218" ht="19.8">
      <c r="A112" s="37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421">
        <f t="shared" ref="HC112:HF127" si="79">K112+O112+S112+W112+AA112+AE112+AI112+AM112+AQ112+AU112+AY112+BC112+BG112+BK112+BO112+BS112+BW112+CA112+CE112+CI112+CM112+CQ112+CU112+CY112+DC112+DG112+DK112+DO112+DS112+DW112+EA112+EE112+EI112+EM112+EQ112+EU112+EY112+FC112+FG112+FK112+FO112+FS112+FW112+GA112+GE112+GI112+GM112+GQ112+GU112+GY112</f>
        <v>0</v>
      </c>
      <c r="HD112" s="422">
        <f t="shared" si="79"/>
        <v>0</v>
      </c>
      <c r="HE112" s="422">
        <f t="shared" si="79"/>
        <v>0</v>
      </c>
      <c r="HF112" s="420"/>
      <c r="HG112" s="421">
        <f>SUM(SUMIFS(K112:HB112,$K$13:$HB$13,{"エネルギー管理指定工場等*","県域*"}))</f>
        <v>0</v>
      </c>
      <c r="HH112" s="422">
        <f>SUM(SUMIFS(L112:HC112,$K$13:$HB$13,{"エネルギー管理指定工場等*","県域*"}))</f>
        <v>0</v>
      </c>
      <c r="HI112" s="422">
        <f>SUM(SUMIFS(M112:HD112,$K$13:$HB$13,{"エネルギー管理指定工場等*","県域*"}))</f>
        <v>0</v>
      </c>
      <c r="HJ112" s="420"/>
    </row>
    <row r="113" spans="1:218" ht="19.8">
      <c r="A113" s="37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424">
        <f t="shared" si="79"/>
        <v>0</v>
      </c>
      <c r="HD113" s="425">
        <f t="shared" si="79"/>
        <v>0</v>
      </c>
      <c r="HE113" s="425">
        <f t="shared" si="79"/>
        <v>0</v>
      </c>
      <c r="HF113" s="426"/>
      <c r="HG113" s="424">
        <f>SUM(SUMIFS(K113:HB113,$K$13:$HB$13,{"エネルギー管理指定工場等*","県域*"}))</f>
        <v>0</v>
      </c>
      <c r="HH113" s="427">
        <f>SUM(SUMIFS(L113:HC113,$K$13:$HB$13,{"エネルギー管理指定工場等*","県域*"}))</f>
        <v>0</v>
      </c>
      <c r="HI113" s="427">
        <f>SUM(SUMIFS(M113:HD113,$K$13:$HB$13,{"エネルギー管理指定工場等*","県域*"}))</f>
        <v>0</v>
      </c>
      <c r="HJ113" s="423"/>
    </row>
    <row r="114" spans="1:218" ht="19.8">
      <c r="A114" s="37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428">
        <f t="shared" si="79"/>
        <v>0</v>
      </c>
      <c r="HD114" s="427">
        <f t="shared" si="79"/>
        <v>0</v>
      </c>
      <c r="HE114" s="427">
        <f t="shared" si="79"/>
        <v>0</v>
      </c>
      <c r="HF114" s="423"/>
      <c r="HG114" s="428">
        <f>SUM(SUMIFS(K114:HB114,$K$13:$HB$13,{"エネルギー管理指定工場等*","県域*"}))</f>
        <v>0</v>
      </c>
      <c r="HH114" s="427">
        <f>SUM(SUMIFS(L114:HC114,$K$13:$HB$13,{"エネルギー管理指定工場等*","県域*"}))</f>
        <v>0</v>
      </c>
      <c r="HI114" s="427">
        <f>SUM(SUMIFS(M114:HD114,$K$13:$HB$13,{"エネルギー管理指定工場等*","県域*"}))</f>
        <v>0</v>
      </c>
      <c r="HJ114" s="423"/>
    </row>
    <row r="115" spans="1:218" ht="19.8">
      <c r="A115" s="37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428">
        <f t="shared" si="79"/>
        <v>0</v>
      </c>
      <c r="HD115" s="427">
        <f t="shared" si="79"/>
        <v>0</v>
      </c>
      <c r="HE115" s="427">
        <f t="shared" si="79"/>
        <v>0</v>
      </c>
      <c r="HF115" s="423"/>
      <c r="HG115" s="428">
        <f>SUM(SUMIFS(K115:HB115,$K$13:$HB$13,{"エネルギー管理指定工場等*","県域*"}))</f>
        <v>0</v>
      </c>
      <c r="HH115" s="427">
        <f>SUM(SUMIFS(L115:HC115,$K$13:$HB$13,{"エネルギー管理指定工場等*","県域*"}))</f>
        <v>0</v>
      </c>
      <c r="HI115" s="427">
        <f>SUM(SUMIFS(M115:HD115,$K$13:$HB$13,{"エネルギー管理指定工場等*","県域*"}))</f>
        <v>0</v>
      </c>
      <c r="HJ115" s="423"/>
    </row>
    <row r="116" spans="1:218" ht="19.8">
      <c r="A116" s="37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428">
        <f t="shared" si="79"/>
        <v>0</v>
      </c>
      <c r="HD116" s="427">
        <f t="shared" si="79"/>
        <v>0</v>
      </c>
      <c r="HE116" s="427">
        <f t="shared" si="79"/>
        <v>0</v>
      </c>
      <c r="HF116" s="423"/>
      <c r="HG116" s="428">
        <f>SUM(SUMIFS(K116:HB116,$K$13:$HB$13,{"エネルギー管理指定工場等*","県域*"}))</f>
        <v>0</v>
      </c>
      <c r="HH116" s="427">
        <f>SUM(SUMIFS(L116:HC116,$K$13:$HB$13,{"エネルギー管理指定工場等*","県域*"}))</f>
        <v>0</v>
      </c>
      <c r="HI116" s="427">
        <f>SUM(SUMIFS(M116:HD116,$K$13:$HB$13,{"エネルギー管理指定工場等*","県域*"}))</f>
        <v>0</v>
      </c>
      <c r="HJ116" s="423"/>
    </row>
    <row r="117" spans="1:218" ht="19.8">
      <c r="A117" s="37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424">
        <f t="shared" si="79"/>
        <v>0</v>
      </c>
      <c r="HD117" s="425">
        <f t="shared" si="79"/>
        <v>0</v>
      </c>
      <c r="HE117" s="425">
        <f t="shared" si="79"/>
        <v>0</v>
      </c>
      <c r="HF117" s="426"/>
      <c r="HG117" s="424">
        <f>SUM(SUMIFS(K117:HB117,$K$13:$HB$13,{"エネルギー管理指定工場等*","県域*"}))</f>
        <v>0</v>
      </c>
      <c r="HH117" s="425">
        <f>SUM(SUMIFS(L117:HC117,$K$13:$HB$13,{"エネルギー管理指定工場等*","県域*"}))</f>
        <v>0</v>
      </c>
      <c r="HI117" s="425">
        <f>SUM(SUMIFS(M117:HD117,$K$13:$HB$13,{"エネルギー管理指定工場等*","県域*"}))</f>
        <v>0</v>
      </c>
      <c r="HJ117" s="426"/>
    </row>
    <row r="118" spans="1:218" ht="19.8">
      <c r="A118" s="37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428">
        <f t="shared" si="79"/>
        <v>0</v>
      </c>
      <c r="HD118" s="427">
        <f t="shared" si="79"/>
        <v>0</v>
      </c>
      <c r="HE118" s="427">
        <f t="shared" si="79"/>
        <v>0</v>
      </c>
      <c r="HF118" s="423"/>
      <c r="HG118" s="428">
        <f>SUM(SUMIFS(K118:HB118,$K$13:$HB$13,{"エネルギー管理指定工場等*","県域*"}))</f>
        <v>0</v>
      </c>
      <c r="HH118" s="427">
        <f>SUM(SUMIFS(L118:HC118,$K$13:$HB$13,{"エネルギー管理指定工場等*","県域*"}))</f>
        <v>0</v>
      </c>
      <c r="HI118" s="427">
        <f>SUM(SUMIFS(M118:HD118,$K$13:$HB$13,{"エネルギー管理指定工場等*","県域*"}))</f>
        <v>0</v>
      </c>
      <c r="HJ118" s="423"/>
    </row>
    <row r="119" spans="1:218" ht="19.8">
      <c r="A119" s="37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428">
        <f t="shared" si="79"/>
        <v>0</v>
      </c>
      <c r="HD119" s="427">
        <f t="shared" si="79"/>
        <v>0</v>
      </c>
      <c r="HE119" s="427">
        <f t="shared" si="79"/>
        <v>0</v>
      </c>
      <c r="HF119" s="423"/>
      <c r="HG119" s="428">
        <f>SUM(SUMIFS(K119:HB119,$K$13:$HB$13,{"エネルギー管理指定工場等*","県域*"}))</f>
        <v>0</v>
      </c>
      <c r="HH119" s="427">
        <f>SUM(SUMIFS(L119:HC119,$K$13:$HB$13,{"エネルギー管理指定工場等*","県域*"}))</f>
        <v>0</v>
      </c>
      <c r="HI119" s="427">
        <f>SUM(SUMIFS(M119:HD119,$K$13:$HB$13,{"エネルギー管理指定工場等*","県域*"}))</f>
        <v>0</v>
      </c>
      <c r="HJ119" s="423"/>
    </row>
    <row r="120" spans="1:218" ht="19.8">
      <c r="A120" s="37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428">
        <f t="shared" si="79"/>
        <v>0</v>
      </c>
      <c r="HD120" s="427">
        <f t="shared" si="79"/>
        <v>0</v>
      </c>
      <c r="HE120" s="427">
        <f t="shared" si="79"/>
        <v>0</v>
      </c>
      <c r="HF120" s="423"/>
      <c r="HG120" s="428">
        <f>SUM(SUMIFS(K120:HB120,$K$13:$HB$13,{"エネルギー管理指定工場等*","県域*"}))</f>
        <v>0</v>
      </c>
      <c r="HH120" s="427">
        <f>SUM(SUMIFS(L120:HC120,$K$13:$HB$13,{"エネルギー管理指定工場等*","県域*"}))</f>
        <v>0</v>
      </c>
      <c r="HI120" s="427">
        <f>SUM(SUMIFS(M120:HD120,$K$13:$HB$13,{"エネルギー管理指定工場等*","県域*"}))</f>
        <v>0</v>
      </c>
      <c r="HJ120" s="423"/>
    </row>
    <row r="121" spans="1:218" ht="19.8">
      <c r="A121" s="37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429">
        <f t="shared" si="79"/>
        <v>0</v>
      </c>
      <c r="HD121" s="430">
        <f t="shared" si="79"/>
        <v>0</v>
      </c>
      <c r="HE121" s="430">
        <f t="shared" si="79"/>
        <v>0</v>
      </c>
      <c r="HF121" s="431"/>
      <c r="HG121" s="429">
        <f>SUM(SUMIFS(K121:HB121,$K$13:$HB$13,{"エネルギー管理指定工場等*","県域*"}))</f>
        <v>0</v>
      </c>
      <c r="HH121" s="430">
        <f>SUM(SUMIFS(L121:HC121,$K$13:$HB$13,{"エネルギー管理指定工場等*","県域*"}))</f>
        <v>0</v>
      </c>
      <c r="HI121" s="430">
        <f>SUM(SUMIFS(M121:HD121,$K$13:$HB$13,{"エネルギー管理指定工場等*","県域*"}))</f>
        <v>0</v>
      </c>
      <c r="HJ121" s="431"/>
    </row>
    <row r="122" spans="1:218" ht="19.8">
      <c r="A122" s="37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421">
        <f t="shared" si="79"/>
        <v>0</v>
      </c>
      <c r="HD122" s="432"/>
      <c r="HE122" s="422">
        <f t="shared" si="79"/>
        <v>0</v>
      </c>
      <c r="HF122" s="422">
        <f t="shared" si="79"/>
        <v>0</v>
      </c>
      <c r="HG122" s="421">
        <f>SUM(SUMIFS(K122:HB122,$K$13:$HB$13,{"エネルギー管理指定工場等*","県域*"}))</f>
        <v>0</v>
      </c>
      <c r="HH122" s="432"/>
      <c r="HI122" s="422">
        <f>SUM(SUMIFS(M122:HD122,$K$13:$HB$13,{"エネルギー管理指定工場等*","県域*"}))</f>
        <v>0</v>
      </c>
      <c r="HJ122" s="433">
        <f>SUM(SUMIFS(N122:HE122,$K$13:$HB$13,{"エネルギー管理指定工場等*","県域*"}))</f>
        <v>0</v>
      </c>
    </row>
    <row r="123" spans="1:218" ht="19.8">
      <c r="A123" s="37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428">
        <f t="shared" si="79"/>
        <v>0</v>
      </c>
      <c r="HD123" s="434"/>
      <c r="HE123" s="427">
        <f t="shared" si="79"/>
        <v>0</v>
      </c>
      <c r="HF123" s="427">
        <f t="shared" si="79"/>
        <v>0</v>
      </c>
      <c r="HG123" s="428">
        <f>SUM(SUMIFS(K123:HB123,$K$13:$HB$13,{"エネルギー管理指定工場等*","県域*"}))</f>
        <v>0</v>
      </c>
      <c r="HH123" s="434"/>
      <c r="HI123" s="427">
        <f>SUM(SUMIFS(M123:HD123,$K$13:$HB$13,{"エネルギー管理指定工場等*","県域*"}))</f>
        <v>0</v>
      </c>
      <c r="HJ123" s="435">
        <f>SUM(SUMIFS(N123:HE123,$K$13:$HB$13,{"エネルギー管理指定工場等*","県域*"}))</f>
        <v>0</v>
      </c>
    </row>
    <row r="124" spans="1:218" ht="19.8">
      <c r="A124" s="37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437">
        <f t="shared" si="79"/>
        <v>0</v>
      </c>
      <c r="HD124" s="436"/>
      <c r="HE124" s="438">
        <f t="shared" si="79"/>
        <v>0</v>
      </c>
      <c r="HF124" s="438">
        <f t="shared" si="79"/>
        <v>0</v>
      </c>
      <c r="HG124" s="437">
        <f>SUM(SUMIFS(K124:HB124,$K$13:$HB$13,{"エネルギー管理指定工場等*","県域*"}))</f>
        <v>0</v>
      </c>
      <c r="HH124" s="436"/>
      <c r="HI124" s="438">
        <f>SUM(SUMIFS(M124:HD124,$K$13:$HB$13,{"エネルギー管理指定工場等*","県域*"}))</f>
        <v>0</v>
      </c>
      <c r="HJ124" s="439">
        <f>SUM(SUMIFS(N124:HE124,$K$13:$HB$13,{"エネルギー管理指定工場等*","県域*"}))</f>
        <v>0</v>
      </c>
    </row>
    <row r="125" spans="1:218" ht="19.8">
      <c r="A125" s="37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421">
        <f t="shared" si="79"/>
        <v>0</v>
      </c>
      <c r="HD125" s="432"/>
      <c r="HE125" s="422">
        <f t="shared" si="79"/>
        <v>0</v>
      </c>
      <c r="HF125" s="422">
        <f t="shared" si="79"/>
        <v>0</v>
      </c>
      <c r="HG125" s="421">
        <f>SUM(SUMIFS(K125:HB125,$K$13:$HB$13,{"エネルギー管理指定工場等*","県域*"}))</f>
        <v>0</v>
      </c>
      <c r="HH125" s="432"/>
      <c r="HI125" s="422">
        <f>SUM(SUMIFS(M125:HD125,$K$13:$HB$13,{"エネルギー管理指定工場等*","県域*"}))</f>
        <v>0</v>
      </c>
      <c r="HJ125" s="433">
        <f>SUM(SUMIFS(N125:HE125,$K$13:$HB$13,{"エネルギー管理指定工場等*","県域*"}))</f>
        <v>0</v>
      </c>
    </row>
    <row r="126" spans="1:218" ht="19.8">
      <c r="A126" s="37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428">
        <f t="shared" si="79"/>
        <v>0</v>
      </c>
      <c r="HD126" s="434"/>
      <c r="HE126" s="427">
        <f t="shared" si="79"/>
        <v>0</v>
      </c>
      <c r="HF126" s="427">
        <f t="shared" si="79"/>
        <v>0</v>
      </c>
      <c r="HG126" s="428">
        <f>SUM(SUMIFS(K126:HB126,$K$13:$HB$13,{"エネルギー管理指定工場等*","県域*"}))</f>
        <v>0</v>
      </c>
      <c r="HH126" s="434"/>
      <c r="HI126" s="427">
        <f>SUM(SUMIFS(M126:HD126,$K$13:$HB$13,{"エネルギー管理指定工場等*","県域*"}))</f>
        <v>0</v>
      </c>
      <c r="HJ126" s="435">
        <f>SUM(SUMIFS(N126:HE126,$K$13:$HB$13,{"エネルギー管理指定工場等*","県域*"}))</f>
        <v>0</v>
      </c>
    </row>
    <row r="127" spans="1:218" ht="19.8">
      <c r="A127" s="37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429">
        <f t="shared" si="79"/>
        <v>0</v>
      </c>
      <c r="HD127" s="440"/>
      <c r="HE127" s="430">
        <f t="shared" si="79"/>
        <v>0</v>
      </c>
      <c r="HF127" s="430">
        <f t="shared" si="79"/>
        <v>0</v>
      </c>
      <c r="HG127" s="429">
        <f>SUM(SUMIFS(K127:HB127,$K$13:$HB$13,{"エネルギー管理指定工場等*","県域*"}))</f>
        <v>0</v>
      </c>
      <c r="HH127" s="440"/>
      <c r="HI127" s="430">
        <f>SUM(SUMIFS(M127:HD127,$K$13:$HB$13,{"エネルギー管理指定工場等*","県域*"}))</f>
        <v>0</v>
      </c>
      <c r="HJ127" s="441">
        <f>SUM(SUMIFS(N127:HE127,$K$13:$HB$13,{"エネルギー管理指定工場等*","県域*"}))</f>
        <v>0</v>
      </c>
    </row>
    <row r="128" spans="1:218" ht="19.8">
      <c r="A128" s="37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398">
        <f t="shared" ref="HC128:HC160" si="80">K128+O128+S128+W128+AA128+AE128+AI128+AM128+AQ128+AU128+AY128+BC128+BG128+BK128+BO128+BS128+BW128+CA128+CE128+CI128+CM128+CQ128+CU128+CY128+DC128+DG128+DK128+DO128+DS128+DW128+EA128+EE128+EI128+EM128+EQ128+EU128+EY128+FC128+FG128+FK128+FO128+FS128+FW128+GA128+GE128+GI128+GM128+GQ128+GU128+GY128</f>
        <v>0</v>
      </c>
      <c r="HD128" s="442"/>
      <c r="HE128" s="404">
        <f t="shared" ref="HE128:HF130" si="81">M128+Q128+U128+Y128+AC128+AG128+AK128+AO128+AS128+AW128+BA128+BE128+BI128+BM128+BQ128+BU128+BY128+CC128+CG128+CK128+CO128+CS128+CW128+DA128+DE128+DI128+DM128+DQ128+DU128+DY128+EC128+EG128+EK128+EO128+ES128+EW128+FA128+FE128+FI128+FM128+FQ128+FU128+FY128+GC128+GG128+GK128+GO128+GS128+GW128+HA128</f>
        <v>0</v>
      </c>
      <c r="HF128" s="404">
        <f t="shared" si="81"/>
        <v>0</v>
      </c>
      <c r="HG128" s="398">
        <f>SUM(SUMIFS(K128:HB128,$K$13:$HB$13,{"エネルギー管理指定工場等*","県域*"}))</f>
        <v>0</v>
      </c>
      <c r="HH128" s="442"/>
      <c r="HI128" s="404">
        <f>SUM(SUMIFS(M128:HD128,$K$13:$HB$13,{"エネルギー管理指定工場等*","県域*"}))</f>
        <v>0</v>
      </c>
      <c r="HJ128" s="443">
        <f>SUM(SUMIFS(N128:HE128,$K$13:$HB$13,{"エネルギー管理指定工場等*","県域*"}))</f>
        <v>0</v>
      </c>
    </row>
    <row r="129" spans="1:218" ht="19.8">
      <c r="A129" s="37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437">
        <f t="shared" si="80"/>
        <v>0</v>
      </c>
      <c r="HD129" s="436"/>
      <c r="HE129" s="438">
        <f t="shared" si="81"/>
        <v>0</v>
      </c>
      <c r="HF129" s="438">
        <f t="shared" si="81"/>
        <v>0</v>
      </c>
      <c r="HG129" s="437">
        <f>SUM(SUMIFS(K129:HB129,$K$13:$HB$13,{"エネルギー管理指定工場等*","県域*"}))</f>
        <v>0</v>
      </c>
      <c r="HH129" s="436"/>
      <c r="HI129" s="438">
        <f>SUM(SUMIFS(M129:HD129,$K$13:$HB$13,{"エネルギー管理指定工場等*","県域*"}))</f>
        <v>0</v>
      </c>
      <c r="HJ129" s="439">
        <f>SUM(SUMIFS(N129:HE129,$K$13:$HB$13,{"エネルギー管理指定工場等*","県域*"}))</f>
        <v>0</v>
      </c>
    </row>
    <row r="130" spans="1:218" ht="19.8">
      <c r="A130" s="37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429">
        <f t="shared" si="80"/>
        <v>0</v>
      </c>
      <c r="HD130" s="440"/>
      <c r="HE130" s="430">
        <f t="shared" si="81"/>
        <v>0</v>
      </c>
      <c r="HF130" s="430">
        <f t="shared" si="81"/>
        <v>0</v>
      </c>
      <c r="HG130" s="429">
        <f>SUM(SUMIFS(K130:HB130,$K$13:$HB$13,{"エネルギー管理指定工場等*","県域*"}))</f>
        <v>0</v>
      </c>
      <c r="HH130" s="440"/>
      <c r="HI130" s="430">
        <f>SUM(SUMIFS(M130:HD130,$K$13:$HB$13,{"エネルギー管理指定工場等*","県域*"}))</f>
        <v>0</v>
      </c>
      <c r="HJ130" s="441">
        <f>SUM(SUMIFS(N130:HE130,$K$13:$HB$13,{"エネルギー管理指定工場等*","県域*"}))</f>
        <v>0</v>
      </c>
    </row>
    <row r="131" spans="1:218" ht="19.8">
      <c r="A131" s="371"/>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421">
        <f t="shared" si="80"/>
        <v>0</v>
      </c>
      <c r="HD131" s="432"/>
      <c r="HE131" s="432"/>
      <c r="HF131" s="420"/>
      <c r="HG131" s="421">
        <f>SUM(SUMIFS(K131:HB131,$K$13:$HB$13,{"エネルギー管理指定工場等*","県域*"}))</f>
        <v>0</v>
      </c>
      <c r="HH131" s="432"/>
      <c r="HI131" s="432"/>
      <c r="HJ131" s="420"/>
    </row>
    <row r="132" spans="1:218" ht="19.8">
      <c r="A132" s="371"/>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428">
        <f t="shared" si="80"/>
        <v>0</v>
      </c>
      <c r="HD132" s="434"/>
      <c r="HE132" s="434"/>
      <c r="HF132" s="423"/>
      <c r="HG132" s="428">
        <f>SUM(SUMIFS(K132:HB132,$K$13:$HB$13,{"エネルギー管理指定工場等*","県域*"}))</f>
        <v>0</v>
      </c>
      <c r="HH132" s="434"/>
      <c r="HI132" s="434"/>
      <c r="HJ132" s="423"/>
    </row>
    <row r="133" spans="1:218" ht="19.8">
      <c r="A133" s="371"/>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428">
        <f t="shared" si="80"/>
        <v>0</v>
      </c>
      <c r="HD133" s="434"/>
      <c r="HE133" s="434"/>
      <c r="HF133" s="423"/>
      <c r="HG133" s="428">
        <f>SUM(SUMIFS(K133:HB133,$K$13:$HB$13,{"エネルギー管理指定工場等*","県域*"}))</f>
        <v>0</v>
      </c>
      <c r="HH133" s="434"/>
      <c r="HI133" s="434"/>
      <c r="HJ133" s="423"/>
    </row>
    <row r="134" spans="1:218" ht="19.8">
      <c r="A134" s="371"/>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428">
        <f t="shared" si="80"/>
        <v>0</v>
      </c>
      <c r="HD134" s="434"/>
      <c r="HE134" s="434"/>
      <c r="HF134" s="423"/>
      <c r="HG134" s="428">
        <f>SUM(SUMIFS(K134:HB134,$K$13:$HB$13,{"エネルギー管理指定工場等*","県域*"}))</f>
        <v>0</v>
      </c>
      <c r="HH134" s="434"/>
      <c r="HI134" s="434"/>
      <c r="HJ134" s="423"/>
    </row>
    <row r="135" spans="1:218" ht="19.8">
      <c r="A135" s="371"/>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428">
        <f t="shared" si="80"/>
        <v>0</v>
      </c>
      <c r="HD135" s="434"/>
      <c r="HE135" s="434"/>
      <c r="HF135" s="423"/>
      <c r="HG135" s="428">
        <f>SUM(SUMIFS(K135:HB135,$K$13:$HB$13,{"エネルギー管理指定工場等*","県域*"}))</f>
        <v>0</v>
      </c>
      <c r="HH135" s="434"/>
      <c r="HI135" s="434"/>
      <c r="HJ135" s="423"/>
    </row>
    <row r="136" spans="1:218" ht="19.8">
      <c r="A136" s="371"/>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428">
        <f t="shared" si="80"/>
        <v>0</v>
      </c>
      <c r="HD136" s="434"/>
      <c r="HE136" s="434"/>
      <c r="HF136" s="423"/>
      <c r="HG136" s="428">
        <f>SUM(SUMIFS(K136:HB136,$K$13:$HB$13,{"エネルギー管理指定工場等*","県域*"}))</f>
        <v>0</v>
      </c>
      <c r="HH136" s="434"/>
      <c r="HI136" s="434"/>
      <c r="HJ136" s="423"/>
    </row>
    <row r="137" spans="1:218" ht="19.8">
      <c r="A137" s="371"/>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428">
        <f t="shared" si="80"/>
        <v>0</v>
      </c>
      <c r="HD137" s="434"/>
      <c r="HE137" s="434"/>
      <c r="HF137" s="423"/>
      <c r="HG137" s="428">
        <f>SUM(SUMIFS(K137:HB137,$K$13:$HB$13,{"エネルギー管理指定工場等*","県域*"}))</f>
        <v>0</v>
      </c>
      <c r="HH137" s="434"/>
      <c r="HI137" s="434"/>
      <c r="HJ137" s="423"/>
    </row>
    <row r="138" spans="1:218" ht="19.8">
      <c r="A138" s="371"/>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428">
        <f t="shared" si="80"/>
        <v>0</v>
      </c>
      <c r="HD138" s="434"/>
      <c r="HE138" s="434"/>
      <c r="HF138" s="423"/>
      <c r="HG138" s="428">
        <f>SUM(SUMIFS(K138:HB138,$K$13:$HB$13,{"エネルギー管理指定工場等*","県域*"}))</f>
        <v>0</v>
      </c>
      <c r="HH138" s="434"/>
      <c r="HI138" s="434"/>
      <c r="HJ138" s="423"/>
    </row>
    <row r="139" spans="1:218" ht="19.8">
      <c r="A139" s="371"/>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428">
        <f t="shared" si="80"/>
        <v>0</v>
      </c>
      <c r="HD139" s="434"/>
      <c r="HE139" s="434"/>
      <c r="HF139" s="423"/>
      <c r="HG139" s="428">
        <f>SUM(SUMIFS(K139:HB139,$K$13:$HB$13,{"エネルギー管理指定工場等*","県域*"}))</f>
        <v>0</v>
      </c>
      <c r="HH139" s="434"/>
      <c r="HI139" s="434"/>
      <c r="HJ139" s="423"/>
    </row>
    <row r="140" spans="1:218" ht="19.8">
      <c r="A140" s="371"/>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429">
        <f t="shared" si="80"/>
        <v>0</v>
      </c>
      <c r="HD140" s="440"/>
      <c r="HE140" s="440"/>
      <c r="HF140" s="431"/>
      <c r="HG140" s="429">
        <f>SUM(SUMIFS(K140:HB140,$K$13:$HB$13,{"エネルギー管理指定工場等*","県域*"}))</f>
        <v>0</v>
      </c>
      <c r="HH140" s="440"/>
      <c r="HI140" s="440"/>
      <c r="HJ140" s="431"/>
    </row>
    <row r="141" spans="1:218" ht="19.8">
      <c r="A141" s="371"/>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421">
        <f t="shared" si="80"/>
        <v>0</v>
      </c>
      <c r="HD141" s="432"/>
      <c r="HE141" s="432"/>
      <c r="HF141" s="420"/>
      <c r="HG141" s="421">
        <f>SUM(SUMIFS(K141:HB141,$K$13:$HB$13,{"エネルギー管理指定工場等*","県域*"}))</f>
        <v>0</v>
      </c>
      <c r="HH141" s="432"/>
      <c r="HI141" s="432"/>
      <c r="HJ141" s="420"/>
    </row>
    <row r="142" spans="1:218" ht="19.8">
      <c r="A142" s="371"/>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428">
        <f t="shared" si="80"/>
        <v>0</v>
      </c>
      <c r="HD142" s="434"/>
      <c r="HE142" s="434"/>
      <c r="HF142" s="423"/>
      <c r="HG142" s="428">
        <f>SUM(SUMIFS(K142:HB142,$K$13:$HB$13,{"エネルギー管理指定工場等*","県域*"}))</f>
        <v>0</v>
      </c>
      <c r="HH142" s="434"/>
      <c r="HI142" s="434"/>
      <c r="HJ142" s="423"/>
    </row>
    <row r="143" spans="1:218" ht="19.8">
      <c r="A143" s="371"/>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428">
        <f t="shared" si="80"/>
        <v>0</v>
      </c>
      <c r="HD143" s="434"/>
      <c r="HE143" s="434"/>
      <c r="HF143" s="423"/>
      <c r="HG143" s="428">
        <f>SUM(SUMIFS(K143:HB143,$K$13:$HB$13,{"エネルギー管理指定工場等*","県域*"}))</f>
        <v>0</v>
      </c>
      <c r="HH143" s="434"/>
      <c r="HI143" s="434"/>
      <c r="HJ143" s="423"/>
    </row>
    <row r="144" spans="1:218" ht="19.8">
      <c r="A144" s="371"/>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428">
        <f t="shared" si="80"/>
        <v>0</v>
      </c>
      <c r="HD144" s="434"/>
      <c r="HE144" s="434"/>
      <c r="HF144" s="423"/>
      <c r="HG144" s="428">
        <f>SUM(SUMIFS(K144:HB144,$K$13:$HB$13,{"エネルギー管理指定工場等*","県域*"}))</f>
        <v>0</v>
      </c>
      <c r="HH144" s="434"/>
      <c r="HI144" s="434"/>
      <c r="HJ144" s="423"/>
    </row>
    <row r="145" spans="1:218" ht="19.8">
      <c r="A145" s="371"/>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428">
        <f t="shared" si="80"/>
        <v>0</v>
      </c>
      <c r="HD145" s="434"/>
      <c r="HE145" s="434"/>
      <c r="HF145" s="423"/>
      <c r="HG145" s="428">
        <f>SUM(SUMIFS(K145:HB145,$K$13:$HB$13,{"エネルギー管理指定工場等*","県域*"}))</f>
        <v>0</v>
      </c>
      <c r="HH145" s="434"/>
      <c r="HI145" s="434"/>
      <c r="HJ145" s="423"/>
    </row>
    <row r="146" spans="1:218" ht="19.8">
      <c r="A146" s="371"/>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428">
        <f t="shared" si="80"/>
        <v>0</v>
      </c>
      <c r="HD146" s="434"/>
      <c r="HE146" s="434"/>
      <c r="HF146" s="423"/>
      <c r="HG146" s="428">
        <f>SUM(SUMIFS(K146:HB146,$K$13:$HB$13,{"エネルギー管理指定工場等*","県域*"}))</f>
        <v>0</v>
      </c>
      <c r="HH146" s="434"/>
      <c r="HI146" s="434"/>
      <c r="HJ146" s="423"/>
    </row>
    <row r="147" spans="1:218" ht="19.8">
      <c r="A147" s="371"/>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428">
        <f t="shared" si="80"/>
        <v>0</v>
      </c>
      <c r="HD147" s="434"/>
      <c r="HE147" s="434"/>
      <c r="HF147" s="423"/>
      <c r="HG147" s="428">
        <f>SUM(SUMIFS(K147:HB147,$K$13:$HB$13,{"エネルギー管理指定工場等*","県域*"}))</f>
        <v>0</v>
      </c>
      <c r="HH147" s="434"/>
      <c r="HI147" s="434"/>
      <c r="HJ147" s="423"/>
    </row>
    <row r="148" spans="1:218" ht="19.8">
      <c r="A148" s="371"/>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428">
        <f t="shared" si="80"/>
        <v>0</v>
      </c>
      <c r="HD148" s="434"/>
      <c r="HE148" s="434"/>
      <c r="HF148" s="423"/>
      <c r="HG148" s="428">
        <f>SUM(SUMIFS(K148:HB148,$K$13:$HB$13,{"エネルギー管理指定工場等*","県域*"}))</f>
        <v>0</v>
      </c>
      <c r="HH148" s="434"/>
      <c r="HI148" s="434"/>
      <c r="HJ148" s="423"/>
    </row>
    <row r="149" spans="1:218" ht="19.8">
      <c r="A149" s="371"/>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428">
        <f t="shared" si="80"/>
        <v>0</v>
      </c>
      <c r="HD149" s="434"/>
      <c r="HE149" s="434"/>
      <c r="HF149" s="423"/>
      <c r="HG149" s="428">
        <f>SUM(SUMIFS(K149:HB149,$K$13:$HB$13,{"エネルギー管理指定工場等*","県域*"}))</f>
        <v>0</v>
      </c>
      <c r="HH149" s="434"/>
      <c r="HI149" s="434"/>
      <c r="HJ149" s="423"/>
    </row>
    <row r="150" spans="1:218" ht="19.8">
      <c r="A150" s="371"/>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429">
        <f t="shared" si="80"/>
        <v>0</v>
      </c>
      <c r="HD150" s="440"/>
      <c r="HE150" s="440"/>
      <c r="HF150" s="431"/>
      <c r="HG150" s="429">
        <f>SUM(SUMIFS(K150:HB150,$K$13:$HB$13,{"エネルギー管理指定工場等*","県域*"}))</f>
        <v>0</v>
      </c>
      <c r="HH150" s="440"/>
      <c r="HI150" s="440"/>
      <c r="HJ150" s="431"/>
    </row>
    <row r="151" spans="1:218" ht="19.8">
      <c r="A151" s="371"/>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421">
        <f t="shared" si="80"/>
        <v>0</v>
      </c>
      <c r="HD151" s="432"/>
      <c r="HE151" s="432"/>
      <c r="HF151" s="420"/>
      <c r="HG151" s="421">
        <f>SUM(SUMIFS(K151:HB151,$K$13:$HB$13,{"エネルギー管理指定工場等*","県域*"}))</f>
        <v>0</v>
      </c>
      <c r="HH151" s="432"/>
      <c r="HI151" s="432"/>
      <c r="HJ151" s="420"/>
    </row>
    <row r="152" spans="1:218" ht="19.8">
      <c r="A152" s="371"/>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428">
        <f t="shared" si="80"/>
        <v>0</v>
      </c>
      <c r="HD152" s="434"/>
      <c r="HE152" s="434"/>
      <c r="HF152" s="423"/>
      <c r="HG152" s="428">
        <f>SUM(SUMIFS(K152:HB152,$K$13:$HB$13,{"エネルギー管理指定工場等*","県域*"}))</f>
        <v>0</v>
      </c>
      <c r="HH152" s="434"/>
      <c r="HI152" s="434"/>
      <c r="HJ152" s="423"/>
    </row>
    <row r="153" spans="1:218" ht="19.8">
      <c r="A153" s="371"/>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428">
        <f t="shared" si="80"/>
        <v>0</v>
      </c>
      <c r="HD153" s="434"/>
      <c r="HE153" s="434"/>
      <c r="HF153" s="423"/>
      <c r="HG153" s="428">
        <f>SUM(SUMIFS(K153:HB153,$K$13:$HB$13,{"エネルギー管理指定工場等*","県域*"}))</f>
        <v>0</v>
      </c>
      <c r="HH153" s="434"/>
      <c r="HI153" s="434"/>
      <c r="HJ153" s="423"/>
    </row>
    <row r="154" spans="1:218" ht="19.8">
      <c r="A154" s="371"/>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428">
        <f t="shared" si="80"/>
        <v>0</v>
      </c>
      <c r="HD154" s="434"/>
      <c r="HE154" s="434"/>
      <c r="HF154" s="423"/>
      <c r="HG154" s="428">
        <f>SUM(SUMIFS(K154:HB154,$K$13:$HB$13,{"エネルギー管理指定工場等*","県域*"}))</f>
        <v>0</v>
      </c>
      <c r="HH154" s="434"/>
      <c r="HI154" s="434"/>
      <c r="HJ154" s="423"/>
    </row>
    <row r="155" spans="1:218" ht="19.8">
      <c r="A155" s="371"/>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428">
        <f t="shared" si="80"/>
        <v>0</v>
      </c>
      <c r="HD155" s="434"/>
      <c r="HE155" s="434"/>
      <c r="HF155" s="423"/>
      <c r="HG155" s="428">
        <f>SUM(SUMIFS(K155:HB155,$K$13:$HB$13,{"エネルギー管理指定工場等*","県域*"}))</f>
        <v>0</v>
      </c>
      <c r="HH155" s="434"/>
      <c r="HI155" s="434"/>
      <c r="HJ155" s="423"/>
    </row>
    <row r="156" spans="1:218" ht="19.8">
      <c r="A156" s="371"/>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428">
        <f t="shared" si="80"/>
        <v>0</v>
      </c>
      <c r="HD156" s="434"/>
      <c r="HE156" s="434"/>
      <c r="HF156" s="423"/>
      <c r="HG156" s="428">
        <f>SUM(SUMIFS(K156:HB156,$K$13:$HB$13,{"エネルギー管理指定工場等*","県域*"}))</f>
        <v>0</v>
      </c>
      <c r="HH156" s="434"/>
      <c r="HI156" s="434"/>
      <c r="HJ156" s="423"/>
    </row>
    <row r="157" spans="1:218" ht="19.8">
      <c r="A157" s="371"/>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428">
        <f t="shared" si="80"/>
        <v>0</v>
      </c>
      <c r="HD157" s="434"/>
      <c r="HE157" s="434"/>
      <c r="HF157" s="423"/>
      <c r="HG157" s="428">
        <f>SUM(SUMIFS(K157:HB157,$K$13:$HB$13,{"エネルギー管理指定工場等*","県域*"}))</f>
        <v>0</v>
      </c>
      <c r="HH157" s="434"/>
      <c r="HI157" s="434"/>
      <c r="HJ157" s="423"/>
    </row>
    <row r="158" spans="1:218" ht="19.8">
      <c r="A158" s="371"/>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428">
        <f t="shared" si="80"/>
        <v>0</v>
      </c>
      <c r="HD158" s="434"/>
      <c r="HE158" s="434"/>
      <c r="HF158" s="423"/>
      <c r="HG158" s="428">
        <f>SUM(SUMIFS(K158:HB158,$K$13:$HB$13,{"エネルギー管理指定工場等*","県域*"}))</f>
        <v>0</v>
      </c>
      <c r="HH158" s="434"/>
      <c r="HI158" s="434"/>
      <c r="HJ158" s="423"/>
    </row>
    <row r="159" spans="1:218" ht="19.8">
      <c r="A159" s="371"/>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428">
        <f t="shared" si="80"/>
        <v>0</v>
      </c>
      <c r="HD159" s="434"/>
      <c r="HE159" s="434"/>
      <c r="HF159" s="423"/>
      <c r="HG159" s="428">
        <f>SUM(SUMIFS(K159:HB159,$K$13:$HB$13,{"エネルギー管理指定工場等*","県域*"}))</f>
        <v>0</v>
      </c>
      <c r="HH159" s="434"/>
      <c r="HI159" s="434"/>
      <c r="HJ159" s="423"/>
    </row>
    <row r="160" spans="1:218" ht="20.399999999999999" thickBot="1">
      <c r="A160" s="371"/>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446">
        <f t="shared" si="80"/>
        <v>0</v>
      </c>
      <c r="HD160" s="444"/>
      <c r="HE160" s="444"/>
      <c r="HF160" s="445"/>
      <c r="HG160" s="446">
        <f>SUM(SUMIFS(K160:HB160,$K$13:$HB$13,{"エネルギー管理指定工場等*","県域*"}))</f>
        <v>0</v>
      </c>
      <c r="HH160" s="444"/>
      <c r="HI160" s="444"/>
      <c r="HJ160" s="445"/>
    </row>
    <row r="161" spans="1:210" ht="19.8">
      <c r="A161" s="371"/>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19.8">
      <c r="A162" s="371"/>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19.8">
      <c r="A163" s="371"/>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19.8">
      <c r="A164" s="371"/>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19.8">
      <c r="A165" s="371"/>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19.8">
      <c r="A166" s="371"/>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371"/>
      <c r="B167" s="617"/>
      <c r="C167" s="812"/>
      <c r="D167" s="815"/>
      <c r="E167" s="808" t="s">
        <v>1349</v>
      </c>
      <c r="F167" s="810"/>
      <c r="G167" s="811" t="s">
        <v>587</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19.8">
      <c r="A168" s="371"/>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19.8">
      <c r="A169" s="371"/>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19.8">
      <c r="A170" s="371"/>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371"/>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19.8">
      <c r="A172" s="371"/>
      <c r="B172" s="617"/>
      <c r="C172" s="812"/>
      <c r="D172" s="816"/>
      <c r="E172" s="808" t="s">
        <v>1354</v>
      </c>
      <c r="F172" s="810"/>
      <c r="G172" s="811" t="s">
        <v>587</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19.8">
      <c r="A173" s="371"/>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399999999999999" thickBot="1">
      <c r="A174" s="371"/>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19.8">
      <c r="A175" s="371"/>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19.8">
      <c r="A176" s="371"/>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399999999999999" thickBot="1">
      <c r="A177" s="371"/>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19.8">
      <c r="A178" s="371"/>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19.8">
      <c r="A179" s="371"/>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19.8">
      <c r="A180" s="371"/>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19.8">
      <c r="A181" s="371"/>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19.8">
      <c r="A182" s="371"/>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19.8">
      <c r="A183" s="371"/>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19.8">
      <c r="A184" s="371"/>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19.8">
      <c r="A185" s="371"/>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19.8">
      <c r="A186" s="371"/>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19.8">
      <c r="A187" s="371"/>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19.8">
      <c r="A188" s="371"/>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19.8">
      <c r="A189" s="371"/>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19.8">
      <c r="A190" s="371"/>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19.8">
      <c r="A191" s="371"/>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19.8">
      <c r="A192" s="371"/>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10" ht="19.8">
      <c r="A193" s="371"/>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10" ht="19.8">
      <c r="A194" s="371"/>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10" ht="19.8">
      <c r="A195" s="371"/>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10" ht="19.8">
      <c r="A196" s="371"/>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10" ht="19.8">
      <c r="A197" s="371"/>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10" ht="19.8">
      <c r="A198" s="371"/>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10" ht="19.8">
      <c r="A199" s="371"/>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10" ht="19.8">
      <c r="A200" s="371"/>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10" ht="19.8">
      <c r="A201" s="371"/>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10" ht="19.8">
      <c r="A202" s="371"/>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10" ht="19.8">
      <c r="A203" s="371"/>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10" ht="19.8">
      <c r="A204" s="371"/>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10" ht="19.8">
      <c r="A205" s="371"/>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10" ht="19.8">
      <c r="A206" s="371"/>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10" ht="20.399999999999999" thickBot="1">
      <c r="A207" s="371"/>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10" ht="39.6">
      <c r="A208" s="37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row>
    <row r="209" spans="1:210" ht="19.8">
      <c r="A209" s="37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row>
    <row r="210" spans="1:210" ht="19.8">
      <c r="A210" s="37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row>
    <row r="211" spans="1:210" ht="19.8">
      <c r="A211" s="37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row>
    <row r="212" spans="1:210" ht="19.8">
      <c r="A212" s="37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row>
    <row r="213" spans="1:210" ht="19.8">
      <c r="A213" s="371"/>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10" ht="19.8">
      <c r="A214" s="371"/>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10" ht="19.8">
      <c r="A215" s="371"/>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10" ht="19.8">
      <c r="A216" s="371"/>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10" ht="19.8">
      <c r="A217" s="371"/>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10" ht="19.8">
      <c r="A218" s="371"/>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10" ht="19.8">
      <c r="A219" s="371"/>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10" ht="20.399999999999999" thickBot="1">
      <c r="A220" s="371"/>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10" ht="19.8">
      <c r="A221" s="371"/>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10" ht="19.8">
      <c r="A222" s="371"/>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10" ht="20.399999999999999" thickBot="1">
      <c r="A223" s="371"/>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10" ht="19.8">
      <c r="B224" s="389"/>
      <c r="C224" s="454"/>
      <c r="D224" s="454"/>
      <c r="E224" s="454"/>
      <c r="F224" s="454"/>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27"/>
      <c r="AP224" s="327"/>
      <c r="AQ224" s="60"/>
      <c r="AR224" s="60"/>
      <c r="AS224" s="60"/>
      <c r="AT224" s="60"/>
      <c r="AU224" s="60"/>
      <c r="AV224" s="60"/>
      <c r="AW224" s="389"/>
      <c r="AX224" s="389"/>
      <c r="AY224" s="389"/>
      <c r="AZ224" s="389"/>
      <c r="BA224" s="389"/>
      <c r="BB224" s="389"/>
      <c r="BC224" s="389"/>
      <c r="BD224" s="389"/>
      <c r="BE224" s="389"/>
      <c r="BF224" s="389"/>
      <c r="BG224" s="389"/>
      <c r="BH224" s="389"/>
      <c r="BI224" s="389"/>
      <c r="BJ224" s="389"/>
      <c r="BK224" s="389"/>
      <c r="BL224" s="389"/>
      <c r="BM224" s="389"/>
      <c r="BN224" s="389"/>
      <c r="BO224" s="389"/>
      <c r="BP224" s="389"/>
      <c r="BQ224" s="60"/>
      <c r="BR224" s="60"/>
      <c r="BS224" s="60"/>
      <c r="BT224" s="60"/>
      <c r="BU224" s="60"/>
      <c r="BV224" s="60"/>
    </row>
    <row r="225" spans="1:242" s="361" customFormat="1" ht="20.100000000000001" hidden="1" customHeight="1">
      <c r="A225" s="377" t="s">
        <v>594</v>
      </c>
      <c r="B225" s="377"/>
      <c r="C225" s="378"/>
      <c r="D225" s="381"/>
      <c r="E225" s="382"/>
      <c r="F225" s="381"/>
      <c r="G225" s="381"/>
      <c r="H225" s="382"/>
      <c r="I225" s="381"/>
      <c r="J225" s="381"/>
      <c r="K225" s="382"/>
      <c r="L225" s="381"/>
      <c r="M225" s="381"/>
      <c r="N225" s="382"/>
      <c r="O225" s="381"/>
      <c r="P225" s="381"/>
      <c r="Q225" s="382"/>
      <c r="R225" s="381"/>
      <c r="S225" s="381"/>
      <c r="T225" s="382"/>
      <c r="U225" s="381"/>
      <c r="V225" s="381"/>
      <c r="W225" s="382"/>
      <c r="X225" s="381"/>
      <c r="Y225" s="381"/>
      <c r="Z225" s="382"/>
      <c r="AA225" s="381"/>
      <c r="AB225" s="381"/>
      <c r="AC225" s="382"/>
      <c r="AD225" s="381"/>
      <c r="AE225" s="381"/>
      <c r="AF225" s="382"/>
      <c r="AG225" s="381"/>
      <c r="AH225" s="381"/>
      <c r="AI225" s="382"/>
      <c r="AJ225" s="381"/>
      <c r="AK225" s="381"/>
      <c r="AL225" s="382"/>
      <c r="AM225" s="381"/>
      <c r="AN225" s="381"/>
      <c r="IE225" s="455"/>
      <c r="IF225" s="455"/>
      <c r="IG225" s="455"/>
      <c r="IH225" s="455"/>
    </row>
    <row r="226" spans="1:242" s="371" customFormat="1" ht="20.100000000000001" hidden="1" customHeight="1">
      <c r="A226" s="456">
        <v>0</v>
      </c>
      <c r="B226" s="457" t="s">
        <v>595</v>
      </c>
      <c r="E226" s="363"/>
      <c r="F226" s="1300" t="s">
        <v>596</v>
      </c>
      <c r="G226" s="1301" t="s">
        <v>597</v>
      </c>
      <c r="H226" s="1301"/>
      <c r="I226" s="458" t="s">
        <v>598</v>
      </c>
      <c r="J226" s="459"/>
      <c r="K226" s="460" t="str">
        <f ca="1">OFFSET(貼付け_2024実績,4,SUM(COLUMN()-COLUMN(貼付け_2024実績)))</f>
        <v>横浜1</v>
      </c>
      <c r="L226" s="461"/>
      <c r="M226" s="461"/>
      <c r="N226" s="462"/>
      <c r="O226" s="460" t="str">
        <f ca="1">OFFSET(貼付け_2024実績,4,SUM(COLUMN()-COLUMN(貼付け_2024実績)))</f>
        <v>横浜2</v>
      </c>
      <c r="P226" s="461"/>
      <c r="Q226" s="461"/>
      <c r="R226" s="462"/>
      <c r="S226" s="460" t="str">
        <f ca="1">OFFSET(貼付け_2024実績,4,SUM(COLUMN()-COLUMN(貼付け_2024実績)))</f>
        <v>横浜3</v>
      </c>
      <c r="T226" s="461"/>
      <c r="U226" s="461"/>
      <c r="V226" s="462"/>
      <c r="W226" s="460" t="str">
        <f ca="1">OFFSET(貼付け_2024実績,4,SUM(COLUMN()-COLUMN(貼付け_2024実績)))</f>
        <v>県域1</v>
      </c>
      <c r="X226" s="461"/>
      <c r="Y226" s="461"/>
      <c r="Z226" s="462"/>
      <c r="AA226" s="460" t="str">
        <f ca="1">OFFSET(貼付け_2024実績,4,SUM(COLUMN()-COLUMN(貼付け_2024実績)))</f>
        <v>県域2</v>
      </c>
      <c r="AB226" s="461"/>
      <c r="AC226" s="461"/>
      <c r="AD226" s="462"/>
      <c r="AE226" s="460" t="str">
        <f ca="1">OFFSET(貼付け_2024実績,4,SUM(COLUMN()-COLUMN(貼付け_2024実績)))</f>
        <v>県域3</v>
      </c>
      <c r="AF226" s="461"/>
      <c r="AG226" s="461"/>
      <c r="AH226" s="462"/>
      <c r="AI226" s="460" t="str">
        <f ca="1">OFFSET(貼付け_2024実績,4,SUM(COLUMN()-COLUMN(貼付け_2024実績)))</f>
        <v>エネルギー管理指定工場等1</v>
      </c>
      <c r="AJ226" s="461"/>
      <c r="AK226" s="461"/>
      <c r="AL226" s="462"/>
      <c r="AM226" s="460" t="str">
        <f ca="1">OFFSET(貼付け_2024実績,4,SUM(COLUMN()-COLUMN(貼付け_2024実績)))</f>
        <v>エネルギー管理指定工場等2</v>
      </c>
      <c r="AN226" s="461"/>
      <c r="AO226" s="461"/>
      <c r="AP226" s="462"/>
      <c r="AQ226" s="460" t="str">
        <f ca="1">OFFSET(貼付け_2024実績,4,SUM(COLUMN()-COLUMN(貼付け_2024実績)))</f>
        <v>エネルギー管理指定工場等3</v>
      </c>
      <c r="AR226" s="461"/>
      <c r="AS226" s="461"/>
      <c r="AT226" s="462"/>
      <c r="AU226" s="460" t="str">
        <f ca="1">OFFSET(貼付け_2024実績,4,SUM(COLUMN()-COLUMN(貼付け_2024実績)))</f>
        <v>エネルギー管理指定工場等4</v>
      </c>
      <c r="AV226" s="461"/>
      <c r="AW226" s="461"/>
      <c r="AX226" s="462"/>
      <c r="AY226" s="460" t="str">
        <f ca="1">OFFSET(貼付け_2024実績,4,SUM(COLUMN()-COLUMN(貼付け_2024実績)))</f>
        <v>エネルギー管理指定工場等5</v>
      </c>
      <c r="AZ226" s="461"/>
      <c r="BA226" s="461"/>
      <c r="BB226" s="462"/>
      <c r="BC226" s="460" t="str">
        <f ca="1">OFFSET(貼付け_2024実績,4,SUM(COLUMN()-COLUMN(貼付け_2024実績)))</f>
        <v>エネルギー管理指定工場等6</v>
      </c>
      <c r="BD226" s="461"/>
      <c r="BE226" s="461"/>
      <c r="BF226" s="462"/>
      <c r="BG226" s="460" t="str">
        <f ca="1">OFFSET(貼付け_2024実績,4,SUM(COLUMN()-COLUMN(貼付け_2024実績)))</f>
        <v>エネルギー管理指定工場等7</v>
      </c>
      <c r="BH226" s="461"/>
      <c r="BI226" s="461"/>
      <c r="BJ226" s="462"/>
      <c r="BK226" s="460" t="str">
        <f ca="1">OFFSET(貼付け_2024実績,4,SUM(COLUMN()-COLUMN(貼付け_2024実績)))</f>
        <v>エネルギー管理指定工場等8</v>
      </c>
      <c r="BL226" s="461"/>
      <c r="BM226" s="461"/>
      <c r="BN226" s="462"/>
      <c r="BO226" s="460" t="str">
        <f ca="1">OFFSET(貼付け_2024実績,4,SUM(COLUMN()-COLUMN(貼付け_2024実績)))</f>
        <v>エネルギー管理指定工場等9</v>
      </c>
      <c r="BP226" s="461"/>
      <c r="BQ226" s="461"/>
      <c r="BR226" s="462"/>
      <c r="BS226" s="460" t="str">
        <f ca="1">OFFSET(貼付け_2024実績,4,SUM(COLUMN()-COLUMN(貼付け_2024実績)))</f>
        <v>エネルギー管理指定工場等10</v>
      </c>
      <c r="BT226" s="461"/>
      <c r="BU226" s="461"/>
      <c r="BV226" s="462"/>
      <c r="BW226" s="460">
        <f ca="1">OFFSET(貼付け_2024実績,4,SUM(COLUMN()-COLUMN(貼付け_2024実績)))</f>
        <v>0</v>
      </c>
      <c r="BX226" s="461"/>
      <c r="BY226" s="461"/>
      <c r="BZ226" s="462"/>
      <c r="CA226" s="460" t="str">
        <f ca="1">OFFSET(貼付け_2024実績,4,SUM(COLUMN()-COLUMN(貼付け_2024実績)))</f>
        <v>県域4</v>
      </c>
      <c r="CB226" s="461"/>
      <c r="CC226" s="461"/>
      <c r="CD226" s="462"/>
      <c r="CE226" s="460" t="str">
        <f ca="1">OFFSET(貼付け_2024実績,4,SUM(COLUMN()-COLUMN(貼付け_2024実績)))</f>
        <v>県域5</v>
      </c>
      <c r="CF226" s="461"/>
      <c r="CG226" s="461"/>
      <c r="CH226" s="462"/>
      <c r="CI226" s="460" t="str">
        <f ca="1">OFFSET(貼付け_2024実績,4,SUM(COLUMN()-COLUMN(貼付け_2024実績)))</f>
        <v>県域6</v>
      </c>
      <c r="CJ226" s="461"/>
      <c r="CK226" s="461"/>
      <c r="CL226" s="462"/>
      <c r="CM226" s="460" t="str">
        <f ca="1">OFFSET(貼付け_2024実績,4,SUM(COLUMN()-COLUMN(貼付け_2024実績)))</f>
        <v>県域7</v>
      </c>
      <c r="CN226" s="461"/>
      <c r="CO226" s="461"/>
      <c r="CP226" s="462"/>
      <c r="CQ226" s="460" t="str">
        <f ca="1">OFFSET(貼付け_2024実績,4,SUM(COLUMN()-COLUMN(貼付け_2024実績)))</f>
        <v>県域8</v>
      </c>
      <c r="CR226" s="461"/>
      <c r="CS226" s="461"/>
      <c r="CT226" s="462"/>
      <c r="CU226" s="460" t="str">
        <f ca="1">OFFSET(貼付け_2024実績,4,SUM(COLUMN()-COLUMN(貼付け_2024実績)))</f>
        <v>県域9</v>
      </c>
      <c r="CV226" s="461"/>
      <c r="CW226" s="461"/>
      <c r="CX226" s="462"/>
      <c r="CY226" s="460" t="str">
        <f ca="1">OFFSET(貼付け_2024実績,4,SUM(COLUMN()-COLUMN(貼付け_2024実績)))</f>
        <v>県域10</v>
      </c>
      <c r="CZ226" s="461"/>
      <c r="DA226" s="461"/>
      <c r="DB226" s="462"/>
      <c r="DC226" s="460" t="str">
        <f ca="1">OFFSET(貼付け_2024実績,4,SUM(COLUMN()-COLUMN(貼付け_2024実績)))</f>
        <v>横浜3</v>
      </c>
      <c r="DD226" s="461"/>
      <c r="DE226" s="461"/>
      <c r="DF226" s="462"/>
      <c r="DG226" s="460" t="str">
        <f ca="1">OFFSET(貼付け_2024実績,4,SUM(COLUMN()-COLUMN(貼付け_2024実績)))</f>
        <v>横浜4</v>
      </c>
      <c r="DH226" s="461"/>
      <c r="DI226" s="461"/>
      <c r="DJ226" s="462"/>
      <c r="DK226" s="460" t="str">
        <f ca="1">OFFSET(貼付け_2024実績,4,SUM(COLUMN()-COLUMN(貼付け_2024実績)))</f>
        <v>横浜5</v>
      </c>
      <c r="DL226" s="461"/>
      <c r="DM226" s="461"/>
      <c r="DN226" s="462"/>
      <c r="DO226" s="460" t="str">
        <f ca="1">OFFSET(貼付け_2024実績,4,SUM(COLUMN()-COLUMN(貼付け_2024実績)))</f>
        <v>横浜6</v>
      </c>
      <c r="DP226" s="461"/>
      <c r="DQ226" s="461"/>
      <c r="DR226" s="462"/>
      <c r="DS226" s="460" t="str">
        <f ca="1">OFFSET(貼付け_2024実績,4,SUM(COLUMN()-COLUMN(貼付け_2024実績)))</f>
        <v>横浜7</v>
      </c>
      <c r="DT226" s="461"/>
      <c r="DU226" s="461"/>
      <c r="DV226" s="462"/>
      <c r="DW226" s="460" t="str">
        <f ca="1">OFFSET(貼付け_2024実績,4,SUM(COLUMN()-COLUMN(貼付け_2024実績)))</f>
        <v>横浜8</v>
      </c>
      <c r="DX226" s="461"/>
      <c r="DY226" s="461"/>
      <c r="DZ226" s="462"/>
      <c r="EA226" s="460" t="str">
        <f ca="1">OFFSET(貼付け_2024実績,4,SUM(COLUMN()-COLUMN(貼付け_2024実績)))</f>
        <v>横浜9</v>
      </c>
      <c r="EB226" s="461"/>
      <c r="EC226" s="461"/>
      <c r="ED226" s="462"/>
      <c r="EE226" s="460" t="str">
        <f ca="1">OFFSET(貼付け_2024実績,4,SUM(COLUMN()-COLUMN(貼付け_2024実績)))</f>
        <v>横浜10</v>
      </c>
      <c r="EF226" s="461"/>
      <c r="EG226" s="461"/>
      <c r="EH226" s="462"/>
      <c r="EI226" s="460" t="str">
        <f ca="1">OFFSET(貼付け_2024実績,4,SUM(COLUMN()-COLUMN(貼付け_2024実績)))</f>
        <v>川崎1</v>
      </c>
      <c r="EJ226" s="461"/>
      <c r="EK226" s="461"/>
      <c r="EL226" s="462"/>
      <c r="EM226" s="460" t="str">
        <f ca="1">OFFSET(貼付け_2024実績,4,SUM(COLUMN()-COLUMN(貼付け_2024実績)))</f>
        <v>川崎2</v>
      </c>
      <c r="EN226" s="461"/>
      <c r="EO226" s="461"/>
      <c r="EP226" s="462"/>
      <c r="EQ226" s="460" t="str">
        <f ca="1">OFFSET(貼付け_2024実績,4,SUM(COLUMN()-COLUMN(貼付け_2024実績)))</f>
        <v>川崎3</v>
      </c>
      <c r="ER226" s="461"/>
      <c r="ES226" s="461"/>
      <c r="ET226" s="462"/>
      <c r="EU226" s="460" t="str">
        <f ca="1">OFFSET(貼付け_2024実績,4,SUM(COLUMN()-COLUMN(貼付け_2024実績)))</f>
        <v>川崎6</v>
      </c>
      <c r="EV226" s="461"/>
      <c r="EW226" s="461"/>
      <c r="EX226" s="462"/>
      <c r="EY226" s="460" t="str">
        <f ca="1">OFFSET(貼付け_2024実績,4,SUM(COLUMN()-COLUMN(貼付け_2024実績)))</f>
        <v>川崎7</v>
      </c>
      <c r="EZ226" s="461"/>
      <c r="FA226" s="461"/>
      <c r="FB226" s="462"/>
      <c r="FC226" s="460" t="str">
        <f ca="1">OFFSET(貼付け_2024実績,4,SUM(COLUMN()-COLUMN(貼付け_2024実績)))</f>
        <v>川崎8</v>
      </c>
      <c r="FD226" s="461"/>
      <c r="FE226" s="461"/>
      <c r="FF226" s="462"/>
      <c r="FG226" s="460" t="str">
        <f ca="1">OFFSET(貼付け_2024実績,4,SUM(COLUMN()-COLUMN(貼付け_2024実績)))</f>
        <v>川崎9</v>
      </c>
      <c r="FH226" s="461"/>
      <c r="FI226" s="461"/>
      <c r="FJ226" s="462"/>
      <c r="FK226" s="460" t="str">
        <f ca="1">OFFSET(貼付け_2024実績,4,SUM(COLUMN()-COLUMN(貼付け_2024実績)))</f>
        <v>川崎10</v>
      </c>
      <c r="FL226" s="461"/>
      <c r="FM226" s="461"/>
      <c r="FN226" s="462"/>
      <c r="FO226" s="460" t="str">
        <f ca="1">OFFSET(貼付け_2024実績,4,SUM(COLUMN()-COLUMN(貼付け_2024実績)))</f>
        <v>川崎11</v>
      </c>
      <c r="FP226" s="461"/>
      <c r="FQ226" s="461"/>
      <c r="FR226" s="462"/>
      <c r="FS226" s="460" t="str">
        <f ca="1">OFFSET(貼付け_2024実績,4,SUM(COLUMN()-COLUMN(貼付け_2024実績)))</f>
        <v>川崎12</v>
      </c>
      <c r="FT226" s="461"/>
      <c r="FU226" s="461"/>
      <c r="FV226" s="462"/>
      <c r="FW226" s="460" t="str">
        <f ca="1">OFFSET(貼付け_2024実績,4,SUM(COLUMN()-COLUMN(貼付け_2024実績)))</f>
        <v>川崎13</v>
      </c>
      <c r="FX226" s="461"/>
      <c r="FY226" s="461"/>
      <c r="FZ226" s="462"/>
      <c r="GA226" s="460" t="str">
        <f ca="1">OFFSET(貼付け_2024実績,4,SUM(COLUMN()-COLUMN(貼付け_2024実績)))</f>
        <v>川崎14</v>
      </c>
      <c r="GB226" s="461"/>
      <c r="GC226" s="461"/>
      <c r="GD226" s="462"/>
      <c r="GE226" s="460" t="str">
        <f ca="1">OFFSET(貼付け_2024実績,4,SUM(COLUMN()-COLUMN(貼付け_2024実績)))</f>
        <v>川崎15</v>
      </c>
      <c r="GF226" s="461"/>
      <c r="GG226" s="461"/>
      <c r="GH226" s="462"/>
      <c r="GI226" s="460" t="str">
        <f ca="1">OFFSET(貼付け_2024実績,4,SUM(COLUMN()-COLUMN(貼付け_2024実績)))</f>
        <v>川崎16</v>
      </c>
      <c r="GJ226" s="461"/>
      <c r="GK226" s="461"/>
      <c r="GL226" s="462"/>
      <c r="GM226" s="460" t="str">
        <f ca="1">OFFSET(貼付け_2024実績,4,SUM(COLUMN()-COLUMN(貼付け_2024実績)))</f>
        <v>川崎17</v>
      </c>
      <c r="GN226" s="461"/>
      <c r="GO226" s="461"/>
      <c r="GP226" s="462"/>
      <c r="GQ226" s="460" t="str">
        <f ca="1">OFFSET(貼付け_2024実績,4,SUM(COLUMN()-COLUMN(貼付け_2024実績)))</f>
        <v>川崎18</v>
      </c>
      <c r="GR226" s="461"/>
      <c r="GS226" s="461"/>
      <c r="GT226" s="462"/>
      <c r="GU226" s="460" t="str">
        <f ca="1">OFFSET(貼付け_2024実績,4,SUM(COLUMN()-COLUMN(貼付け_2024実績)))</f>
        <v>川崎19</v>
      </c>
      <c r="GV226" s="461"/>
      <c r="GW226" s="461"/>
      <c r="GX226" s="462"/>
      <c r="GY226" s="460" t="str">
        <f ca="1">OFFSET(貼付け_2024実績,4,SUM(COLUMN()-COLUMN(貼付け_2024実績)))</f>
        <v>川崎20</v>
      </c>
      <c r="GZ226" s="461"/>
      <c r="HA226" s="461"/>
      <c r="HB226" s="462"/>
      <c r="IE226" s="463"/>
      <c r="IF226" s="463"/>
      <c r="IG226" s="463"/>
      <c r="IH226" s="463"/>
    </row>
    <row r="227" spans="1:242" s="371" customFormat="1" ht="19.8" hidden="1">
      <c r="A227" s="456">
        <v>1</v>
      </c>
      <c r="C227" s="363"/>
      <c r="D227" s="363"/>
      <c r="E227" s="363"/>
      <c r="F227" s="1300"/>
      <c r="G227" s="464" t="s">
        <v>55</v>
      </c>
      <c r="H227" s="464" t="s">
        <v>94</v>
      </c>
      <c r="I227" s="450" t="s">
        <v>599</v>
      </c>
      <c r="J227" s="450" t="s">
        <v>600</v>
      </c>
      <c r="K227" s="61" t="s">
        <v>601</v>
      </c>
      <c r="L227" s="465" t="s">
        <v>602</v>
      </c>
      <c r="M227" s="465" t="s">
        <v>603</v>
      </c>
      <c r="N227" s="465" t="s">
        <v>604</v>
      </c>
      <c r="O227" s="61" t="s">
        <v>601</v>
      </c>
      <c r="P227" s="465" t="s">
        <v>602</v>
      </c>
      <c r="Q227" s="465" t="s">
        <v>603</v>
      </c>
      <c r="R227" s="465" t="s">
        <v>604</v>
      </c>
      <c r="S227" s="61" t="s">
        <v>601</v>
      </c>
      <c r="T227" s="465" t="s">
        <v>602</v>
      </c>
      <c r="U227" s="465" t="s">
        <v>603</v>
      </c>
      <c r="V227" s="465" t="s">
        <v>604</v>
      </c>
      <c r="W227" s="61" t="s">
        <v>601</v>
      </c>
      <c r="X227" s="465" t="s">
        <v>602</v>
      </c>
      <c r="Y227" s="465" t="s">
        <v>603</v>
      </c>
      <c r="Z227" s="465" t="s">
        <v>604</v>
      </c>
      <c r="AA227" s="61" t="s">
        <v>601</v>
      </c>
      <c r="AB227" s="465" t="s">
        <v>602</v>
      </c>
      <c r="AC227" s="465" t="s">
        <v>603</v>
      </c>
      <c r="AD227" s="465" t="s">
        <v>604</v>
      </c>
      <c r="AE227" s="61" t="s">
        <v>601</v>
      </c>
      <c r="AF227" s="465" t="s">
        <v>602</v>
      </c>
      <c r="AG227" s="465" t="s">
        <v>603</v>
      </c>
      <c r="AH227" s="465" t="s">
        <v>604</v>
      </c>
      <c r="AI227" s="61" t="s">
        <v>601</v>
      </c>
      <c r="AJ227" s="465" t="s">
        <v>602</v>
      </c>
      <c r="AK227" s="465" t="s">
        <v>603</v>
      </c>
      <c r="AL227" s="465" t="s">
        <v>604</v>
      </c>
      <c r="AM227" s="61" t="s">
        <v>601</v>
      </c>
      <c r="AN227" s="465" t="s">
        <v>602</v>
      </c>
      <c r="AO227" s="465" t="s">
        <v>603</v>
      </c>
      <c r="AP227" s="465" t="s">
        <v>604</v>
      </c>
      <c r="AQ227" s="61" t="s">
        <v>601</v>
      </c>
      <c r="AR227" s="465" t="s">
        <v>602</v>
      </c>
      <c r="AS227" s="465" t="s">
        <v>603</v>
      </c>
      <c r="AT227" s="465" t="s">
        <v>604</v>
      </c>
      <c r="AU227" s="61" t="s">
        <v>601</v>
      </c>
      <c r="AV227" s="465" t="s">
        <v>602</v>
      </c>
      <c r="AW227" s="465" t="s">
        <v>603</v>
      </c>
      <c r="AX227" s="465" t="s">
        <v>604</v>
      </c>
      <c r="AY227" s="61" t="s">
        <v>601</v>
      </c>
      <c r="AZ227" s="465" t="s">
        <v>602</v>
      </c>
      <c r="BA227" s="465" t="s">
        <v>603</v>
      </c>
      <c r="BB227" s="465" t="s">
        <v>604</v>
      </c>
      <c r="BC227" s="61" t="s">
        <v>601</v>
      </c>
      <c r="BD227" s="465" t="s">
        <v>602</v>
      </c>
      <c r="BE227" s="465" t="s">
        <v>603</v>
      </c>
      <c r="BF227" s="465" t="s">
        <v>604</v>
      </c>
      <c r="BG227" s="61" t="s">
        <v>601</v>
      </c>
      <c r="BH227" s="465" t="s">
        <v>602</v>
      </c>
      <c r="BI227" s="465" t="s">
        <v>603</v>
      </c>
      <c r="BJ227" s="465" t="s">
        <v>604</v>
      </c>
      <c r="BK227" s="61" t="s">
        <v>601</v>
      </c>
      <c r="BL227" s="465" t="s">
        <v>602</v>
      </c>
      <c r="BM227" s="465" t="s">
        <v>603</v>
      </c>
      <c r="BN227" s="465" t="s">
        <v>604</v>
      </c>
      <c r="BO227" s="61" t="s">
        <v>601</v>
      </c>
      <c r="BP227" s="465" t="s">
        <v>602</v>
      </c>
      <c r="BQ227" s="465" t="s">
        <v>603</v>
      </c>
      <c r="BR227" s="465" t="s">
        <v>604</v>
      </c>
      <c r="BS227" s="61" t="s">
        <v>601</v>
      </c>
      <c r="BT227" s="465" t="s">
        <v>602</v>
      </c>
      <c r="BU227" s="465" t="s">
        <v>603</v>
      </c>
      <c r="BV227" s="465" t="s">
        <v>604</v>
      </c>
      <c r="BW227" s="61" t="s">
        <v>601</v>
      </c>
      <c r="BX227" s="465" t="s">
        <v>602</v>
      </c>
      <c r="BY227" s="465" t="s">
        <v>603</v>
      </c>
      <c r="BZ227" s="465" t="s">
        <v>604</v>
      </c>
      <c r="CA227" s="61" t="s">
        <v>601</v>
      </c>
      <c r="CB227" s="465" t="s">
        <v>602</v>
      </c>
      <c r="CC227" s="465" t="s">
        <v>603</v>
      </c>
      <c r="CD227" s="465" t="s">
        <v>604</v>
      </c>
      <c r="CE227" s="61" t="s">
        <v>601</v>
      </c>
      <c r="CF227" s="465" t="s">
        <v>602</v>
      </c>
      <c r="CG227" s="465" t="s">
        <v>603</v>
      </c>
      <c r="CH227" s="465" t="s">
        <v>604</v>
      </c>
      <c r="CI227" s="61" t="s">
        <v>601</v>
      </c>
      <c r="CJ227" s="465" t="s">
        <v>602</v>
      </c>
      <c r="CK227" s="465" t="s">
        <v>603</v>
      </c>
      <c r="CL227" s="465" t="s">
        <v>604</v>
      </c>
      <c r="CM227" s="61" t="s">
        <v>601</v>
      </c>
      <c r="CN227" s="465" t="s">
        <v>602</v>
      </c>
      <c r="CO227" s="465" t="s">
        <v>603</v>
      </c>
      <c r="CP227" s="465" t="s">
        <v>604</v>
      </c>
      <c r="CQ227" s="61" t="s">
        <v>601</v>
      </c>
      <c r="CR227" s="465" t="s">
        <v>602</v>
      </c>
      <c r="CS227" s="465" t="s">
        <v>603</v>
      </c>
      <c r="CT227" s="465" t="s">
        <v>604</v>
      </c>
      <c r="CU227" s="61" t="s">
        <v>601</v>
      </c>
      <c r="CV227" s="465" t="s">
        <v>602</v>
      </c>
      <c r="CW227" s="465" t="s">
        <v>603</v>
      </c>
      <c r="CX227" s="465" t="s">
        <v>604</v>
      </c>
      <c r="CY227" s="61" t="s">
        <v>601</v>
      </c>
      <c r="CZ227" s="465" t="s">
        <v>602</v>
      </c>
      <c r="DA227" s="465" t="s">
        <v>603</v>
      </c>
      <c r="DB227" s="465" t="s">
        <v>604</v>
      </c>
      <c r="DC227" s="61" t="s">
        <v>601</v>
      </c>
      <c r="DD227" s="465" t="s">
        <v>602</v>
      </c>
      <c r="DE227" s="465" t="s">
        <v>603</v>
      </c>
      <c r="DF227" s="465" t="s">
        <v>604</v>
      </c>
      <c r="DG227" s="61" t="s">
        <v>601</v>
      </c>
      <c r="DH227" s="465" t="s">
        <v>602</v>
      </c>
      <c r="DI227" s="465" t="s">
        <v>603</v>
      </c>
      <c r="DJ227" s="465" t="s">
        <v>604</v>
      </c>
      <c r="DK227" s="61" t="s">
        <v>601</v>
      </c>
      <c r="DL227" s="465" t="s">
        <v>602</v>
      </c>
      <c r="DM227" s="465" t="s">
        <v>603</v>
      </c>
      <c r="DN227" s="465" t="s">
        <v>604</v>
      </c>
      <c r="DO227" s="61" t="s">
        <v>601</v>
      </c>
      <c r="DP227" s="465" t="s">
        <v>602</v>
      </c>
      <c r="DQ227" s="465" t="s">
        <v>603</v>
      </c>
      <c r="DR227" s="465" t="s">
        <v>604</v>
      </c>
      <c r="DS227" s="61" t="s">
        <v>601</v>
      </c>
      <c r="DT227" s="465" t="s">
        <v>602</v>
      </c>
      <c r="DU227" s="465" t="s">
        <v>603</v>
      </c>
      <c r="DV227" s="465" t="s">
        <v>604</v>
      </c>
      <c r="DW227" s="61" t="s">
        <v>601</v>
      </c>
      <c r="DX227" s="465" t="s">
        <v>602</v>
      </c>
      <c r="DY227" s="465" t="s">
        <v>603</v>
      </c>
      <c r="DZ227" s="465" t="s">
        <v>604</v>
      </c>
      <c r="EA227" s="61" t="s">
        <v>601</v>
      </c>
      <c r="EB227" s="465" t="s">
        <v>602</v>
      </c>
      <c r="EC227" s="465" t="s">
        <v>603</v>
      </c>
      <c r="ED227" s="465" t="s">
        <v>604</v>
      </c>
      <c r="EE227" s="61" t="s">
        <v>601</v>
      </c>
      <c r="EF227" s="465" t="s">
        <v>602</v>
      </c>
      <c r="EG227" s="465" t="s">
        <v>603</v>
      </c>
      <c r="EH227" s="465" t="s">
        <v>604</v>
      </c>
      <c r="EI227" s="61" t="s">
        <v>601</v>
      </c>
      <c r="EJ227" s="465" t="s">
        <v>602</v>
      </c>
      <c r="EK227" s="465" t="s">
        <v>603</v>
      </c>
      <c r="EL227" s="465" t="s">
        <v>604</v>
      </c>
      <c r="EM227" s="61" t="s">
        <v>601</v>
      </c>
      <c r="EN227" s="465" t="s">
        <v>602</v>
      </c>
      <c r="EO227" s="465" t="s">
        <v>603</v>
      </c>
      <c r="EP227" s="465" t="s">
        <v>604</v>
      </c>
      <c r="EQ227" s="61" t="s">
        <v>601</v>
      </c>
      <c r="ER227" s="465" t="s">
        <v>602</v>
      </c>
      <c r="ES227" s="465" t="s">
        <v>603</v>
      </c>
      <c r="ET227" s="465" t="s">
        <v>604</v>
      </c>
      <c r="EU227" s="61" t="s">
        <v>601</v>
      </c>
      <c r="EV227" s="465" t="s">
        <v>602</v>
      </c>
      <c r="EW227" s="465" t="s">
        <v>603</v>
      </c>
      <c r="EX227" s="465" t="s">
        <v>604</v>
      </c>
      <c r="EY227" s="61" t="s">
        <v>601</v>
      </c>
      <c r="EZ227" s="465" t="s">
        <v>602</v>
      </c>
      <c r="FA227" s="465" t="s">
        <v>603</v>
      </c>
      <c r="FB227" s="465" t="s">
        <v>604</v>
      </c>
      <c r="FC227" s="61" t="s">
        <v>601</v>
      </c>
      <c r="FD227" s="465" t="s">
        <v>602</v>
      </c>
      <c r="FE227" s="465" t="s">
        <v>603</v>
      </c>
      <c r="FF227" s="465" t="s">
        <v>604</v>
      </c>
      <c r="FG227" s="61" t="s">
        <v>601</v>
      </c>
      <c r="FH227" s="465" t="s">
        <v>602</v>
      </c>
      <c r="FI227" s="465" t="s">
        <v>603</v>
      </c>
      <c r="FJ227" s="465" t="s">
        <v>604</v>
      </c>
      <c r="FK227" s="61" t="s">
        <v>601</v>
      </c>
      <c r="FL227" s="465" t="s">
        <v>602</v>
      </c>
      <c r="FM227" s="465" t="s">
        <v>603</v>
      </c>
      <c r="FN227" s="465" t="s">
        <v>604</v>
      </c>
      <c r="FO227" s="61" t="s">
        <v>601</v>
      </c>
      <c r="FP227" s="465" t="s">
        <v>602</v>
      </c>
      <c r="FQ227" s="465" t="s">
        <v>603</v>
      </c>
      <c r="FR227" s="465" t="s">
        <v>604</v>
      </c>
      <c r="FS227" s="61" t="s">
        <v>601</v>
      </c>
      <c r="FT227" s="465" t="s">
        <v>602</v>
      </c>
      <c r="FU227" s="465" t="s">
        <v>603</v>
      </c>
      <c r="FV227" s="465" t="s">
        <v>604</v>
      </c>
      <c r="FW227" s="61" t="s">
        <v>601</v>
      </c>
      <c r="FX227" s="465" t="s">
        <v>602</v>
      </c>
      <c r="FY227" s="465" t="s">
        <v>603</v>
      </c>
      <c r="FZ227" s="465" t="s">
        <v>604</v>
      </c>
      <c r="GA227" s="61" t="s">
        <v>601</v>
      </c>
      <c r="GB227" s="465" t="s">
        <v>602</v>
      </c>
      <c r="GC227" s="465" t="s">
        <v>603</v>
      </c>
      <c r="GD227" s="465" t="s">
        <v>604</v>
      </c>
      <c r="GE227" s="61" t="s">
        <v>601</v>
      </c>
      <c r="GF227" s="465" t="s">
        <v>602</v>
      </c>
      <c r="GG227" s="465" t="s">
        <v>603</v>
      </c>
      <c r="GH227" s="465" t="s">
        <v>604</v>
      </c>
      <c r="GI227" s="61" t="s">
        <v>601</v>
      </c>
      <c r="GJ227" s="465" t="s">
        <v>602</v>
      </c>
      <c r="GK227" s="465" t="s">
        <v>603</v>
      </c>
      <c r="GL227" s="465" t="s">
        <v>604</v>
      </c>
      <c r="GM227" s="61" t="s">
        <v>601</v>
      </c>
      <c r="GN227" s="465" t="s">
        <v>602</v>
      </c>
      <c r="GO227" s="465" t="s">
        <v>603</v>
      </c>
      <c r="GP227" s="465" t="s">
        <v>604</v>
      </c>
      <c r="GQ227" s="61" t="s">
        <v>601</v>
      </c>
      <c r="GR227" s="465" t="s">
        <v>602</v>
      </c>
      <c r="GS227" s="465" t="s">
        <v>603</v>
      </c>
      <c r="GT227" s="465" t="s">
        <v>604</v>
      </c>
      <c r="GU227" s="61" t="s">
        <v>601</v>
      </c>
      <c r="GV227" s="465" t="s">
        <v>602</v>
      </c>
      <c r="GW227" s="465" t="s">
        <v>603</v>
      </c>
      <c r="GX227" s="465" t="s">
        <v>604</v>
      </c>
      <c r="GY227" s="61" t="s">
        <v>601</v>
      </c>
      <c r="GZ227" s="465" t="s">
        <v>602</v>
      </c>
      <c r="HA227" s="465" t="s">
        <v>603</v>
      </c>
      <c r="HB227" s="465" t="s">
        <v>604</v>
      </c>
      <c r="IE227" s="463"/>
      <c r="IF227" s="463"/>
      <c r="IG227" s="463"/>
      <c r="IH227" s="463"/>
    </row>
    <row r="228" spans="1:242" s="371" customFormat="1" ht="19.8" hidden="1">
      <c r="A228" s="456">
        <v>2</v>
      </c>
      <c r="C228" s="466" t="s">
        <v>605</v>
      </c>
      <c r="D228" s="467"/>
      <c r="E228" s="468"/>
      <c r="F228" s="469">
        <v>200</v>
      </c>
      <c r="G228" s="469">
        <v>103</v>
      </c>
      <c r="H228" s="469">
        <v>169</v>
      </c>
      <c r="I228" s="469">
        <f ca="1">SUMPRODUCT(OFFSET(貼付け_2024実績,$F228,6,5,1),OFFSET(貼付け_2024実績,$F228,SUM(COLUMN()-COLUMN(貼付け_2024実績)),5,1))</f>
        <v>0</v>
      </c>
      <c r="J228" s="469">
        <f ca="1">SUMPRODUCT(OFFSET(貼付け_2024実績,$F228,6,5,1),OFFSET(貼付け_2024実績,$F228,SUM(COLUMN()-COLUMN(貼付け_2024実績)),5,1))</f>
        <v>0</v>
      </c>
      <c r="K228" s="469">
        <f t="shared" ref="K228:AP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69">
        <f t="shared" ca="1" si="82"/>
        <v>0</v>
      </c>
      <c r="M228" s="469">
        <f t="shared" ca="1" si="82"/>
        <v>0</v>
      </c>
      <c r="N228" s="469">
        <f t="shared" ca="1" si="82"/>
        <v>0</v>
      </c>
      <c r="O228" s="469">
        <f t="shared" ca="1" si="82"/>
        <v>0</v>
      </c>
      <c r="P228" s="469">
        <f t="shared" ca="1" si="82"/>
        <v>0</v>
      </c>
      <c r="Q228" s="469">
        <f t="shared" ca="1" si="82"/>
        <v>0</v>
      </c>
      <c r="R228" s="469">
        <f t="shared" ca="1" si="82"/>
        <v>0</v>
      </c>
      <c r="S228" s="469">
        <f t="shared" ca="1" si="82"/>
        <v>0</v>
      </c>
      <c r="T228" s="469">
        <f t="shared" ca="1" si="82"/>
        <v>0</v>
      </c>
      <c r="U228" s="469">
        <f t="shared" ca="1" si="82"/>
        <v>0</v>
      </c>
      <c r="V228" s="469">
        <f t="shared" ca="1" si="82"/>
        <v>0</v>
      </c>
      <c r="W228" s="469">
        <f t="shared" ca="1" si="82"/>
        <v>0</v>
      </c>
      <c r="X228" s="469">
        <f t="shared" ca="1" si="82"/>
        <v>0</v>
      </c>
      <c r="Y228" s="469">
        <f t="shared" ca="1" si="82"/>
        <v>0</v>
      </c>
      <c r="Z228" s="469">
        <f t="shared" ca="1" si="82"/>
        <v>0</v>
      </c>
      <c r="AA228" s="469">
        <f t="shared" ca="1" si="82"/>
        <v>0</v>
      </c>
      <c r="AB228" s="469">
        <f t="shared" ca="1" si="82"/>
        <v>0</v>
      </c>
      <c r="AC228" s="469">
        <f t="shared" ca="1" si="82"/>
        <v>0</v>
      </c>
      <c r="AD228" s="469">
        <f t="shared" ca="1" si="82"/>
        <v>0</v>
      </c>
      <c r="AE228" s="469">
        <f t="shared" ca="1" si="82"/>
        <v>0</v>
      </c>
      <c r="AF228" s="469">
        <f t="shared" ca="1" si="82"/>
        <v>0</v>
      </c>
      <c r="AG228" s="469">
        <f t="shared" ca="1" si="82"/>
        <v>0</v>
      </c>
      <c r="AH228" s="469">
        <f t="shared" ca="1" si="82"/>
        <v>0</v>
      </c>
      <c r="AI228" s="469">
        <f t="shared" ca="1" si="82"/>
        <v>0</v>
      </c>
      <c r="AJ228" s="469">
        <f t="shared" ca="1" si="82"/>
        <v>0</v>
      </c>
      <c r="AK228" s="469">
        <f t="shared" ca="1" si="82"/>
        <v>0</v>
      </c>
      <c r="AL228" s="469">
        <f t="shared" ca="1" si="82"/>
        <v>0</v>
      </c>
      <c r="AM228" s="469">
        <f t="shared" ca="1" si="82"/>
        <v>0</v>
      </c>
      <c r="AN228" s="469">
        <f t="shared" ca="1" si="82"/>
        <v>0</v>
      </c>
      <c r="AO228" s="469">
        <f t="shared" ca="1" si="82"/>
        <v>0</v>
      </c>
      <c r="AP228" s="469">
        <f t="shared" ca="1" si="82"/>
        <v>0</v>
      </c>
      <c r="AQ228" s="469">
        <f t="shared" ref="AQ228:BV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69">
        <f t="shared" ca="1" si="83"/>
        <v>0</v>
      </c>
      <c r="AS228" s="469">
        <f t="shared" ca="1" si="83"/>
        <v>0</v>
      </c>
      <c r="AT228" s="469">
        <f t="shared" ca="1" si="83"/>
        <v>0</v>
      </c>
      <c r="AU228" s="469">
        <f t="shared" ca="1" si="83"/>
        <v>0</v>
      </c>
      <c r="AV228" s="469">
        <f t="shared" ca="1" si="83"/>
        <v>0</v>
      </c>
      <c r="AW228" s="469">
        <f t="shared" ca="1" si="83"/>
        <v>0</v>
      </c>
      <c r="AX228" s="469">
        <f t="shared" ca="1" si="83"/>
        <v>0</v>
      </c>
      <c r="AY228" s="469">
        <f t="shared" ca="1" si="83"/>
        <v>0</v>
      </c>
      <c r="AZ228" s="469">
        <f t="shared" ca="1" si="83"/>
        <v>0</v>
      </c>
      <c r="BA228" s="469">
        <f t="shared" ca="1" si="83"/>
        <v>0</v>
      </c>
      <c r="BB228" s="469">
        <f t="shared" ca="1" si="83"/>
        <v>0</v>
      </c>
      <c r="BC228" s="469">
        <f t="shared" ca="1" si="83"/>
        <v>0</v>
      </c>
      <c r="BD228" s="469">
        <f t="shared" ca="1" si="83"/>
        <v>0</v>
      </c>
      <c r="BE228" s="469">
        <f t="shared" ca="1" si="83"/>
        <v>0</v>
      </c>
      <c r="BF228" s="469">
        <f t="shared" ca="1" si="83"/>
        <v>0</v>
      </c>
      <c r="BG228" s="469">
        <f t="shared" ca="1" si="83"/>
        <v>0</v>
      </c>
      <c r="BH228" s="469">
        <f t="shared" ca="1" si="83"/>
        <v>0</v>
      </c>
      <c r="BI228" s="469">
        <f t="shared" ca="1" si="83"/>
        <v>0</v>
      </c>
      <c r="BJ228" s="469">
        <f t="shared" ca="1" si="83"/>
        <v>0</v>
      </c>
      <c r="BK228" s="469">
        <f t="shared" ca="1" si="83"/>
        <v>0</v>
      </c>
      <c r="BL228" s="469">
        <f t="shared" ca="1" si="83"/>
        <v>0</v>
      </c>
      <c r="BM228" s="469">
        <f t="shared" ca="1" si="83"/>
        <v>0</v>
      </c>
      <c r="BN228" s="469">
        <f t="shared" ca="1" si="83"/>
        <v>0</v>
      </c>
      <c r="BO228" s="469">
        <f t="shared" ca="1" si="83"/>
        <v>0</v>
      </c>
      <c r="BP228" s="469">
        <f t="shared" ca="1" si="83"/>
        <v>0</v>
      </c>
      <c r="BQ228" s="469">
        <f t="shared" ca="1" si="83"/>
        <v>0</v>
      </c>
      <c r="BR228" s="469">
        <f t="shared" ca="1" si="83"/>
        <v>0</v>
      </c>
      <c r="BS228" s="469">
        <f t="shared" ca="1" si="83"/>
        <v>0</v>
      </c>
      <c r="BT228" s="469">
        <f t="shared" ca="1" si="83"/>
        <v>0</v>
      </c>
      <c r="BU228" s="469">
        <f t="shared" ca="1" si="83"/>
        <v>0</v>
      </c>
      <c r="BV228" s="469">
        <f t="shared" ca="1" si="83"/>
        <v>0</v>
      </c>
      <c r="BW228" s="469">
        <f t="shared" ref="BW228:D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69">
        <f t="shared" ca="1" si="84"/>
        <v>0</v>
      </c>
      <c r="BY228" s="469">
        <f t="shared" ca="1" si="84"/>
        <v>0</v>
      </c>
      <c r="BZ228" s="469">
        <f t="shared" ca="1" si="84"/>
        <v>0</v>
      </c>
      <c r="CA228" s="469">
        <f t="shared" ca="1" si="84"/>
        <v>0</v>
      </c>
      <c r="CB228" s="469">
        <f t="shared" ca="1" si="84"/>
        <v>0</v>
      </c>
      <c r="CC228" s="469">
        <f t="shared" ca="1" si="84"/>
        <v>0</v>
      </c>
      <c r="CD228" s="469">
        <f t="shared" ca="1" si="84"/>
        <v>0</v>
      </c>
      <c r="CE228" s="469">
        <f t="shared" ca="1" si="84"/>
        <v>0</v>
      </c>
      <c r="CF228" s="469">
        <f t="shared" ca="1" si="84"/>
        <v>0</v>
      </c>
      <c r="CG228" s="469">
        <f t="shared" ca="1" si="84"/>
        <v>0</v>
      </c>
      <c r="CH228" s="469">
        <f t="shared" ca="1" si="84"/>
        <v>0</v>
      </c>
      <c r="CI228" s="469">
        <f t="shared" ca="1" si="84"/>
        <v>0</v>
      </c>
      <c r="CJ228" s="469">
        <f t="shared" ca="1" si="84"/>
        <v>0</v>
      </c>
      <c r="CK228" s="469">
        <f t="shared" ca="1" si="84"/>
        <v>0</v>
      </c>
      <c r="CL228" s="469">
        <f t="shared" ca="1" si="84"/>
        <v>0</v>
      </c>
      <c r="CM228" s="469">
        <f t="shared" ca="1" si="84"/>
        <v>0</v>
      </c>
      <c r="CN228" s="469">
        <f t="shared" ca="1" si="84"/>
        <v>0</v>
      </c>
      <c r="CO228" s="469">
        <f t="shared" ca="1" si="84"/>
        <v>0</v>
      </c>
      <c r="CP228" s="469">
        <f t="shared" ca="1" si="84"/>
        <v>0</v>
      </c>
      <c r="CQ228" s="469">
        <f t="shared" ca="1" si="84"/>
        <v>0</v>
      </c>
      <c r="CR228" s="469">
        <f t="shared" ca="1" si="84"/>
        <v>0</v>
      </c>
      <c r="CS228" s="469">
        <f t="shared" ca="1" si="84"/>
        <v>0</v>
      </c>
      <c r="CT228" s="469">
        <f t="shared" ca="1" si="84"/>
        <v>0</v>
      </c>
      <c r="CU228" s="469">
        <f t="shared" ca="1" si="84"/>
        <v>0</v>
      </c>
      <c r="CV228" s="469">
        <f t="shared" ca="1" si="84"/>
        <v>0</v>
      </c>
      <c r="CW228" s="469">
        <f t="shared" ca="1" si="84"/>
        <v>0</v>
      </c>
      <c r="CX228" s="469">
        <f t="shared" ca="1" si="84"/>
        <v>0</v>
      </c>
      <c r="CY228" s="469">
        <f t="shared" ca="1" si="84"/>
        <v>0</v>
      </c>
      <c r="CZ228" s="469">
        <f t="shared" ca="1" si="84"/>
        <v>0</v>
      </c>
      <c r="DA228" s="469">
        <f t="shared" ca="1" si="84"/>
        <v>0</v>
      </c>
      <c r="DB228" s="469">
        <f t="shared" ca="1" si="84"/>
        <v>0</v>
      </c>
      <c r="DC228" s="469">
        <f t="shared" ref="DC228:EH228" ca="1" si="8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69">
        <f t="shared" ca="1" si="85"/>
        <v>0</v>
      </c>
      <c r="DE228" s="469">
        <f t="shared" ca="1" si="85"/>
        <v>0</v>
      </c>
      <c r="DF228" s="469">
        <f t="shared" ca="1" si="85"/>
        <v>0</v>
      </c>
      <c r="DG228" s="469">
        <f t="shared" ca="1" si="85"/>
        <v>0</v>
      </c>
      <c r="DH228" s="469">
        <f t="shared" ca="1" si="85"/>
        <v>0</v>
      </c>
      <c r="DI228" s="469">
        <f t="shared" ca="1" si="85"/>
        <v>0</v>
      </c>
      <c r="DJ228" s="469">
        <f t="shared" ca="1" si="85"/>
        <v>0</v>
      </c>
      <c r="DK228" s="469">
        <f t="shared" ca="1" si="85"/>
        <v>0</v>
      </c>
      <c r="DL228" s="469">
        <f t="shared" ca="1" si="85"/>
        <v>0</v>
      </c>
      <c r="DM228" s="469">
        <f t="shared" ca="1" si="85"/>
        <v>0</v>
      </c>
      <c r="DN228" s="469">
        <f t="shared" ca="1" si="85"/>
        <v>0</v>
      </c>
      <c r="DO228" s="469">
        <f t="shared" ca="1" si="85"/>
        <v>0</v>
      </c>
      <c r="DP228" s="469">
        <f t="shared" ca="1" si="85"/>
        <v>0</v>
      </c>
      <c r="DQ228" s="469">
        <f t="shared" ca="1" si="85"/>
        <v>0</v>
      </c>
      <c r="DR228" s="469">
        <f t="shared" ca="1" si="85"/>
        <v>0</v>
      </c>
      <c r="DS228" s="469">
        <f t="shared" ca="1" si="85"/>
        <v>0</v>
      </c>
      <c r="DT228" s="469">
        <f t="shared" ca="1" si="85"/>
        <v>0</v>
      </c>
      <c r="DU228" s="469">
        <f t="shared" ca="1" si="85"/>
        <v>0</v>
      </c>
      <c r="DV228" s="469">
        <f t="shared" ca="1" si="85"/>
        <v>0</v>
      </c>
      <c r="DW228" s="469">
        <f t="shared" ca="1" si="85"/>
        <v>0</v>
      </c>
      <c r="DX228" s="469">
        <f t="shared" ca="1" si="85"/>
        <v>0</v>
      </c>
      <c r="DY228" s="469">
        <f t="shared" ca="1" si="85"/>
        <v>0</v>
      </c>
      <c r="DZ228" s="469">
        <f t="shared" ca="1" si="85"/>
        <v>0</v>
      </c>
      <c r="EA228" s="469">
        <f t="shared" ca="1" si="85"/>
        <v>0</v>
      </c>
      <c r="EB228" s="469">
        <f t="shared" ca="1" si="85"/>
        <v>0</v>
      </c>
      <c r="EC228" s="469">
        <f t="shared" ca="1" si="85"/>
        <v>0</v>
      </c>
      <c r="ED228" s="469">
        <f t="shared" ca="1" si="85"/>
        <v>0</v>
      </c>
      <c r="EE228" s="469">
        <f t="shared" ca="1" si="85"/>
        <v>0</v>
      </c>
      <c r="EF228" s="469">
        <f t="shared" ca="1" si="85"/>
        <v>0</v>
      </c>
      <c r="EG228" s="469">
        <f t="shared" ca="1" si="85"/>
        <v>0</v>
      </c>
      <c r="EH228" s="469">
        <f t="shared" ca="1" si="85"/>
        <v>0</v>
      </c>
      <c r="EI228" s="469">
        <f t="shared" ref="EI228:FN228" ca="1" si="8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69">
        <f t="shared" ca="1" si="86"/>
        <v>0</v>
      </c>
      <c r="EK228" s="469">
        <f t="shared" ca="1" si="86"/>
        <v>0</v>
      </c>
      <c r="EL228" s="469">
        <f t="shared" ca="1" si="86"/>
        <v>0</v>
      </c>
      <c r="EM228" s="469">
        <f t="shared" ca="1" si="86"/>
        <v>0</v>
      </c>
      <c r="EN228" s="469">
        <f t="shared" ca="1" si="86"/>
        <v>0</v>
      </c>
      <c r="EO228" s="469">
        <f t="shared" ca="1" si="86"/>
        <v>0</v>
      </c>
      <c r="EP228" s="469">
        <f t="shared" ca="1" si="86"/>
        <v>0</v>
      </c>
      <c r="EQ228" s="469">
        <f t="shared" ca="1" si="86"/>
        <v>0</v>
      </c>
      <c r="ER228" s="469">
        <f t="shared" ca="1" si="86"/>
        <v>0</v>
      </c>
      <c r="ES228" s="469">
        <f t="shared" ca="1" si="86"/>
        <v>0</v>
      </c>
      <c r="ET228" s="469">
        <f t="shared" ca="1" si="86"/>
        <v>0</v>
      </c>
      <c r="EU228" s="469">
        <f t="shared" ca="1" si="86"/>
        <v>0</v>
      </c>
      <c r="EV228" s="469">
        <f t="shared" ca="1" si="86"/>
        <v>0</v>
      </c>
      <c r="EW228" s="469">
        <f t="shared" ca="1" si="86"/>
        <v>0</v>
      </c>
      <c r="EX228" s="469">
        <f t="shared" ca="1" si="86"/>
        <v>0</v>
      </c>
      <c r="EY228" s="469">
        <f t="shared" ca="1" si="86"/>
        <v>0</v>
      </c>
      <c r="EZ228" s="469">
        <f t="shared" ca="1" si="86"/>
        <v>0</v>
      </c>
      <c r="FA228" s="469">
        <f t="shared" ca="1" si="86"/>
        <v>0</v>
      </c>
      <c r="FB228" s="469">
        <f t="shared" ca="1" si="86"/>
        <v>0</v>
      </c>
      <c r="FC228" s="469">
        <f t="shared" ca="1" si="86"/>
        <v>0</v>
      </c>
      <c r="FD228" s="469">
        <f t="shared" ca="1" si="86"/>
        <v>0</v>
      </c>
      <c r="FE228" s="469">
        <f t="shared" ca="1" si="86"/>
        <v>0</v>
      </c>
      <c r="FF228" s="469">
        <f t="shared" ca="1" si="86"/>
        <v>0</v>
      </c>
      <c r="FG228" s="469">
        <f t="shared" ca="1" si="86"/>
        <v>0</v>
      </c>
      <c r="FH228" s="469">
        <f t="shared" ca="1" si="86"/>
        <v>0</v>
      </c>
      <c r="FI228" s="469">
        <f t="shared" ca="1" si="86"/>
        <v>0</v>
      </c>
      <c r="FJ228" s="469">
        <f t="shared" ca="1" si="86"/>
        <v>0</v>
      </c>
      <c r="FK228" s="469">
        <f t="shared" ca="1" si="86"/>
        <v>0</v>
      </c>
      <c r="FL228" s="469">
        <f t="shared" ca="1" si="86"/>
        <v>0</v>
      </c>
      <c r="FM228" s="469">
        <f t="shared" ca="1" si="86"/>
        <v>0</v>
      </c>
      <c r="FN228" s="469">
        <f t="shared" ca="1" si="86"/>
        <v>0</v>
      </c>
      <c r="FO228" s="469">
        <f t="shared" ref="FO228:GT228" ca="1" si="8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69">
        <f t="shared" ca="1" si="87"/>
        <v>0</v>
      </c>
      <c r="FQ228" s="469">
        <f t="shared" ca="1" si="87"/>
        <v>0</v>
      </c>
      <c r="FR228" s="469">
        <f t="shared" ca="1" si="87"/>
        <v>0</v>
      </c>
      <c r="FS228" s="469">
        <f t="shared" ca="1" si="87"/>
        <v>0</v>
      </c>
      <c r="FT228" s="469">
        <f t="shared" ca="1" si="87"/>
        <v>0</v>
      </c>
      <c r="FU228" s="469">
        <f t="shared" ca="1" si="87"/>
        <v>0</v>
      </c>
      <c r="FV228" s="469">
        <f t="shared" ca="1" si="87"/>
        <v>0</v>
      </c>
      <c r="FW228" s="469">
        <f t="shared" ca="1" si="87"/>
        <v>0</v>
      </c>
      <c r="FX228" s="469">
        <f t="shared" ca="1" si="87"/>
        <v>0</v>
      </c>
      <c r="FY228" s="469">
        <f t="shared" ca="1" si="87"/>
        <v>0</v>
      </c>
      <c r="FZ228" s="469">
        <f t="shared" ca="1" si="87"/>
        <v>0</v>
      </c>
      <c r="GA228" s="469">
        <f t="shared" ca="1" si="87"/>
        <v>0</v>
      </c>
      <c r="GB228" s="469">
        <f t="shared" ca="1" si="87"/>
        <v>0</v>
      </c>
      <c r="GC228" s="469">
        <f t="shared" ca="1" si="87"/>
        <v>0</v>
      </c>
      <c r="GD228" s="469">
        <f t="shared" ca="1" si="87"/>
        <v>0</v>
      </c>
      <c r="GE228" s="469">
        <f t="shared" ca="1" si="87"/>
        <v>0</v>
      </c>
      <c r="GF228" s="469">
        <f t="shared" ca="1" si="87"/>
        <v>0</v>
      </c>
      <c r="GG228" s="469">
        <f t="shared" ca="1" si="87"/>
        <v>0</v>
      </c>
      <c r="GH228" s="469">
        <f t="shared" ca="1" si="87"/>
        <v>0</v>
      </c>
      <c r="GI228" s="469">
        <f t="shared" ca="1" si="87"/>
        <v>0</v>
      </c>
      <c r="GJ228" s="469">
        <f t="shared" ca="1" si="87"/>
        <v>0</v>
      </c>
      <c r="GK228" s="469">
        <f t="shared" ca="1" si="87"/>
        <v>0</v>
      </c>
      <c r="GL228" s="469">
        <f t="shared" ca="1" si="87"/>
        <v>0</v>
      </c>
      <c r="GM228" s="469">
        <f t="shared" ca="1" si="87"/>
        <v>0</v>
      </c>
      <c r="GN228" s="469">
        <f t="shared" ca="1" si="87"/>
        <v>0</v>
      </c>
      <c r="GO228" s="469">
        <f t="shared" ca="1" si="87"/>
        <v>0</v>
      </c>
      <c r="GP228" s="469">
        <f t="shared" ca="1" si="87"/>
        <v>0</v>
      </c>
      <c r="GQ228" s="469">
        <f t="shared" ca="1" si="87"/>
        <v>0</v>
      </c>
      <c r="GR228" s="469">
        <f t="shared" ca="1" si="87"/>
        <v>0</v>
      </c>
      <c r="GS228" s="469">
        <f t="shared" ca="1" si="87"/>
        <v>0</v>
      </c>
      <c r="GT228" s="469">
        <f t="shared" ca="1" si="87"/>
        <v>0</v>
      </c>
      <c r="GU228" s="469">
        <f t="shared" ref="GU228:HB228" ca="1" si="8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69">
        <f t="shared" ca="1" si="88"/>
        <v>0</v>
      </c>
      <c r="GW228" s="469">
        <f t="shared" ca="1" si="88"/>
        <v>0</v>
      </c>
      <c r="GX228" s="469">
        <f t="shared" ca="1" si="88"/>
        <v>0</v>
      </c>
      <c r="GY228" s="469">
        <f t="shared" ca="1" si="88"/>
        <v>0</v>
      </c>
      <c r="GZ228" s="469">
        <f t="shared" ca="1" si="88"/>
        <v>0</v>
      </c>
      <c r="HA228" s="469">
        <f t="shared" ca="1" si="88"/>
        <v>0</v>
      </c>
      <c r="HB228" s="469">
        <f t="shared" ca="1" si="88"/>
        <v>0</v>
      </c>
      <c r="IE228" s="463"/>
      <c r="IF228" s="463"/>
      <c r="IG228" s="463"/>
      <c r="IH228" s="463"/>
    </row>
    <row r="229" spans="1:242" s="371" customFormat="1" ht="19.8" hidden="1">
      <c r="A229" s="456">
        <v>3</v>
      </c>
      <c r="C229" s="466" t="s">
        <v>606</v>
      </c>
      <c r="D229" s="468"/>
      <c r="E229" s="468"/>
      <c r="F229" s="469"/>
      <c r="G229" s="469">
        <v>8</v>
      </c>
      <c r="H229" s="469">
        <v>98</v>
      </c>
      <c r="I229" s="469"/>
      <c r="J229" s="469"/>
      <c r="K229" s="469">
        <f ca="1">(SUMPRODUCT($G$17:$G$65,K17:K65)+$G$67*K67+$G$69*K69+$G$71*K71+$G$73*K73+SUMPRODUCT($G$75:$G$81,K75:K81)+$G$83*K83+$G$85*K85+$G$86*K86+$G$89*K89+SUMPRODUCT($G$92:$G$103,K92:K103)+K228)*0.0258</f>
        <v>0</v>
      </c>
      <c r="L229" s="469">
        <f t="shared" ref="L229:BW229" ca="1" si="89">(SUMPRODUCT($G$17:$G$65,L17:L65)+$G$67*L67+$G$69*L69+$G$71*L71+$G$73*L73+SUMPRODUCT($G$75:$G$81,L75:L81)+$G$83*L83+$G$85*L85+$G$86*L86+$G$89*L89+SUMPRODUCT($G$92:$G$103,L92:L103)+L228)*0.0258</f>
        <v>0</v>
      </c>
      <c r="M229" s="469">
        <f t="shared" ca="1" si="89"/>
        <v>0</v>
      </c>
      <c r="N229" s="469">
        <f t="shared" ca="1" si="89"/>
        <v>0</v>
      </c>
      <c r="O229" s="469">
        <f t="shared" ca="1" si="89"/>
        <v>0</v>
      </c>
      <c r="P229" s="469">
        <f t="shared" ca="1" si="89"/>
        <v>0</v>
      </c>
      <c r="Q229" s="469">
        <f t="shared" ca="1" si="89"/>
        <v>0</v>
      </c>
      <c r="R229" s="469">
        <f t="shared" ca="1" si="89"/>
        <v>0</v>
      </c>
      <c r="S229" s="469">
        <f t="shared" ca="1" si="89"/>
        <v>0</v>
      </c>
      <c r="T229" s="469">
        <f t="shared" ca="1" si="89"/>
        <v>0</v>
      </c>
      <c r="U229" s="469">
        <f t="shared" ca="1" si="89"/>
        <v>0</v>
      </c>
      <c r="V229" s="469">
        <f t="shared" ca="1" si="89"/>
        <v>0</v>
      </c>
      <c r="W229" s="469">
        <f t="shared" ca="1" si="89"/>
        <v>0</v>
      </c>
      <c r="X229" s="469">
        <f t="shared" ca="1" si="89"/>
        <v>0</v>
      </c>
      <c r="Y229" s="469">
        <f t="shared" ca="1" si="89"/>
        <v>0</v>
      </c>
      <c r="Z229" s="469">
        <f t="shared" ca="1" si="89"/>
        <v>0</v>
      </c>
      <c r="AA229" s="469">
        <f t="shared" ca="1" si="89"/>
        <v>0</v>
      </c>
      <c r="AB229" s="469">
        <f t="shared" ca="1" si="89"/>
        <v>0</v>
      </c>
      <c r="AC229" s="469">
        <f t="shared" ca="1" si="89"/>
        <v>0</v>
      </c>
      <c r="AD229" s="469">
        <f t="shared" ca="1" si="89"/>
        <v>0</v>
      </c>
      <c r="AE229" s="469">
        <f t="shared" ca="1" si="89"/>
        <v>0</v>
      </c>
      <c r="AF229" s="469">
        <f t="shared" ca="1" si="89"/>
        <v>0</v>
      </c>
      <c r="AG229" s="469">
        <f t="shared" ca="1" si="89"/>
        <v>0</v>
      </c>
      <c r="AH229" s="469">
        <f t="shared" ca="1" si="89"/>
        <v>0</v>
      </c>
      <c r="AI229" s="469">
        <f t="shared" ca="1" si="89"/>
        <v>0</v>
      </c>
      <c r="AJ229" s="469">
        <f t="shared" ca="1" si="89"/>
        <v>0</v>
      </c>
      <c r="AK229" s="469">
        <f t="shared" ca="1" si="89"/>
        <v>0</v>
      </c>
      <c r="AL229" s="469">
        <f t="shared" ca="1" si="89"/>
        <v>0</v>
      </c>
      <c r="AM229" s="469">
        <f t="shared" ca="1" si="89"/>
        <v>0</v>
      </c>
      <c r="AN229" s="469">
        <f t="shared" ca="1" si="89"/>
        <v>0</v>
      </c>
      <c r="AO229" s="469">
        <f t="shared" ca="1" si="89"/>
        <v>0</v>
      </c>
      <c r="AP229" s="469">
        <f t="shared" ca="1" si="89"/>
        <v>0</v>
      </c>
      <c r="AQ229" s="469">
        <f t="shared" ca="1" si="89"/>
        <v>0</v>
      </c>
      <c r="AR229" s="469">
        <f t="shared" ca="1" si="89"/>
        <v>0</v>
      </c>
      <c r="AS229" s="469">
        <f t="shared" ca="1" si="89"/>
        <v>0</v>
      </c>
      <c r="AT229" s="469">
        <f t="shared" ca="1" si="89"/>
        <v>0</v>
      </c>
      <c r="AU229" s="469">
        <f t="shared" ca="1" si="89"/>
        <v>0</v>
      </c>
      <c r="AV229" s="469">
        <f t="shared" ca="1" si="89"/>
        <v>0</v>
      </c>
      <c r="AW229" s="469">
        <f t="shared" ca="1" si="89"/>
        <v>0</v>
      </c>
      <c r="AX229" s="469">
        <f t="shared" ca="1" si="89"/>
        <v>0</v>
      </c>
      <c r="AY229" s="469">
        <f t="shared" ca="1" si="89"/>
        <v>0</v>
      </c>
      <c r="AZ229" s="469">
        <f t="shared" ca="1" si="89"/>
        <v>0</v>
      </c>
      <c r="BA229" s="469">
        <f t="shared" ca="1" si="89"/>
        <v>0</v>
      </c>
      <c r="BB229" s="469">
        <f t="shared" ca="1" si="89"/>
        <v>0</v>
      </c>
      <c r="BC229" s="469">
        <f t="shared" ca="1" si="89"/>
        <v>0</v>
      </c>
      <c r="BD229" s="469">
        <f t="shared" ca="1" si="89"/>
        <v>0</v>
      </c>
      <c r="BE229" s="469">
        <f t="shared" ca="1" si="89"/>
        <v>0</v>
      </c>
      <c r="BF229" s="469">
        <f t="shared" ca="1" si="89"/>
        <v>0</v>
      </c>
      <c r="BG229" s="469">
        <f t="shared" ca="1" si="89"/>
        <v>0</v>
      </c>
      <c r="BH229" s="469">
        <f t="shared" ca="1" si="89"/>
        <v>0</v>
      </c>
      <c r="BI229" s="469">
        <f t="shared" ca="1" si="89"/>
        <v>0</v>
      </c>
      <c r="BJ229" s="469">
        <f t="shared" ca="1" si="89"/>
        <v>0</v>
      </c>
      <c r="BK229" s="469">
        <f t="shared" ca="1" si="89"/>
        <v>0</v>
      </c>
      <c r="BL229" s="469">
        <f t="shared" ca="1" si="89"/>
        <v>0</v>
      </c>
      <c r="BM229" s="469">
        <f t="shared" ca="1" si="89"/>
        <v>0</v>
      </c>
      <c r="BN229" s="469">
        <f t="shared" ca="1" si="89"/>
        <v>0</v>
      </c>
      <c r="BO229" s="469">
        <f t="shared" ca="1" si="89"/>
        <v>0</v>
      </c>
      <c r="BP229" s="469">
        <f t="shared" ca="1" si="89"/>
        <v>0</v>
      </c>
      <c r="BQ229" s="469">
        <f t="shared" ca="1" si="89"/>
        <v>0</v>
      </c>
      <c r="BR229" s="469">
        <f t="shared" ca="1" si="89"/>
        <v>0</v>
      </c>
      <c r="BS229" s="469">
        <f t="shared" ca="1" si="89"/>
        <v>0</v>
      </c>
      <c r="BT229" s="469">
        <f t="shared" ca="1" si="89"/>
        <v>0</v>
      </c>
      <c r="BU229" s="469">
        <f t="shared" ca="1" si="89"/>
        <v>0</v>
      </c>
      <c r="BV229" s="469">
        <f t="shared" ca="1" si="89"/>
        <v>0</v>
      </c>
      <c r="BW229" s="469">
        <f t="shared" ca="1" si="89"/>
        <v>0</v>
      </c>
      <c r="BX229" s="469">
        <f t="shared" ref="BX229:EI229" ca="1" si="90">(SUMPRODUCT($G$17:$G$65,BX17:BX65)+$G$67*BX67+$G$69*BX69+$G$71*BX71+$G$73*BX73+SUMPRODUCT($G$75:$G$81,BX75:BX81)+$G$83*BX83+$G$85*BX85+$G$86*BX86+$G$89*BX89+SUMPRODUCT($G$92:$G$103,BX92:BX103)+BX228)*0.0258</f>
        <v>0</v>
      </c>
      <c r="BY229" s="469">
        <f t="shared" ca="1" si="90"/>
        <v>0</v>
      </c>
      <c r="BZ229" s="469">
        <f t="shared" ca="1" si="90"/>
        <v>0</v>
      </c>
      <c r="CA229" s="469">
        <f t="shared" ca="1" si="90"/>
        <v>0</v>
      </c>
      <c r="CB229" s="469">
        <f t="shared" ca="1" si="90"/>
        <v>0</v>
      </c>
      <c r="CC229" s="469">
        <f t="shared" ca="1" si="90"/>
        <v>0</v>
      </c>
      <c r="CD229" s="469">
        <f t="shared" ca="1" si="90"/>
        <v>0</v>
      </c>
      <c r="CE229" s="469">
        <f t="shared" ca="1" si="90"/>
        <v>0</v>
      </c>
      <c r="CF229" s="469">
        <f t="shared" ca="1" si="90"/>
        <v>0</v>
      </c>
      <c r="CG229" s="469">
        <f t="shared" ca="1" si="90"/>
        <v>0</v>
      </c>
      <c r="CH229" s="469">
        <f t="shared" ca="1" si="90"/>
        <v>0</v>
      </c>
      <c r="CI229" s="469">
        <f t="shared" ca="1" si="90"/>
        <v>0</v>
      </c>
      <c r="CJ229" s="469">
        <f t="shared" ca="1" si="90"/>
        <v>0</v>
      </c>
      <c r="CK229" s="469">
        <f t="shared" ca="1" si="90"/>
        <v>0</v>
      </c>
      <c r="CL229" s="469">
        <f t="shared" ca="1" si="90"/>
        <v>0</v>
      </c>
      <c r="CM229" s="469">
        <f t="shared" ca="1" si="90"/>
        <v>0</v>
      </c>
      <c r="CN229" s="469">
        <f t="shared" ca="1" si="90"/>
        <v>0</v>
      </c>
      <c r="CO229" s="469">
        <f t="shared" ca="1" si="90"/>
        <v>0</v>
      </c>
      <c r="CP229" s="469">
        <f t="shared" ca="1" si="90"/>
        <v>0</v>
      </c>
      <c r="CQ229" s="469">
        <f t="shared" ca="1" si="90"/>
        <v>0</v>
      </c>
      <c r="CR229" s="469">
        <f t="shared" ca="1" si="90"/>
        <v>0</v>
      </c>
      <c r="CS229" s="469">
        <f t="shared" ca="1" si="90"/>
        <v>0</v>
      </c>
      <c r="CT229" s="469">
        <f t="shared" ca="1" si="90"/>
        <v>0</v>
      </c>
      <c r="CU229" s="469">
        <f t="shared" ca="1" si="90"/>
        <v>0</v>
      </c>
      <c r="CV229" s="469">
        <f t="shared" ca="1" si="90"/>
        <v>0</v>
      </c>
      <c r="CW229" s="469">
        <f t="shared" ca="1" si="90"/>
        <v>0</v>
      </c>
      <c r="CX229" s="469">
        <f t="shared" ca="1" si="90"/>
        <v>0</v>
      </c>
      <c r="CY229" s="469">
        <f t="shared" ca="1" si="90"/>
        <v>0</v>
      </c>
      <c r="CZ229" s="469">
        <f t="shared" ca="1" si="90"/>
        <v>0</v>
      </c>
      <c r="DA229" s="469">
        <f t="shared" ca="1" si="90"/>
        <v>0</v>
      </c>
      <c r="DB229" s="469">
        <f t="shared" ca="1" si="90"/>
        <v>0</v>
      </c>
      <c r="DC229" s="469">
        <f t="shared" ca="1" si="90"/>
        <v>0</v>
      </c>
      <c r="DD229" s="469">
        <f t="shared" ca="1" si="90"/>
        <v>0</v>
      </c>
      <c r="DE229" s="469">
        <f t="shared" ca="1" si="90"/>
        <v>0</v>
      </c>
      <c r="DF229" s="469">
        <f t="shared" ca="1" si="90"/>
        <v>0</v>
      </c>
      <c r="DG229" s="469">
        <f t="shared" ca="1" si="90"/>
        <v>0</v>
      </c>
      <c r="DH229" s="469">
        <f t="shared" ca="1" si="90"/>
        <v>0</v>
      </c>
      <c r="DI229" s="469">
        <f t="shared" ca="1" si="90"/>
        <v>0</v>
      </c>
      <c r="DJ229" s="469">
        <f t="shared" ca="1" si="90"/>
        <v>0</v>
      </c>
      <c r="DK229" s="469">
        <f t="shared" ca="1" si="90"/>
        <v>0</v>
      </c>
      <c r="DL229" s="469">
        <f t="shared" ca="1" si="90"/>
        <v>0</v>
      </c>
      <c r="DM229" s="469">
        <f t="shared" ca="1" si="90"/>
        <v>0</v>
      </c>
      <c r="DN229" s="469">
        <f t="shared" ca="1" si="90"/>
        <v>0</v>
      </c>
      <c r="DO229" s="469">
        <f t="shared" ca="1" si="90"/>
        <v>0</v>
      </c>
      <c r="DP229" s="469">
        <f t="shared" ca="1" si="90"/>
        <v>0</v>
      </c>
      <c r="DQ229" s="469">
        <f t="shared" ca="1" si="90"/>
        <v>0</v>
      </c>
      <c r="DR229" s="469">
        <f t="shared" ca="1" si="90"/>
        <v>0</v>
      </c>
      <c r="DS229" s="469">
        <f t="shared" ca="1" si="90"/>
        <v>0</v>
      </c>
      <c r="DT229" s="469">
        <f t="shared" ca="1" si="90"/>
        <v>0</v>
      </c>
      <c r="DU229" s="469">
        <f t="shared" ca="1" si="90"/>
        <v>0</v>
      </c>
      <c r="DV229" s="469">
        <f t="shared" ca="1" si="90"/>
        <v>0</v>
      </c>
      <c r="DW229" s="469">
        <f t="shared" ca="1" si="90"/>
        <v>0</v>
      </c>
      <c r="DX229" s="469">
        <f t="shared" ca="1" si="90"/>
        <v>0</v>
      </c>
      <c r="DY229" s="469">
        <f t="shared" ca="1" si="90"/>
        <v>0</v>
      </c>
      <c r="DZ229" s="469">
        <f t="shared" ca="1" si="90"/>
        <v>0</v>
      </c>
      <c r="EA229" s="469">
        <f t="shared" ca="1" si="90"/>
        <v>0</v>
      </c>
      <c r="EB229" s="469">
        <f t="shared" ca="1" si="90"/>
        <v>0</v>
      </c>
      <c r="EC229" s="469">
        <f t="shared" ca="1" si="90"/>
        <v>0</v>
      </c>
      <c r="ED229" s="469">
        <f t="shared" ca="1" si="90"/>
        <v>0</v>
      </c>
      <c r="EE229" s="469">
        <f t="shared" ca="1" si="90"/>
        <v>0</v>
      </c>
      <c r="EF229" s="469">
        <f t="shared" ca="1" si="90"/>
        <v>0</v>
      </c>
      <c r="EG229" s="469">
        <f t="shared" ca="1" si="90"/>
        <v>0</v>
      </c>
      <c r="EH229" s="469">
        <f t="shared" ca="1" si="90"/>
        <v>0</v>
      </c>
      <c r="EI229" s="469">
        <f t="shared" ca="1" si="90"/>
        <v>0</v>
      </c>
      <c r="EJ229" s="469">
        <f t="shared" ref="EJ229:GU229" ca="1" si="91">(SUMPRODUCT($G$17:$G$65,EJ17:EJ65)+$G$67*EJ67+$G$69*EJ69+$G$71*EJ71+$G$73*EJ73+SUMPRODUCT($G$75:$G$81,EJ75:EJ81)+$G$83*EJ83+$G$85*EJ85+$G$86*EJ86+$G$89*EJ89+SUMPRODUCT($G$92:$G$103,EJ92:EJ103)+EJ228)*0.0258</f>
        <v>0</v>
      </c>
      <c r="EK229" s="469">
        <f t="shared" ca="1" si="91"/>
        <v>0</v>
      </c>
      <c r="EL229" s="469">
        <f t="shared" ca="1" si="91"/>
        <v>0</v>
      </c>
      <c r="EM229" s="469">
        <f t="shared" ca="1" si="91"/>
        <v>0</v>
      </c>
      <c r="EN229" s="469">
        <f t="shared" ca="1" si="91"/>
        <v>0</v>
      </c>
      <c r="EO229" s="469">
        <f t="shared" ca="1" si="91"/>
        <v>0</v>
      </c>
      <c r="EP229" s="469">
        <f t="shared" ca="1" si="91"/>
        <v>0</v>
      </c>
      <c r="EQ229" s="469">
        <f t="shared" ca="1" si="91"/>
        <v>0</v>
      </c>
      <c r="ER229" s="469">
        <f t="shared" ca="1" si="91"/>
        <v>0</v>
      </c>
      <c r="ES229" s="469">
        <f t="shared" ca="1" si="91"/>
        <v>0</v>
      </c>
      <c r="ET229" s="469">
        <f t="shared" ca="1" si="91"/>
        <v>0</v>
      </c>
      <c r="EU229" s="469">
        <f t="shared" ca="1" si="91"/>
        <v>0</v>
      </c>
      <c r="EV229" s="469">
        <f t="shared" ca="1" si="91"/>
        <v>0</v>
      </c>
      <c r="EW229" s="469">
        <f t="shared" ca="1" si="91"/>
        <v>0</v>
      </c>
      <c r="EX229" s="469">
        <f t="shared" ca="1" si="91"/>
        <v>0</v>
      </c>
      <c r="EY229" s="469">
        <f t="shared" ca="1" si="91"/>
        <v>0</v>
      </c>
      <c r="EZ229" s="469">
        <f t="shared" ca="1" si="91"/>
        <v>0</v>
      </c>
      <c r="FA229" s="469">
        <f t="shared" ca="1" si="91"/>
        <v>0</v>
      </c>
      <c r="FB229" s="469">
        <f t="shared" ca="1" si="91"/>
        <v>0</v>
      </c>
      <c r="FC229" s="469">
        <f t="shared" ca="1" si="91"/>
        <v>0</v>
      </c>
      <c r="FD229" s="469">
        <f t="shared" ca="1" si="91"/>
        <v>0</v>
      </c>
      <c r="FE229" s="469">
        <f t="shared" ca="1" si="91"/>
        <v>0</v>
      </c>
      <c r="FF229" s="469">
        <f t="shared" ca="1" si="91"/>
        <v>0</v>
      </c>
      <c r="FG229" s="469">
        <f t="shared" ca="1" si="91"/>
        <v>0</v>
      </c>
      <c r="FH229" s="469">
        <f t="shared" ca="1" si="91"/>
        <v>0</v>
      </c>
      <c r="FI229" s="469">
        <f t="shared" ca="1" si="91"/>
        <v>0</v>
      </c>
      <c r="FJ229" s="469">
        <f t="shared" ca="1" si="91"/>
        <v>0</v>
      </c>
      <c r="FK229" s="469">
        <f t="shared" ca="1" si="91"/>
        <v>0</v>
      </c>
      <c r="FL229" s="469">
        <f t="shared" ca="1" si="91"/>
        <v>0</v>
      </c>
      <c r="FM229" s="469">
        <f t="shared" ca="1" si="91"/>
        <v>0</v>
      </c>
      <c r="FN229" s="469">
        <f t="shared" ca="1" si="91"/>
        <v>0</v>
      </c>
      <c r="FO229" s="469">
        <f t="shared" ca="1" si="91"/>
        <v>0</v>
      </c>
      <c r="FP229" s="469">
        <f t="shared" ca="1" si="91"/>
        <v>0</v>
      </c>
      <c r="FQ229" s="469">
        <f t="shared" ca="1" si="91"/>
        <v>0</v>
      </c>
      <c r="FR229" s="469">
        <f t="shared" ca="1" si="91"/>
        <v>0</v>
      </c>
      <c r="FS229" s="469">
        <f t="shared" ca="1" si="91"/>
        <v>0</v>
      </c>
      <c r="FT229" s="469">
        <f t="shared" ca="1" si="91"/>
        <v>0</v>
      </c>
      <c r="FU229" s="469">
        <f t="shared" ca="1" si="91"/>
        <v>0</v>
      </c>
      <c r="FV229" s="469">
        <f t="shared" ca="1" si="91"/>
        <v>0</v>
      </c>
      <c r="FW229" s="469">
        <f t="shared" ca="1" si="91"/>
        <v>0</v>
      </c>
      <c r="FX229" s="469">
        <f t="shared" ca="1" si="91"/>
        <v>0</v>
      </c>
      <c r="FY229" s="469">
        <f t="shared" ca="1" si="91"/>
        <v>0</v>
      </c>
      <c r="FZ229" s="469">
        <f t="shared" ca="1" si="91"/>
        <v>0</v>
      </c>
      <c r="GA229" s="469">
        <f t="shared" ca="1" si="91"/>
        <v>0</v>
      </c>
      <c r="GB229" s="469">
        <f t="shared" ca="1" si="91"/>
        <v>0</v>
      </c>
      <c r="GC229" s="469">
        <f t="shared" ca="1" si="91"/>
        <v>0</v>
      </c>
      <c r="GD229" s="469">
        <f t="shared" ca="1" si="91"/>
        <v>0</v>
      </c>
      <c r="GE229" s="469">
        <f t="shared" ca="1" si="91"/>
        <v>0</v>
      </c>
      <c r="GF229" s="469">
        <f t="shared" ca="1" si="91"/>
        <v>0</v>
      </c>
      <c r="GG229" s="469">
        <f t="shared" ca="1" si="91"/>
        <v>0</v>
      </c>
      <c r="GH229" s="469">
        <f t="shared" ca="1" si="91"/>
        <v>0</v>
      </c>
      <c r="GI229" s="469">
        <f t="shared" ca="1" si="91"/>
        <v>0</v>
      </c>
      <c r="GJ229" s="469">
        <f t="shared" ca="1" si="91"/>
        <v>0</v>
      </c>
      <c r="GK229" s="469">
        <f t="shared" ca="1" si="91"/>
        <v>0</v>
      </c>
      <c r="GL229" s="469">
        <f t="shared" ca="1" si="91"/>
        <v>0</v>
      </c>
      <c r="GM229" s="469">
        <f t="shared" ca="1" si="91"/>
        <v>0</v>
      </c>
      <c r="GN229" s="469">
        <f t="shared" ca="1" si="91"/>
        <v>0</v>
      </c>
      <c r="GO229" s="469">
        <f t="shared" ca="1" si="91"/>
        <v>0</v>
      </c>
      <c r="GP229" s="469">
        <f t="shared" ca="1" si="91"/>
        <v>0</v>
      </c>
      <c r="GQ229" s="469">
        <f t="shared" ca="1" si="91"/>
        <v>0</v>
      </c>
      <c r="GR229" s="469">
        <f t="shared" ca="1" si="91"/>
        <v>0</v>
      </c>
      <c r="GS229" s="469">
        <f t="shared" ca="1" si="91"/>
        <v>0</v>
      </c>
      <c r="GT229" s="469">
        <f t="shared" ca="1" si="91"/>
        <v>0</v>
      </c>
      <c r="GU229" s="469">
        <f t="shared" ca="1" si="91"/>
        <v>0</v>
      </c>
      <c r="GV229" s="469">
        <f t="shared" ref="GV229:HB229" ca="1" si="92">(SUMPRODUCT($G$17:$G$65,GV17:GV65)+$G$67*GV67+$G$69*GV69+$G$71*GV71+$G$73*GV73+SUMPRODUCT($G$75:$G$81,GV75:GV81)+$G$83*GV83+$G$85*GV85+$G$86*GV86+$G$89*GV89+SUMPRODUCT($G$92:$G$103,GV92:GV103)+GV228)*0.0258</f>
        <v>0</v>
      </c>
      <c r="GW229" s="469">
        <f t="shared" ca="1" si="92"/>
        <v>0</v>
      </c>
      <c r="GX229" s="469">
        <f t="shared" ca="1" si="92"/>
        <v>0</v>
      </c>
      <c r="GY229" s="469">
        <f t="shared" ca="1" si="92"/>
        <v>0</v>
      </c>
      <c r="GZ229" s="469">
        <f t="shared" ca="1" si="92"/>
        <v>0</v>
      </c>
      <c r="HA229" s="469">
        <f t="shared" ca="1" si="92"/>
        <v>0</v>
      </c>
      <c r="HB229" s="469">
        <f t="shared" ca="1" si="92"/>
        <v>0</v>
      </c>
      <c r="IE229" s="463"/>
      <c r="IF229" s="463"/>
      <c r="IG229" s="463"/>
      <c r="IH229" s="463"/>
    </row>
    <row r="230" spans="1:242" s="371" customFormat="1" ht="19.8" hidden="1">
      <c r="A230" s="456">
        <v>4</v>
      </c>
      <c r="C230" s="466" t="s">
        <v>607</v>
      </c>
      <c r="D230" s="468"/>
      <c r="E230" s="468"/>
      <c r="F230" s="469"/>
      <c r="G230" s="469">
        <v>37</v>
      </c>
      <c r="H230" s="469">
        <v>55</v>
      </c>
      <c r="I230" s="469"/>
      <c r="J230" s="469"/>
      <c r="K230" s="469">
        <f ca="1">SUMPRODUCT(OFFSET(貼付け_2024実績,$G230,5,($H230-$G230+1),1),OFFSET(貼付け_2024実績,$G230,SUM(COLUMN()-COLUMN(貼付け_2024実績)),($H230-$G230+1),1))*0.0258</f>
        <v>0</v>
      </c>
      <c r="L230" s="470"/>
      <c r="M230" s="470"/>
      <c r="N230" s="470"/>
      <c r="O230" s="469">
        <f ca="1">SUMPRODUCT(OFFSET(貼付け_2024実績,$G230,5,($H230-$G230+1),1),OFFSET(貼付け_2024実績,$G230,SUM(COLUMN()-COLUMN(貼付け_2024実績)),($H230-$G230+1),1))*0.0258</f>
        <v>0</v>
      </c>
      <c r="P230" s="470"/>
      <c r="Q230" s="470"/>
      <c r="R230" s="470"/>
      <c r="S230" s="469">
        <f ca="1">SUMPRODUCT(OFFSET(貼付け_2024実績,$G230,5,($H230-$G230+1),1),OFFSET(貼付け_2024実績,$G230,SUM(COLUMN()-COLUMN(貼付け_2024実績)),($H230-$G230+1),1))*0.0258</f>
        <v>0</v>
      </c>
      <c r="T230" s="470"/>
      <c r="U230" s="470"/>
      <c r="V230" s="470"/>
      <c r="W230" s="469">
        <f ca="1">SUMPRODUCT(OFFSET(貼付け_2024実績,$G230,5,($H230-$G230+1),1),OFFSET(貼付け_2024実績,$G230,SUM(COLUMN()-COLUMN(貼付け_2024実績)),($H230-$G230+1),1))*0.0258</f>
        <v>0</v>
      </c>
      <c r="X230" s="470"/>
      <c r="Y230" s="470"/>
      <c r="Z230" s="470"/>
      <c r="AA230" s="469">
        <f ca="1">SUMPRODUCT(OFFSET(貼付け_2024実績,$G230,5,($H230-$G230+1),1),OFFSET(貼付け_2024実績,$G230,SUM(COLUMN()-COLUMN(貼付け_2024実績)),($H230-$G230+1),1))*0.0258</f>
        <v>0</v>
      </c>
      <c r="AB230" s="470"/>
      <c r="AC230" s="470"/>
      <c r="AD230" s="470"/>
      <c r="AE230" s="469">
        <f ca="1">SUMPRODUCT(OFFSET(貼付け_2024実績,$G230,5,($H230-$G230+1),1),OFFSET(貼付け_2024実績,$G230,SUM(COLUMN()-COLUMN(貼付け_2024実績)),($H230-$G230+1),1))*0.0258</f>
        <v>0</v>
      </c>
      <c r="AF230" s="470"/>
      <c r="AG230" s="470"/>
      <c r="AH230" s="470"/>
      <c r="AI230" s="469">
        <f ca="1">SUMPRODUCT(OFFSET(貼付け_2024実績,$G230,5,($H230-$G230+1),1),OFFSET(貼付け_2024実績,$G230,SUM(COLUMN()-COLUMN(貼付け_2024実績)),($H230-$G230+1),1))*0.0258</f>
        <v>0</v>
      </c>
      <c r="AJ230" s="470"/>
      <c r="AK230" s="470"/>
      <c r="AL230" s="470"/>
      <c r="AM230" s="469">
        <f ca="1">SUMPRODUCT(OFFSET(貼付け_2024実績,$G230,5,($H230-$G230+1),1),OFFSET(貼付け_2024実績,$G230,SUM(COLUMN()-COLUMN(貼付け_2024実績)),($H230-$G230+1),1))*0.0258</f>
        <v>0</v>
      </c>
      <c r="AN230" s="470"/>
      <c r="AO230" s="470"/>
      <c r="AP230" s="470"/>
      <c r="AQ230" s="469">
        <f ca="1">SUMPRODUCT(OFFSET(貼付け_2024実績,$G230,5,($H230-$G230+1),1),OFFSET(貼付け_2024実績,$G230,SUM(COLUMN()-COLUMN(貼付け_2024実績)),($H230-$G230+1),1))*0.0258</f>
        <v>0</v>
      </c>
      <c r="AR230" s="470"/>
      <c r="AS230" s="470"/>
      <c r="AT230" s="470"/>
      <c r="AU230" s="469">
        <f ca="1">SUMPRODUCT(OFFSET(貼付け_2024実績,$G230,5,($H230-$G230+1),1),OFFSET(貼付け_2024実績,$G230,SUM(COLUMN()-COLUMN(貼付け_2024実績)),($H230-$G230+1),1))*0.0258</f>
        <v>0</v>
      </c>
      <c r="AV230" s="470"/>
      <c r="AW230" s="470"/>
      <c r="AX230" s="470"/>
      <c r="AY230" s="469">
        <f ca="1">SUMPRODUCT(OFFSET(貼付け_2024実績,$G230,5,($H230-$G230+1),1),OFFSET(貼付け_2024実績,$G230,SUM(COLUMN()-COLUMN(貼付け_2024実績)),($H230-$G230+1),1))*0.0258</f>
        <v>0</v>
      </c>
      <c r="AZ230" s="470"/>
      <c r="BA230" s="470"/>
      <c r="BB230" s="470"/>
      <c r="BC230" s="469">
        <f ca="1">SUMPRODUCT(OFFSET(貼付け_2024実績,$G230,5,($H230-$G230+1),1),OFFSET(貼付け_2024実績,$G230,SUM(COLUMN()-COLUMN(貼付け_2024実績)),($H230-$G230+1),1))*0.0258</f>
        <v>0</v>
      </c>
      <c r="BD230" s="470"/>
      <c r="BE230" s="470"/>
      <c r="BF230" s="470"/>
      <c r="BG230" s="469">
        <f ca="1">SUMPRODUCT(OFFSET(貼付け_2024実績,$G230,5,($H230-$G230+1),1),OFFSET(貼付け_2024実績,$G230,SUM(COLUMN()-COLUMN(貼付け_2024実績)),($H230-$G230+1),1))*0.0258</f>
        <v>0</v>
      </c>
      <c r="BH230" s="470"/>
      <c r="BI230" s="470"/>
      <c r="BJ230" s="470"/>
      <c r="BK230" s="469">
        <f ca="1">SUMPRODUCT(OFFSET(貼付け_2024実績,$G230,5,($H230-$G230+1),1),OFFSET(貼付け_2024実績,$G230,SUM(COLUMN()-COLUMN(貼付け_2024実績)),($H230-$G230+1),1))*0.0258</f>
        <v>0</v>
      </c>
      <c r="BL230" s="470"/>
      <c r="BM230" s="470"/>
      <c r="BN230" s="470"/>
      <c r="BO230" s="469">
        <f ca="1">SUMPRODUCT(OFFSET(貼付け_2024実績,$G230,5,($H230-$G230+1),1),OFFSET(貼付け_2024実績,$G230,SUM(COLUMN()-COLUMN(貼付け_2024実績)),($H230-$G230+1),1))*0.0258</f>
        <v>0</v>
      </c>
      <c r="BP230" s="470"/>
      <c r="BQ230" s="470"/>
      <c r="BR230" s="470"/>
      <c r="BS230" s="469">
        <f ca="1">SUMPRODUCT(OFFSET(貼付け_2024実績,$G230,5,($H230-$G230+1),1),OFFSET(貼付け_2024実績,$G230,SUM(COLUMN()-COLUMN(貼付け_2024実績)),($H230-$G230+1),1))*0.0258</f>
        <v>0</v>
      </c>
      <c r="BT230" s="470"/>
      <c r="BU230" s="470"/>
      <c r="BV230" s="470"/>
      <c r="BW230" s="469">
        <f ca="1">SUMPRODUCT(OFFSET(貼付け_2024実績,$G230,5,($H230-$G230+1),1),OFFSET(貼付け_2024実績,$G230,SUM(COLUMN()-COLUMN(貼付け_2024実績)),($H230-$G230+1),1))*0.0258</f>
        <v>0</v>
      </c>
      <c r="BX230" s="470"/>
      <c r="BY230" s="470"/>
      <c r="BZ230" s="470"/>
      <c r="CA230" s="469">
        <f ca="1">SUMPRODUCT(OFFSET(貼付け_2024実績,$G230,5,($H230-$G230+1),1),OFFSET(貼付け_2024実績,$G230,SUM(COLUMN()-COLUMN(貼付け_2024実績)),($H230-$G230+1),1))*0.0258</f>
        <v>0</v>
      </c>
      <c r="CB230" s="470"/>
      <c r="CC230" s="470"/>
      <c r="CD230" s="470"/>
      <c r="CE230" s="469">
        <f ca="1">SUMPRODUCT(OFFSET(貼付け_2024実績,$G230,5,($H230-$G230+1),1),OFFSET(貼付け_2024実績,$G230,SUM(COLUMN()-COLUMN(貼付け_2024実績)),($H230-$G230+1),1))*0.0258</f>
        <v>0</v>
      </c>
      <c r="CF230" s="470"/>
      <c r="CG230" s="470"/>
      <c r="CH230" s="470"/>
      <c r="CI230" s="469">
        <f ca="1">SUMPRODUCT(OFFSET(貼付け_2024実績,$G230,5,($H230-$G230+1),1),OFFSET(貼付け_2024実績,$G230,SUM(COLUMN()-COLUMN(貼付け_2024実績)),($H230-$G230+1),1))*0.0258</f>
        <v>0</v>
      </c>
      <c r="CJ230" s="470"/>
      <c r="CK230" s="470"/>
      <c r="CL230" s="470"/>
      <c r="CM230" s="469">
        <f ca="1">SUMPRODUCT(OFFSET(貼付け_2024実績,$G230,5,($H230-$G230+1),1),OFFSET(貼付け_2024実績,$G230,SUM(COLUMN()-COLUMN(貼付け_2024実績)),($H230-$G230+1),1))*0.0258</f>
        <v>0</v>
      </c>
      <c r="CN230" s="470"/>
      <c r="CO230" s="470"/>
      <c r="CP230" s="470"/>
      <c r="CQ230" s="469">
        <f ca="1">SUMPRODUCT(OFFSET(貼付け_2024実績,$G230,5,($H230-$G230+1),1),OFFSET(貼付け_2024実績,$G230,SUM(COLUMN()-COLUMN(貼付け_2024実績)),($H230-$G230+1),1))*0.0258</f>
        <v>0</v>
      </c>
      <c r="CR230" s="470"/>
      <c r="CS230" s="470"/>
      <c r="CT230" s="470"/>
      <c r="CU230" s="469">
        <f ca="1">SUMPRODUCT(OFFSET(貼付け_2024実績,$G230,5,($H230-$G230+1),1),OFFSET(貼付け_2024実績,$G230,SUM(COLUMN()-COLUMN(貼付け_2024実績)),($H230-$G230+1),1))*0.0258</f>
        <v>0</v>
      </c>
      <c r="CV230" s="470"/>
      <c r="CW230" s="470"/>
      <c r="CX230" s="470"/>
      <c r="CY230" s="469">
        <f ca="1">SUMPRODUCT(OFFSET(貼付け_2024実績,$G230,5,($H230-$G230+1),1),OFFSET(貼付け_2024実績,$G230,SUM(COLUMN()-COLUMN(貼付け_2024実績)),($H230-$G230+1),1))*0.0258</f>
        <v>0</v>
      </c>
      <c r="CZ230" s="470"/>
      <c r="DA230" s="470"/>
      <c r="DB230" s="470"/>
      <c r="DC230" s="469">
        <f ca="1">SUMPRODUCT(OFFSET(貼付け_2024実績,$G230,5,($H230-$G230+1),1),OFFSET(貼付け_2024実績,$G230,SUM(COLUMN()-COLUMN(貼付け_2024実績)),($H230-$G230+1),1))*0.0258</f>
        <v>0</v>
      </c>
      <c r="DD230" s="470"/>
      <c r="DE230" s="470"/>
      <c r="DF230" s="470"/>
      <c r="DG230" s="469">
        <f ca="1">SUMPRODUCT(OFFSET(貼付け_2024実績,$G230,5,($H230-$G230+1),1),OFFSET(貼付け_2024実績,$G230,SUM(COLUMN()-COLUMN(貼付け_2024実績)),($H230-$G230+1),1))*0.0258</f>
        <v>0</v>
      </c>
      <c r="DH230" s="470"/>
      <c r="DI230" s="470"/>
      <c r="DJ230" s="470"/>
      <c r="DK230" s="469">
        <f ca="1">SUMPRODUCT(OFFSET(貼付け_2024実績,$G230,5,($H230-$G230+1),1),OFFSET(貼付け_2024実績,$G230,SUM(COLUMN()-COLUMN(貼付け_2024実績)),($H230-$G230+1),1))*0.0258</f>
        <v>0</v>
      </c>
      <c r="DL230" s="470"/>
      <c r="DM230" s="470"/>
      <c r="DN230" s="470"/>
      <c r="DO230" s="469">
        <f ca="1">SUMPRODUCT(OFFSET(貼付け_2024実績,$G230,5,($H230-$G230+1),1),OFFSET(貼付け_2024実績,$G230,SUM(COLUMN()-COLUMN(貼付け_2024実績)),($H230-$G230+1),1))*0.0258</f>
        <v>0</v>
      </c>
      <c r="DP230" s="470"/>
      <c r="DQ230" s="470"/>
      <c r="DR230" s="470"/>
      <c r="DS230" s="469">
        <f ca="1">SUMPRODUCT(OFFSET(貼付け_2024実績,$G230,5,($H230-$G230+1),1),OFFSET(貼付け_2024実績,$G230,SUM(COLUMN()-COLUMN(貼付け_2024実績)),($H230-$G230+1),1))*0.0258</f>
        <v>0</v>
      </c>
      <c r="DT230" s="470"/>
      <c r="DU230" s="470"/>
      <c r="DV230" s="470"/>
      <c r="DW230" s="469">
        <f ca="1">SUMPRODUCT(OFFSET(貼付け_2024実績,$G230,5,($H230-$G230+1),1),OFFSET(貼付け_2024実績,$G230,SUM(COLUMN()-COLUMN(貼付け_2024実績)),($H230-$G230+1),1))*0.0258</f>
        <v>0</v>
      </c>
      <c r="DX230" s="470"/>
      <c r="DY230" s="470"/>
      <c r="DZ230" s="470"/>
      <c r="EA230" s="469">
        <f ca="1">SUMPRODUCT(OFFSET(貼付け_2024実績,$G230,5,($H230-$G230+1),1),OFFSET(貼付け_2024実績,$G230,SUM(COLUMN()-COLUMN(貼付け_2024実績)),($H230-$G230+1),1))*0.0258</f>
        <v>0</v>
      </c>
      <c r="EB230" s="470"/>
      <c r="EC230" s="470"/>
      <c r="ED230" s="470"/>
      <c r="EE230" s="469">
        <f ca="1">SUMPRODUCT(OFFSET(貼付け_2024実績,$G230,5,($H230-$G230+1),1),OFFSET(貼付け_2024実績,$G230,SUM(COLUMN()-COLUMN(貼付け_2024実績)),($H230-$G230+1),1))*0.0258</f>
        <v>0</v>
      </c>
      <c r="EF230" s="470"/>
      <c r="EG230" s="470"/>
      <c r="EH230" s="470"/>
      <c r="EI230" s="469">
        <f ca="1">SUMPRODUCT(OFFSET(貼付け_2024実績,$G230,5,($H230-$G230+1),1),OFFSET(貼付け_2024実績,$G230,SUM(COLUMN()-COLUMN(貼付け_2024実績)),($H230-$G230+1),1))*0.0258</f>
        <v>0</v>
      </c>
      <c r="EJ230" s="470"/>
      <c r="EK230" s="470"/>
      <c r="EL230" s="470"/>
      <c r="EM230" s="469">
        <f ca="1">SUMPRODUCT(OFFSET(貼付け_2024実績,$G230,5,($H230-$G230+1),1),OFFSET(貼付け_2024実績,$G230,SUM(COLUMN()-COLUMN(貼付け_2024実績)),($H230-$G230+1),1))*0.0258</f>
        <v>0</v>
      </c>
      <c r="EN230" s="470"/>
      <c r="EO230" s="470"/>
      <c r="EP230" s="470"/>
      <c r="EQ230" s="469">
        <f ca="1">SUMPRODUCT(OFFSET(貼付け_2024実績,$G230,5,($H230-$G230+1),1),OFFSET(貼付け_2024実績,$G230,SUM(COLUMN()-COLUMN(貼付け_2024実績)),($H230-$G230+1),1))*0.0258</f>
        <v>0</v>
      </c>
      <c r="ER230" s="470"/>
      <c r="ES230" s="470"/>
      <c r="ET230" s="470"/>
      <c r="EU230" s="469">
        <f ca="1">SUMPRODUCT(OFFSET(貼付け_2024実績,$G230,5,($H230-$G230+1),1),OFFSET(貼付け_2024実績,$G230,SUM(COLUMN()-COLUMN(貼付け_2024実績)),($H230-$G230+1),1))*0.0258</f>
        <v>0</v>
      </c>
      <c r="EV230" s="470"/>
      <c r="EW230" s="470"/>
      <c r="EX230" s="470"/>
      <c r="EY230" s="469">
        <f ca="1">SUMPRODUCT(OFFSET(貼付け_2024実績,$G230,5,($H230-$G230+1),1),OFFSET(貼付け_2024実績,$G230,SUM(COLUMN()-COLUMN(貼付け_2024実績)),($H230-$G230+1),1))*0.0258</f>
        <v>0</v>
      </c>
      <c r="EZ230" s="470"/>
      <c r="FA230" s="470"/>
      <c r="FB230" s="470"/>
      <c r="FC230" s="469">
        <f ca="1">SUMPRODUCT(OFFSET(貼付け_2024実績,$G230,5,($H230-$G230+1),1),OFFSET(貼付け_2024実績,$G230,SUM(COLUMN()-COLUMN(貼付け_2024実績)),($H230-$G230+1),1))*0.0258</f>
        <v>0</v>
      </c>
      <c r="FD230" s="470"/>
      <c r="FE230" s="470"/>
      <c r="FF230" s="470"/>
      <c r="FG230" s="469">
        <f ca="1">SUMPRODUCT(OFFSET(貼付け_2024実績,$G230,5,($H230-$G230+1),1),OFFSET(貼付け_2024実績,$G230,SUM(COLUMN()-COLUMN(貼付け_2024実績)),($H230-$G230+1),1))*0.0258</f>
        <v>0</v>
      </c>
      <c r="FH230" s="470"/>
      <c r="FI230" s="470"/>
      <c r="FJ230" s="470"/>
      <c r="FK230" s="469">
        <f ca="1">SUMPRODUCT(OFFSET(貼付け_2024実績,$G230,5,($H230-$G230+1),1),OFFSET(貼付け_2024実績,$G230,SUM(COLUMN()-COLUMN(貼付け_2024実績)),($H230-$G230+1),1))*0.0258</f>
        <v>0</v>
      </c>
      <c r="FL230" s="470"/>
      <c r="FM230" s="470"/>
      <c r="FN230" s="470"/>
      <c r="FO230" s="469">
        <f ca="1">SUMPRODUCT(OFFSET(貼付け_2024実績,$G230,5,($H230-$G230+1),1),OFFSET(貼付け_2024実績,$G230,SUM(COLUMN()-COLUMN(貼付け_2024実績)),($H230-$G230+1),1))*0.0258</f>
        <v>0</v>
      </c>
      <c r="FP230" s="470"/>
      <c r="FQ230" s="470"/>
      <c r="FR230" s="470"/>
      <c r="FS230" s="469">
        <f ca="1">SUMPRODUCT(OFFSET(貼付け_2024実績,$G230,5,($H230-$G230+1),1),OFFSET(貼付け_2024実績,$G230,SUM(COLUMN()-COLUMN(貼付け_2024実績)),($H230-$G230+1),1))*0.0258</f>
        <v>0</v>
      </c>
      <c r="FT230" s="470"/>
      <c r="FU230" s="470"/>
      <c r="FV230" s="470"/>
      <c r="FW230" s="469">
        <f ca="1">SUMPRODUCT(OFFSET(貼付け_2024実績,$G230,5,($H230-$G230+1),1),OFFSET(貼付け_2024実績,$G230,SUM(COLUMN()-COLUMN(貼付け_2024実績)),($H230-$G230+1),1))*0.0258</f>
        <v>0</v>
      </c>
      <c r="FX230" s="470"/>
      <c r="FY230" s="470"/>
      <c r="FZ230" s="470"/>
      <c r="GA230" s="469">
        <f ca="1">SUMPRODUCT(OFFSET(貼付け_2024実績,$G230,5,($H230-$G230+1),1),OFFSET(貼付け_2024実績,$G230,SUM(COLUMN()-COLUMN(貼付け_2024実績)),($H230-$G230+1),1))*0.0258</f>
        <v>0</v>
      </c>
      <c r="GB230" s="470"/>
      <c r="GC230" s="470"/>
      <c r="GD230" s="470"/>
      <c r="GE230" s="469">
        <f ca="1">SUMPRODUCT(OFFSET(貼付け_2024実績,$G230,5,($H230-$G230+1),1),OFFSET(貼付け_2024実績,$G230,SUM(COLUMN()-COLUMN(貼付け_2024実績)),($H230-$G230+1),1))*0.0258</f>
        <v>0</v>
      </c>
      <c r="GF230" s="470"/>
      <c r="GG230" s="470"/>
      <c r="GH230" s="470"/>
      <c r="GI230" s="469">
        <f ca="1">SUMPRODUCT(OFFSET(貼付け_2024実績,$G230,5,($H230-$G230+1),1),OFFSET(貼付け_2024実績,$G230,SUM(COLUMN()-COLUMN(貼付け_2024実績)),($H230-$G230+1),1))*0.0258</f>
        <v>0</v>
      </c>
      <c r="GJ230" s="470"/>
      <c r="GK230" s="470"/>
      <c r="GL230" s="470"/>
      <c r="GM230" s="469">
        <f ca="1">SUMPRODUCT(OFFSET(貼付け_2024実績,$G230,5,($H230-$G230+1),1),OFFSET(貼付け_2024実績,$G230,SUM(COLUMN()-COLUMN(貼付け_2024実績)),($H230-$G230+1),1))*0.0258</f>
        <v>0</v>
      </c>
      <c r="GN230" s="470"/>
      <c r="GO230" s="470"/>
      <c r="GP230" s="470"/>
      <c r="GQ230" s="469">
        <f ca="1">SUMPRODUCT(OFFSET(貼付け_2024実績,$G230,5,($H230-$G230+1),1),OFFSET(貼付け_2024実績,$G230,SUM(COLUMN()-COLUMN(貼付け_2024実績)),($H230-$G230+1),1))*0.0258</f>
        <v>0</v>
      </c>
      <c r="GR230" s="470"/>
      <c r="GS230" s="470"/>
      <c r="GT230" s="470"/>
      <c r="GU230" s="469">
        <f ca="1">SUMPRODUCT(OFFSET(貼付け_2024実績,$G230,5,($H230-$G230+1),1),OFFSET(貼付け_2024実績,$G230,SUM(COLUMN()-COLUMN(貼付け_2024実績)),($H230-$G230+1),1))*0.0258</f>
        <v>0</v>
      </c>
      <c r="GV230" s="470"/>
      <c r="GW230" s="470"/>
      <c r="GX230" s="470"/>
      <c r="GY230" s="469">
        <f ca="1">SUMPRODUCT(OFFSET(貼付け_2024実績,$G230,5,($H230-$G230+1),1),OFFSET(貼付け_2024実績,$G230,SUM(COLUMN()-COLUMN(貼付け_2024実績)),($H230-$G230+1),1))*0.0258</f>
        <v>0</v>
      </c>
      <c r="GZ230" s="470"/>
      <c r="HA230" s="470"/>
      <c r="HB230" s="470"/>
      <c r="IE230" s="463"/>
      <c r="IF230" s="463"/>
      <c r="IG230" s="463"/>
      <c r="IH230" s="463"/>
    </row>
    <row r="231" spans="1:242" s="371" customFormat="1" ht="19.8" hidden="1">
      <c r="A231" s="456">
        <v>5</v>
      </c>
      <c r="C231" s="466" t="s">
        <v>608</v>
      </c>
      <c r="D231" s="468"/>
      <c r="E231" s="468"/>
      <c r="F231" s="469"/>
      <c r="G231" s="469"/>
      <c r="H231" s="469"/>
      <c r="I231" s="469"/>
      <c r="J231" s="469"/>
      <c r="K231" s="469">
        <f ca="1">(K229-K230*0.2)</f>
        <v>0</v>
      </c>
      <c r="L231" s="470"/>
      <c r="M231" s="470"/>
      <c r="N231" s="470"/>
      <c r="O231" s="469">
        <f ca="1">(O229-O230*0.2)</f>
        <v>0</v>
      </c>
      <c r="P231" s="470"/>
      <c r="Q231" s="470"/>
      <c r="R231" s="470"/>
      <c r="S231" s="469">
        <f ca="1">(S229-S230*0.2)</f>
        <v>0</v>
      </c>
      <c r="T231" s="470"/>
      <c r="U231" s="470"/>
      <c r="V231" s="470"/>
      <c r="W231" s="469">
        <f ca="1">(W229-W230*0.2)</f>
        <v>0</v>
      </c>
      <c r="X231" s="470"/>
      <c r="Y231" s="470"/>
      <c r="Z231" s="470"/>
      <c r="AA231" s="469">
        <f ca="1">(AA229-AA230*0.2)</f>
        <v>0</v>
      </c>
      <c r="AB231" s="470"/>
      <c r="AC231" s="470"/>
      <c r="AD231" s="470"/>
      <c r="AE231" s="469">
        <f ca="1">(AE229-AE230*0.2)</f>
        <v>0</v>
      </c>
      <c r="AF231" s="470"/>
      <c r="AG231" s="470"/>
      <c r="AH231" s="470"/>
      <c r="AI231" s="469">
        <f ca="1">(AI229-AI230*0.2)</f>
        <v>0</v>
      </c>
      <c r="AJ231" s="470"/>
      <c r="AK231" s="470"/>
      <c r="AL231" s="470"/>
      <c r="AM231" s="469">
        <f ca="1">(AM229-AM230*0.2)</f>
        <v>0</v>
      </c>
      <c r="AN231" s="470"/>
      <c r="AO231" s="470"/>
      <c r="AP231" s="470"/>
      <c r="AQ231" s="469">
        <f ca="1">(AQ229-AQ230*0.2)</f>
        <v>0</v>
      </c>
      <c r="AR231" s="470"/>
      <c r="AS231" s="470"/>
      <c r="AT231" s="470"/>
      <c r="AU231" s="469">
        <f ca="1">(AU229-AU230*0.2)</f>
        <v>0</v>
      </c>
      <c r="AV231" s="470"/>
      <c r="AW231" s="470"/>
      <c r="AX231" s="470"/>
      <c r="AY231" s="469">
        <f ca="1">(AY229-AY230*0.2)</f>
        <v>0</v>
      </c>
      <c r="AZ231" s="470"/>
      <c r="BA231" s="470"/>
      <c r="BB231" s="470"/>
      <c r="BC231" s="469">
        <f ca="1">(BC229-BC230*0.2)</f>
        <v>0</v>
      </c>
      <c r="BD231" s="470"/>
      <c r="BE231" s="470"/>
      <c r="BF231" s="470"/>
      <c r="BG231" s="469">
        <f ca="1">(BG229-BG230*0.2)</f>
        <v>0</v>
      </c>
      <c r="BH231" s="470"/>
      <c r="BI231" s="470"/>
      <c r="BJ231" s="470"/>
      <c r="BK231" s="469">
        <f ca="1">(BK229-BK230*0.2)</f>
        <v>0</v>
      </c>
      <c r="BL231" s="470"/>
      <c r="BM231" s="470"/>
      <c r="BN231" s="470"/>
      <c r="BO231" s="469">
        <f ca="1">(BO229-BO230*0.2)</f>
        <v>0</v>
      </c>
      <c r="BP231" s="470"/>
      <c r="BQ231" s="470"/>
      <c r="BR231" s="470"/>
      <c r="BS231" s="469">
        <f ca="1">(BS229-BS230*0.2)</f>
        <v>0</v>
      </c>
      <c r="BT231" s="470"/>
      <c r="BU231" s="470"/>
      <c r="BV231" s="470"/>
      <c r="BW231" s="469">
        <f ca="1">(BW229-BW230*0.2)</f>
        <v>0</v>
      </c>
      <c r="BX231" s="470"/>
      <c r="BY231" s="470"/>
      <c r="BZ231" s="470"/>
      <c r="CA231" s="469">
        <f ca="1">(CA229-CA230*0.2)</f>
        <v>0</v>
      </c>
      <c r="CB231" s="470"/>
      <c r="CC231" s="470"/>
      <c r="CD231" s="470"/>
      <c r="CE231" s="469">
        <f ca="1">(CE229-CE230*0.2)</f>
        <v>0</v>
      </c>
      <c r="CF231" s="470"/>
      <c r="CG231" s="470"/>
      <c r="CH231" s="470"/>
      <c r="CI231" s="469">
        <f ca="1">(CI229-CI230*0.2)</f>
        <v>0</v>
      </c>
      <c r="CJ231" s="470"/>
      <c r="CK231" s="470"/>
      <c r="CL231" s="470"/>
      <c r="CM231" s="469">
        <f ca="1">(CM229-CM230*0.2)</f>
        <v>0</v>
      </c>
      <c r="CN231" s="470"/>
      <c r="CO231" s="470"/>
      <c r="CP231" s="470"/>
      <c r="CQ231" s="469">
        <f ca="1">(CQ229-CQ230*0.2)</f>
        <v>0</v>
      </c>
      <c r="CR231" s="470"/>
      <c r="CS231" s="470"/>
      <c r="CT231" s="470"/>
      <c r="CU231" s="469">
        <f ca="1">(CU229-CU230*0.2)</f>
        <v>0</v>
      </c>
      <c r="CV231" s="470"/>
      <c r="CW231" s="470"/>
      <c r="CX231" s="470"/>
      <c r="CY231" s="469">
        <f ca="1">(CY229-CY230*0.2)</f>
        <v>0</v>
      </c>
      <c r="CZ231" s="470"/>
      <c r="DA231" s="470"/>
      <c r="DB231" s="470"/>
      <c r="DC231" s="469">
        <f ca="1">(DC229-DC230*0.2)</f>
        <v>0</v>
      </c>
      <c r="DD231" s="470"/>
      <c r="DE231" s="470"/>
      <c r="DF231" s="470"/>
      <c r="DG231" s="469">
        <f ca="1">(DG229-DG230*0.2)</f>
        <v>0</v>
      </c>
      <c r="DH231" s="470"/>
      <c r="DI231" s="470"/>
      <c r="DJ231" s="470"/>
      <c r="DK231" s="469">
        <f ca="1">(DK229-DK230*0.2)</f>
        <v>0</v>
      </c>
      <c r="DL231" s="470"/>
      <c r="DM231" s="470"/>
      <c r="DN231" s="470"/>
      <c r="DO231" s="469">
        <f ca="1">(DO229-DO230*0.2)</f>
        <v>0</v>
      </c>
      <c r="DP231" s="470"/>
      <c r="DQ231" s="470"/>
      <c r="DR231" s="470"/>
      <c r="DS231" s="469">
        <f ca="1">(DS229-DS230*0.2)</f>
        <v>0</v>
      </c>
      <c r="DT231" s="470"/>
      <c r="DU231" s="470"/>
      <c r="DV231" s="470"/>
      <c r="DW231" s="469">
        <f ca="1">(DW229-DW230*0.2)</f>
        <v>0</v>
      </c>
      <c r="DX231" s="470"/>
      <c r="DY231" s="470"/>
      <c r="DZ231" s="470"/>
      <c r="EA231" s="469">
        <f ca="1">(EA229-EA230*0.2)</f>
        <v>0</v>
      </c>
      <c r="EB231" s="470"/>
      <c r="EC231" s="470"/>
      <c r="ED231" s="470"/>
      <c r="EE231" s="469">
        <f ca="1">(EE229-EE230*0.2)</f>
        <v>0</v>
      </c>
      <c r="EF231" s="470"/>
      <c r="EG231" s="470"/>
      <c r="EH231" s="470"/>
      <c r="EI231" s="469">
        <f ca="1">(EI229-EI230*0.2)</f>
        <v>0</v>
      </c>
      <c r="EJ231" s="470"/>
      <c r="EK231" s="470"/>
      <c r="EL231" s="470"/>
      <c r="EM231" s="469">
        <f ca="1">(EM229-EM230*0.2)</f>
        <v>0</v>
      </c>
      <c r="EN231" s="470"/>
      <c r="EO231" s="470"/>
      <c r="EP231" s="470"/>
      <c r="EQ231" s="469">
        <f ca="1">(EQ229-EQ230*0.2)</f>
        <v>0</v>
      </c>
      <c r="ER231" s="470"/>
      <c r="ES231" s="470"/>
      <c r="ET231" s="470"/>
      <c r="EU231" s="469">
        <f ca="1">(EU229-EU230*0.2)</f>
        <v>0</v>
      </c>
      <c r="EV231" s="470"/>
      <c r="EW231" s="470"/>
      <c r="EX231" s="470"/>
      <c r="EY231" s="469">
        <f ca="1">(EY229-EY230*0.2)</f>
        <v>0</v>
      </c>
      <c r="EZ231" s="470"/>
      <c r="FA231" s="470"/>
      <c r="FB231" s="470"/>
      <c r="FC231" s="469">
        <f ca="1">(FC229-FC230*0.2)</f>
        <v>0</v>
      </c>
      <c r="FD231" s="470"/>
      <c r="FE231" s="470"/>
      <c r="FF231" s="470"/>
      <c r="FG231" s="469">
        <f ca="1">(FG229-FG230*0.2)</f>
        <v>0</v>
      </c>
      <c r="FH231" s="470"/>
      <c r="FI231" s="470"/>
      <c r="FJ231" s="470"/>
      <c r="FK231" s="469">
        <f ca="1">(FK229-FK230*0.2)</f>
        <v>0</v>
      </c>
      <c r="FL231" s="470"/>
      <c r="FM231" s="470"/>
      <c r="FN231" s="470"/>
      <c r="FO231" s="469">
        <f ca="1">(FO229-FO230*0.2)</f>
        <v>0</v>
      </c>
      <c r="FP231" s="470"/>
      <c r="FQ231" s="470"/>
      <c r="FR231" s="470"/>
      <c r="FS231" s="469">
        <f ca="1">(FS229-FS230*0.2)</f>
        <v>0</v>
      </c>
      <c r="FT231" s="470"/>
      <c r="FU231" s="470"/>
      <c r="FV231" s="470"/>
      <c r="FW231" s="469">
        <f ca="1">(FW229-FW230*0.2)</f>
        <v>0</v>
      </c>
      <c r="FX231" s="470"/>
      <c r="FY231" s="470"/>
      <c r="FZ231" s="470"/>
      <c r="GA231" s="469">
        <f ca="1">(GA229-GA230*0.2)</f>
        <v>0</v>
      </c>
      <c r="GB231" s="470"/>
      <c r="GC231" s="470"/>
      <c r="GD231" s="470"/>
      <c r="GE231" s="469">
        <f ca="1">(GE229-GE230*0.2)</f>
        <v>0</v>
      </c>
      <c r="GF231" s="470"/>
      <c r="GG231" s="470"/>
      <c r="GH231" s="470"/>
      <c r="GI231" s="469">
        <f ca="1">(GI229-GI230*0.2)</f>
        <v>0</v>
      </c>
      <c r="GJ231" s="470"/>
      <c r="GK231" s="470"/>
      <c r="GL231" s="470"/>
      <c r="GM231" s="469">
        <f ca="1">(GM229-GM230*0.2)</f>
        <v>0</v>
      </c>
      <c r="GN231" s="470"/>
      <c r="GO231" s="470"/>
      <c r="GP231" s="470"/>
      <c r="GQ231" s="469">
        <f ca="1">(GQ229-GQ230*0.2)</f>
        <v>0</v>
      </c>
      <c r="GR231" s="470"/>
      <c r="GS231" s="470"/>
      <c r="GT231" s="470"/>
      <c r="GU231" s="469">
        <f ca="1">(GU229-GU230*0.2)</f>
        <v>0</v>
      </c>
      <c r="GV231" s="470"/>
      <c r="GW231" s="470"/>
      <c r="GX231" s="470"/>
      <c r="GY231" s="469">
        <f ca="1">(GY229-GY230*0.2)</f>
        <v>0</v>
      </c>
      <c r="GZ231" s="470"/>
      <c r="HA231" s="470"/>
      <c r="HB231" s="470"/>
      <c r="IE231" s="463"/>
      <c r="IF231" s="463"/>
      <c r="IG231" s="463"/>
      <c r="IH231" s="463"/>
    </row>
    <row r="232" spans="1:242" s="371" customFormat="1" ht="19.8" hidden="1">
      <c r="A232" s="456">
        <v>6</v>
      </c>
      <c r="C232" s="466" t="s">
        <v>609</v>
      </c>
      <c r="D232" s="468"/>
      <c r="E232" s="468"/>
      <c r="F232" s="469"/>
      <c r="G232" s="469">
        <v>101</v>
      </c>
      <c r="H232" s="469"/>
      <c r="I232" s="469"/>
      <c r="J232" s="469"/>
      <c r="K232" s="469">
        <f ca="1">K231-M229-N229</f>
        <v>0</v>
      </c>
      <c r="L232" s="469">
        <f ca="1">OFFSET(貼付け_2024実績,$G232,SUM(COLUMN()-COLUMN(貼付け_2024実績))-1)</f>
        <v>0</v>
      </c>
      <c r="M232" s="469" t="str">
        <f ca="1">IFERROR(K232/L232,"")</f>
        <v/>
      </c>
      <c r="N232" s="471"/>
      <c r="O232" s="469">
        <f ca="1">O231-Q229-R229</f>
        <v>0</v>
      </c>
      <c r="P232" s="469">
        <f ca="1">OFFSET(貼付け_2024実績,$G232,SUM(COLUMN()-COLUMN(貼付け_2024実績))-1)</f>
        <v>0</v>
      </c>
      <c r="Q232" s="469" t="str">
        <f ca="1">IFERROR(O232/P232,"")</f>
        <v/>
      </c>
      <c r="R232" s="471"/>
      <c r="S232" s="469">
        <f ca="1">S231-U229-V229</f>
        <v>0</v>
      </c>
      <c r="T232" s="469">
        <f ca="1">OFFSET(貼付け_2024実績,$G232,SUM(COLUMN()-COLUMN(貼付け_2024実績))-1)</f>
        <v>0</v>
      </c>
      <c r="U232" s="469" t="str">
        <f ca="1">IFERROR(S232/T232,"")</f>
        <v/>
      </c>
      <c r="V232" s="471"/>
      <c r="W232" s="469">
        <f ca="1">W231-Y229-Z229</f>
        <v>0</v>
      </c>
      <c r="X232" s="469">
        <f ca="1">OFFSET(貼付け_2024実績,$G232,SUM(COLUMN()-COLUMN(貼付け_2024実績))-1)</f>
        <v>0</v>
      </c>
      <c r="Y232" s="469" t="str">
        <f ca="1">IFERROR(W232/X232,"")</f>
        <v/>
      </c>
      <c r="Z232" s="471"/>
      <c r="AA232" s="469">
        <f ca="1">AA231-AC229-AD229</f>
        <v>0</v>
      </c>
      <c r="AB232" s="469">
        <f ca="1">OFFSET(貼付け_2024実績,$G232,SUM(COLUMN()-COLUMN(貼付け_2024実績))-1)</f>
        <v>0</v>
      </c>
      <c r="AC232" s="469" t="str">
        <f ca="1">IFERROR(AA232/AB232,"")</f>
        <v/>
      </c>
      <c r="AD232" s="471"/>
      <c r="AE232" s="469">
        <f ca="1">AE231-AG229-AH229</f>
        <v>0</v>
      </c>
      <c r="AF232" s="469">
        <f ca="1">OFFSET(貼付け_2024実績,$G232,SUM(COLUMN()-COLUMN(貼付け_2024実績))-1)</f>
        <v>0</v>
      </c>
      <c r="AG232" s="469" t="str">
        <f ca="1">IFERROR(AE232/AF232,"")</f>
        <v/>
      </c>
      <c r="AH232" s="471"/>
      <c r="AI232" s="469">
        <f ca="1">AI231-AK229-AL229</f>
        <v>0</v>
      </c>
      <c r="AJ232" s="469">
        <f ca="1">OFFSET(貼付け_2024実績,$G232,SUM(COLUMN()-COLUMN(貼付け_2024実績))-1)</f>
        <v>0</v>
      </c>
      <c r="AK232" s="469" t="str">
        <f ca="1">IFERROR(AI232/AJ232,"")</f>
        <v/>
      </c>
      <c r="AL232" s="471"/>
      <c r="AM232" s="469">
        <f ca="1">AM231-AO229-AP229</f>
        <v>0</v>
      </c>
      <c r="AN232" s="469">
        <f ca="1">OFFSET(貼付け_2024実績,$G232,SUM(COLUMN()-COLUMN(貼付け_2024実績))-1)</f>
        <v>0</v>
      </c>
      <c r="AO232" s="469" t="str">
        <f ca="1">IFERROR(AM232/AN232,"")</f>
        <v/>
      </c>
      <c r="AP232" s="471"/>
      <c r="AQ232" s="469">
        <f ca="1">AQ231-AS229-AT229</f>
        <v>0</v>
      </c>
      <c r="AR232" s="469">
        <f ca="1">OFFSET(貼付け_2024実績,$G232,SUM(COLUMN()-COLUMN(貼付け_2024実績))-1)</f>
        <v>0</v>
      </c>
      <c r="AS232" s="469" t="str">
        <f ca="1">IFERROR(AQ232/AR232,"")</f>
        <v/>
      </c>
      <c r="AT232" s="471"/>
      <c r="AU232" s="469">
        <f ca="1">AU231-AW229-AX229</f>
        <v>0</v>
      </c>
      <c r="AV232" s="469">
        <f ca="1">OFFSET(貼付け_2024実績,$G232,SUM(COLUMN()-COLUMN(貼付け_2024実績))-1)</f>
        <v>0</v>
      </c>
      <c r="AW232" s="469" t="str">
        <f ca="1">IFERROR(AU232/AV232,"")</f>
        <v/>
      </c>
      <c r="AX232" s="471"/>
      <c r="AY232" s="469">
        <f ca="1">AY231-BA229-BB229</f>
        <v>0</v>
      </c>
      <c r="AZ232" s="469">
        <f ca="1">OFFSET(貼付け_2024実績,$G232,SUM(COLUMN()-COLUMN(貼付け_2024実績))-1)</f>
        <v>0</v>
      </c>
      <c r="BA232" s="469" t="str">
        <f ca="1">IFERROR(AY232/AZ232,"")</f>
        <v/>
      </c>
      <c r="BB232" s="471"/>
      <c r="BC232" s="469">
        <f ca="1">BC231-BE229-BF229</f>
        <v>0</v>
      </c>
      <c r="BD232" s="469">
        <f ca="1">OFFSET(貼付け_2024実績,$G232,SUM(COLUMN()-COLUMN(貼付け_2024実績))-1)</f>
        <v>0</v>
      </c>
      <c r="BE232" s="469" t="str">
        <f ca="1">IFERROR(BC232/BD232,"")</f>
        <v/>
      </c>
      <c r="BF232" s="471"/>
      <c r="BG232" s="469">
        <f ca="1">BG231-BI229-BJ229</f>
        <v>0</v>
      </c>
      <c r="BH232" s="469">
        <f ca="1">OFFSET(貼付け_2024実績,$G232,SUM(COLUMN()-COLUMN(貼付け_2024実績))-1)</f>
        <v>0</v>
      </c>
      <c r="BI232" s="469" t="str">
        <f ca="1">IFERROR(BG232/BH232,"")</f>
        <v/>
      </c>
      <c r="BJ232" s="471"/>
      <c r="BK232" s="469">
        <f ca="1">BK231-BM229-BN229</f>
        <v>0</v>
      </c>
      <c r="BL232" s="469">
        <f ca="1">OFFSET(貼付け_2024実績,$G232,SUM(COLUMN()-COLUMN(貼付け_2024実績))-1)</f>
        <v>0</v>
      </c>
      <c r="BM232" s="469" t="str">
        <f ca="1">IFERROR(BK232/BL232,"")</f>
        <v/>
      </c>
      <c r="BN232" s="471"/>
      <c r="BO232" s="469">
        <f ca="1">BO231-BQ229-BR229</f>
        <v>0</v>
      </c>
      <c r="BP232" s="469">
        <f ca="1">OFFSET(貼付け_2024実績,$G232,SUM(COLUMN()-COLUMN(貼付け_2024実績))-1)</f>
        <v>0</v>
      </c>
      <c r="BQ232" s="469" t="str">
        <f ca="1">IFERROR(BO232/BP232,"")</f>
        <v/>
      </c>
      <c r="BR232" s="471"/>
      <c r="BS232" s="469">
        <f ca="1">BS231-BU229-BV229</f>
        <v>0</v>
      </c>
      <c r="BT232" s="469">
        <f ca="1">OFFSET(貼付け_2024実績,$G232,SUM(COLUMN()-COLUMN(貼付け_2024実績))-1)</f>
        <v>0</v>
      </c>
      <c r="BU232" s="469" t="str">
        <f ca="1">IFERROR(BS232/BT232,"")</f>
        <v/>
      </c>
      <c r="BV232" s="471"/>
      <c r="BW232" s="469">
        <f ca="1">BW231-BY229-BZ229</f>
        <v>0</v>
      </c>
      <c r="BX232" s="469">
        <f ca="1">OFFSET(貼付け_2024実績,$G232,SUM(COLUMN()-COLUMN(貼付け_2024実績))-1)</f>
        <v>0</v>
      </c>
      <c r="BY232" s="469" t="str">
        <f ca="1">IFERROR(BW232/BX232,"")</f>
        <v/>
      </c>
      <c r="BZ232" s="471"/>
      <c r="CA232" s="469">
        <f ca="1">CA231-CC229-CD229</f>
        <v>0</v>
      </c>
      <c r="CB232" s="469">
        <f ca="1">OFFSET(貼付け_2024実績,$G232,SUM(COLUMN()-COLUMN(貼付け_2024実績))-1)</f>
        <v>0</v>
      </c>
      <c r="CC232" s="469" t="str">
        <f ca="1">IFERROR(CA232/CB232,"")</f>
        <v/>
      </c>
      <c r="CD232" s="471"/>
      <c r="CE232" s="469">
        <f ca="1">CE231-CG229-CH229</f>
        <v>0</v>
      </c>
      <c r="CF232" s="469">
        <f ca="1">OFFSET(貼付け_2024実績,$G232,SUM(COLUMN()-COLUMN(貼付け_2024実績))-1)</f>
        <v>0</v>
      </c>
      <c r="CG232" s="469" t="str">
        <f ca="1">IFERROR(CE232/CF232,"")</f>
        <v/>
      </c>
      <c r="CH232" s="471"/>
      <c r="CI232" s="469">
        <f ca="1">CI231-CK229-CL229</f>
        <v>0</v>
      </c>
      <c r="CJ232" s="469">
        <f ca="1">OFFSET(貼付け_2024実績,$G232,SUM(COLUMN()-COLUMN(貼付け_2024実績))-1)</f>
        <v>0</v>
      </c>
      <c r="CK232" s="469" t="str">
        <f ca="1">IFERROR(CI232/CJ232,"")</f>
        <v/>
      </c>
      <c r="CL232" s="471"/>
      <c r="CM232" s="469">
        <f ca="1">CM231-CO229-CP229</f>
        <v>0</v>
      </c>
      <c r="CN232" s="469">
        <f ca="1">OFFSET(貼付け_2024実績,$G232,SUM(COLUMN()-COLUMN(貼付け_2024実績))-1)</f>
        <v>0</v>
      </c>
      <c r="CO232" s="469" t="str">
        <f ca="1">IFERROR(CM232/CN232,"")</f>
        <v/>
      </c>
      <c r="CP232" s="471"/>
      <c r="CQ232" s="469">
        <f ca="1">CQ231-CS229-CT229</f>
        <v>0</v>
      </c>
      <c r="CR232" s="469">
        <f ca="1">OFFSET(貼付け_2024実績,$G232,SUM(COLUMN()-COLUMN(貼付け_2024実績))-1)</f>
        <v>0</v>
      </c>
      <c r="CS232" s="469" t="str">
        <f ca="1">IFERROR(CQ232/CR232,"")</f>
        <v/>
      </c>
      <c r="CT232" s="471"/>
      <c r="CU232" s="469">
        <f ca="1">CU231-CW229-CX229</f>
        <v>0</v>
      </c>
      <c r="CV232" s="469">
        <f ca="1">OFFSET(貼付け_2024実績,$G232,SUM(COLUMN()-COLUMN(貼付け_2024実績))-1)</f>
        <v>0</v>
      </c>
      <c r="CW232" s="469" t="str">
        <f ca="1">IFERROR(CU232/CV232,"")</f>
        <v/>
      </c>
      <c r="CX232" s="471"/>
      <c r="CY232" s="469">
        <f ca="1">CY231-DA229-DB229</f>
        <v>0</v>
      </c>
      <c r="CZ232" s="469">
        <f ca="1">OFFSET(貼付け_2024実績,$G232,SUM(COLUMN()-COLUMN(貼付け_2024実績))-1)</f>
        <v>0</v>
      </c>
      <c r="DA232" s="469" t="str">
        <f ca="1">IFERROR(CY232/CZ232,"")</f>
        <v/>
      </c>
      <c r="DB232" s="471"/>
      <c r="DC232" s="469">
        <f ca="1">DC231-DE229-DF229</f>
        <v>0</v>
      </c>
      <c r="DD232" s="469">
        <f ca="1">OFFSET(貼付け_2024実績,$G232,SUM(COLUMN()-COLUMN(貼付け_2024実績))-1)</f>
        <v>0</v>
      </c>
      <c r="DE232" s="469" t="str">
        <f ca="1">IFERROR(DC232/DD232,"")</f>
        <v/>
      </c>
      <c r="DF232" s="471"/>
      <c r="DG232" s="469">
        <f ca="1">DG231-DI229-DJ229</f>
        <v>0</v>
      </c>
      <c r="DH232" s="469">
        <f ca="1">OFFSET(貼付け_2024実績,$G232,SUM(COLUMN()-COLUMN(貼付け_2024実績))-1)</f>
        <v>0</v>
      </c>
      <c r="DI232" s="469" t="str">
        <f ca="1">IFERROR(DG232/DH232,"")</f>
        <v/>
      </c>
      <c r="DJ232" s="471"/>
      <c r="DK232" s="469">
        <f ca="1">DK231-DM229-DN229</f>
        <v>0</v>
      </c>
      <c r="DL232" s="469">
        <f ca="1">OFFSET(貼付け_2024実績,$G232,SUM(COLUMN()-COLUMN(貼付け_2024実績))-1)</f>
        <v>0</v>
      </c>
      <c r="DM232" s="469" t="str">
        <f ca="1">IFERROR(DK232/DL232,"")</f>
        <v/>
      </c>
      <c r="DN232" s="471"/>
      <c r="DO232" s="469">
        <f ca="1">DO231-DQ229-DR229</f>
        <v>0</v>
      </c>
      <c r="DP232" s="469">
        <f ca="1">OFFSET(貼付け_2024実績,$G232,SUM(COLUMN()-COLUMN(貼付け_2024実績))-1)</f>
        <v>0</v>
      </c>
      <c r="DQ232" s="469" t="str">
        <f ca="1">IFERROR(DO232/DP232,"")</f>
        <v/>
      </c>
      <c r="DR232" s="471"/>
      <c r="DS232" s="469">
        <f ca="1">DS231-DU229-DV229</f>
        <v>0</v>
      </c>
      <c r="DT232" s="469">
        <f ca="1">OFFSET(貼付け_2024実績,$G232,SUM(COLUMN()-COLUMN(貼付け_2024実績))-1)</f>
        <v>0</v>
      </c>
      <c r="DU232" s="469" t="str">
        <f ca="1">IFERROR(DS232/DT232,"")</f>
        <v/>
      </c>
      <c r="DV232" s="471"/>
      <c r="DW232" s="469">
        <f ca="1">DW231-DY229-DZ229</f>
        <v>0</v>
      </c>
      <c r="DX232" s="469">
        <f ca="1">OFFSET(貼付け_2024実績,$G232,SUM(COLUMN()-COLUMN(貼付け_2024実績))-1)</f>
        <v>0</v>
      </c>
      <c r="DY232" s="469" t="str">
        <f ca="1">IFERROR(DW232/DX232,"")</f>
        <v/>
      </c>
      <c r="DZ232" s="471"/>
      <c r="EA232" s="469">
        <f ca="1">EA231-EC229-ED229</f>
        <v>0</v>
      </c>
      <c r="EB232" s="469">
        <f ca="1">OFFSET(貼付け_2024実績,$G232,SUM(COLUMN()-COLUMN(貼付け_2024実績))-1)</f>
        <v>0</v>
      </c>
      <c r="EC232" s="469" t="str">
        <f ca="1">IFERROR(EA232/EB232,"")</f>
        <v/>
      </c>
      <c r="ED232" s="471"/>
      <c r="EE232" s="469">
        <f ca="1">EE231-EG229-EH229</f>
        <v>0</v>
      </c>
      <c r="EF232" s="469">
        <f ca="1">OFFSET(貼付け_2024実績,$G232,SUM(COLUMN()-COLUMN(貼付け_2024実績))-1)</f>
        <v>0</v>
      </c>
      <c r="EG232" s="469" t="str">
        <f ca="1">IFERROR(EE232/EF232,"")</f>
        <v/>
      </c>
      <c r="EH232" s="471"/>
      <c r="EI232" s="469">
        <f ca="1">EI231-EK229-EL229</f>
        <v>0</v>
      </c>
      <c r="EJ232" s="469">
        <f ca="1">OFFSET(貼付け_2024実績,$G232,SUM(COLUMN()-COLUMN(貼付け_2024実績))-1)</f>
        <v>0</v>
      </c>
      <c r="EK232" s="469" t="str">
        <f ca="1">IFERROR(EI232/EJ232,"")</f>
        <v/>
      </c>
      <c r="EL232" s="471"/>
      <c r="EM232" s="469">
        <f ca="1">EM231-EO229-EP229</f>
        <v>0</v>
      </c>
      <c r="EN232" s="469">
        <f ca="1">OFFSET(貼付け_2024実績,$G232,SUM(COLUMN()-COLUMN(貼付け_2024実績))-1)</f>
        <v>0</v>
      </c>
      <c r="EO232" s="469" t="str">
        <f ca="1">IFERROR(EM232/EN232,"")</f>
        <v/>
      </c>
      <c r="EP232" s="471"/>
      <c r="EQ232" s="469">
        <f ca="1">EQ231-ES229-ET229</f>
        <v>0</v>
      </c>
      <c r="ER232" s="469">
        <f ca="1">OFFSET(貼付け_2024実績,$G232,SUM(COLUMN()-COLUMN(貼付け_2024実績))-1)</f>
        <v>0</v>
      </c>
      <c r="ES232" s="469" t="str">
        <f ca="1">IFERROR(EQ232/ER232,"")</f>
        <v/>
      </c>
      <c r="ET232" s="471"/>
      <c r="EU232" s="469">
        <f ca="1">EU231-EW229-EX229</f>
        <v>0</v>
      </c>
      <c r="EV232" s="469">
        <f ca="1">OFFSET(貼付け_2024実績,$G232,SUM(COLUMN()-COLUMN(貼付け_2024実績))-1)</f>
        <v>0</v>
      </c>
      <c r="EW232" s="469" t="str">
        <f ca="1">IFERROR(EU232/EV232,"")</f>
        <v/>
      </c>
      <c r="EX232" s="471"/>
      <c r="EY232" s="469">
        <f ca="1">EY231-FA229-FB229</f>
        <v>0</v>
      </c>
      <c r="EZ232" s="469">
        <f ca="1">OFFSET(貼付け_2024実績,$G232,SUM(COLUMN()-COLUMN(貼付け_2024実績))-1)</f>
        <v>0</v>
      </c>
      <c r="FA232" s="469" t="str">
        <f ca="1">IFERROR(EY232/EZ232,"")</f>
        <v/>
      </c>
      <c r="FB232" s="471"/>
      <c r="FC232" s="469">
        <f ca="1">FC231-FE229-FF229</f>
        <v>0</v>
      </c>
      <c r="FD232" s="469">
        <f ca="1">OFFSET(貼付け_2024実績,$G232,SUM(COLUMN()-COLUMN(貼付け_2024実績))-1)</f>
        <v>0</v>
      </c>
      <c r="FE232" s="469" t="str">
        <f ca="1">IFERROR(FC232/FD232,"")</f>
        <v/>
      </c>
      <c r="FF232" s="471"/>
      <c r="FG232" s="469">
        <f ca="1">FG231-FI229-FJ229</f>
        <v>0</v>
      </c>
      <c r="FH232" s="469">
        <f ca="1">OFFSET(貼付け_2024実績,$G232,SUM(COLUMN()-COLUMN(貼付け_2024実績))-1)</f>
        <v>0</v>
      </c>
      <c r="FI232" s="469" t="str">
        <f ca="1">IFERROR(FG232/FH232,"")</f>
        <v/>
      </c>
      <c r="FJ232" s="471"/>
      <c r="FK232" s="469">
        <f ca="1">FK231-FM229-FN229</f>
        <v>0</v>
      </c>
      <c r="FL232" s="469">
        <f ca="1">OFFSET(貼付け_2024実績,$G232,SUM(COLUMN()-COLUMN(貼付け_2024実績))-1)</f>
        <v>0</v>
      </c>
      <c r="FM232" s="469" t="str">
        <f ca="1">IFERROR(FK232/FL232,"")</f>
        <v/>
      </c>
      <c r="FN232" s="471"/>
      <c r="FO232" s="469">
        <f ca="1">FO231-FQ229-FR229</f>
        <v>0</v>
      </c>
      <c r="FP232" s="469">
        <f ca="1">OFFSET(貼付け_2024実績,$G232,SUM(COLUMN()-COLUMN(貼付け_2024実績))-1)</f>
        <v>0</v>
      </c>
      <c r="FQ232" s="469" t="str">
        <f ca="1">IFERROR(FO232/FP232,"")</f>
        <v/>
      </c>
      <c r="FR232" s="471"/>
      <c r="FS232" s="469">
        <f ca="1">FS231-FU229-FV229</f>
        <v>0</v>
      </c>
      <c r="FT232" s="469">
        <f ca="1">OFFSET(貼付け_2024実績,$G232,SUM(COLUMN()-COLUMN(貼付け_2024実績))-1)</f>
        <v>0</v>
      </c>
      <c r="FU232" s="469" t="str">
        <f ca="1">IFERROR(FS232/FT232,"")</f>
        <v/>
      </c>
      <c r="FV232" s="471"/>
      <c r="FW232" s="469">
        <f ca="1">FW231-FY229-FZ229</f>
        <v>0</v>
      </c>
      <c r="FX232" s="469">
        <f ca="1">OFFSET(貼付け_2024実績,$G232,SUM(COLUMN()-COLUMN(貼付け_2024実績))-1)</f>
        <v>0</v>
      </c>
      <c r="FY232" s="469" t="str">
        <f ca="1">IFERROR(FW232/FX232,"")</f>
        <v/>
      </c>
      <c r="FZ232" s="471"/>
      <c r="GA232" s="469">
        <f ca="1">GA231-GC229-GD229</f>
        <v>0</v>
      </c>
      <c r="GB232" s="469">
        <f ca="1">OFFSET(貼付け_2024実績,$G232,SUM(COLUMN()-COLUMN(貼付け_2024実績))-1)</f>
        <v>0</v>
      </c>
      <c r="GC232" s="469" t="str">
        <f ca="1">IFERROR(GA232/GB232,"")</f>
        <v/>
      </c>
      <c r="GD232" s="471"/>
      <c r="GE232" s="469">
        <f ca="1">GE231-GG229-GH229</f>
        <v>0</v>
      </c>
      <c r="GF232" s="469">
        <f ca="1">OFFSET(貼付け_2024実績,$G232,SUM(COLUMN()-COLUMN(貼付け_2024実績))-1)</f>
        <v>0</v>
      </c>
      <c r="GG232" s="469" t="str">
        <f ca="1">IFERROR(GE232/GF232,"")</f>
        <v/>
      </c>
      <c r="GH232" s="471"/>
      <c r="GI232" s="469">
        <f ca="1">GI231-GK229-GL229</f>
        <v>0</v>
      </c>
      <c r="GJ232" s="469">
        <f ca="1">OFFSET(貼付け_2024実績,$G232,SUM(COLUMN()-COLUMN(貼付け_2024実績))-1)</f>
        <v>0</v>
      </c>
      <c r="GK232" s="469" t="str">
        <f ca="1">IFERROR(GI232/GJ232,"")</f>
        <v/>
      </c>
      <c r="GL232" s="471"/>
      <c r="GM232" s="469">
        <f ca="1">GM231-GO229-GP229</f>
        <v>0</v>
      </c>
      <c r="GN232" s="469">
        <f ca="1">OFFSET(貼付け_2024実績,$G232,SUM(COLUMN()-COLUMN(貼付け_2024実績))-1)</f>
        <v>0</v>
      </c>
      <c r="GO232" s="469" t="str">
        <f ca="1">IFERROR(GM232/GN232,"")</f>
        <v/>
      </c>
      <c r="GP232" s="471"/>
      <c r="GQ232" s="469">
        <f ca="1">GQ231-GS229-GT229</f>
        <v>0</v>
      </c>
      <c r="GR232" s="469">
        <f ca="1">OFFSET(貼付け_2024実績,$G232,SUM(COLUMN()-COLUMN(貼付け_2024実績))-1)</f>
        <v>0</v>
      </c>
      <c r="GS232" s="469" t="str">
        <f ca="1">IFERROR(GQ232/GR232,"")</f>
        <v/>
      </c>
      <c r="GT232" s="471"/>
      <c r="GU232" s="469">
        <f ca="1">GU231-GW229-GX229</f>
        <v>0</v>
      </c>
      <c r="GV232" s="469">
        <f ca="1">OFFSET(貼付け_2024実績,$G232,SUM(COLUMN()-COLUMN(貼付け_2024実績))-1)</f>
        <v>0</v>
      </c>
      <c r="GW232" s="469" t="str">
        <f ca="1">IFERROR(GU232/GV232,"")</f>
        <v/>
      </c>
      <c r="GX232" s="471"/>
      <c r="GY232" s="469">
        <f ca="1">GY231-HA229-HB229</f>
        <v>0</v>
      </c>
      <c r="GZ232" s="469">
        <f ca="1">OFFSET(貼付け_2024実績,$G232,SUM(COLUMN()-COLUMN(貼付け_2024実績))-1)</f>
        <v>0</v>
      </c>
      <c r="HA232" s="469" t="str">
        <f ca="1">IFERROR(GY232/GZ232,"")</f>
        <v/>
      </c>
      <c r="HB232" s="471"/>
      <c r="IE232" s="463"/>
      <c r="IF232" s="463"/>
      <c r="IG232" s="463"/>
      <c r="IH232" s="463"/>
    </row>
    <row r="233" spans="1:242" s="371" customFormat="1" ht="19.8" hidden="1">
      <c r="A233" s="456">
        <v>7</v>
      </c>
      <c r="C233" s="466" t="s">
        <v>610</v>
      </c>
      <c r="D233" s="468"/>
      <c r="E233" s="468"/>
      <c r="F233" s="469">
        <v>200</v>
      </c>
      <c r="G233" s="469">
        <v>103</v>
      </c>
      <c r="H233" s="469">
        <v>169</v>
      </c>
      <c r="I233" s="469">
        <f ca="1">SUMPRODUCT(OFFSET(貼付け_2024実績,$F233,4,5,1),OFFSET(貼付け_2024実績,$F233,SUM(COLUMN()-COLUMN(貼付け_2024実績)),5,1))</f>
        <v>0</v>
      </c>
      <c r="J233" s="469">
        <f ca="1">SUMPRODUCT(OFFSET(貼付け_2024実績,$F233,4,5,1),OFFSET(貼付け_2024実績,$F233,SUM(COLUMN()-COLUMN(貼付け_2024実績)),5,1))</f>
        <v>0</v>
      </c>
      <c r="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71"/>
      <c r="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71"/>
      <c r="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71"/>
      <c r="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71"/>
      <c r="A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71"/>
      <c r="A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71"/>
      <c r="A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71"/>
      <c r="A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71"/>
      <c r="A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71"/>
      <c r="A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71"/>
      <c r="A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71"/>
      <c r="B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71"/>
      <c r="B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71"/>
      <c r="B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71"/>
      <c r="B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71"/>
      <c r="B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71"/>
      <c r="B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71"/>
      <c r="C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71"/>
      <c r="C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71"/>
      <c r="C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71"/>
      <c r="C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71"/>
      <c r="C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71"/>
      <c r="C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71"/>
      <c r="C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71"/>
      <c r="D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71"/>
      <c r="D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71"/>
      <c r="D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71"/>
      <c r="D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71"/>
      <c r="D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71"/>
      <c r="D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71"/>
      <c r="E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71"/>
      <c r="E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71"/>
      <c r="E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71"/>
      <c r="E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71"/>
      <c r="E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71"/>
      <c r="E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71"/>
      <c r="E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71"/>
      <c r="F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71"/>
      <c r="F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71"/>
      <c r="F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71"/>
      <c r="F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71"/>
      <c r="F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71"/>
      <c r="F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71"/>
      <c r="G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71"/>
      <c r="G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71"/>
      <c r="G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71"/>
      <c r="G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71"/>
      <c r="G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71"/>
      <c r="G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71"/>
      <c r="G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71"/>
      <c r="IE233" s="463"/>
      <c r="IF233" s="463"/>
      <c r="IG233" s="463"/>
      <c r="IH233" s="463"/>
    </row>
    <row r="234" spans="1:242" s="371" customFormat="1" ht="19.8" hidden="1">
      <c r="A234" s="456">
        <v>8</v>
      </c>
      <c r="C234" s="466" t="s">
        <v>611</v>
      </c>
      <c r="D234" s="468"/>
      <c r="E234" s="468"/>
      <c r="F234" s="469">
        <v>200</v>
      </c>
      <c r="G234" s="469">
        <v>103</v>
      </c>
      <c r="H234" s="469">
        <v>169</v>
      </c>
      <c r="I234" s="469">
        <f ca="1">SUMPRODUCT(OFFSET(貼付け_2024実績,$F234,5,5,1),OFFSET(貼付け_2024実績,$F234,SUM(COLUMN()-COLUMN(貼付け_2024実績)),5,1))</f>
        <v>0</v>
      </c>
      <c r="J234" s="469">
        <f ca="1">SUMPRODUCT(OFFSET(貼付け_2024実績,$F234,5,5,1),OFFSET(貼付け_2024実績,$F234,SUM(COLUMN()-COLUMN(貼付け_2024実績)),5,1))</f>
        <v>0</v>
      </c>
      <c r="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71"/>
      <c r="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71"/>
      <c r="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71"/>
      <c r="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71"/>
      <c r="A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71"/>
      <c r="A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71"/>
      <c r="A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71"/>
      <c r="A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71"/>
      <c r="A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71"/>
      <c r="A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71"/>
      <c r="A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71"/>
      <c r="B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71"/>
      <c r="B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71"/>
      <c r="B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71"/>
      <c r="B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71"/>
      <c r="B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71"/>
      <c r="B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71"/>
      <c r="C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71"/>
      <c r="C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71"/>
      <c r="C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71"/>
      <c r="C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71"/>
      <c r="C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71"/>
      <c r="C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71"/>
      <c r="C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71"/>
      <c r="D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71"/>
      <c r="D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71"/>
      <c r="D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71"/>
      <c r="D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71"/>
      <c r="D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71"/>
      <c r="D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71"/>
      <c r="E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71"/>
      <c r="E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71"/>
      <c r="E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71"/>
      <c r="E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71"/>
      <c r="E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71"/>
      <c r="E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71"/>
      <c r="E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71"/>
      <c r="F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71"/>
      <c r="F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71"/>
      <c r="F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71"/>
      <c r="F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71"/>
      <c r="F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71"/>
      <c r="F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71"/>
      <c r="G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71"/>
      <c r="G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71"/>
      <c r="G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71"/>
      <c r="G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71"/>
      <c r="G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71"/>
      <c r="G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71"/>
      <c r="G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71"/>
      <c r="IE234" s="463"/>
      <c r="IF234" s="463"/>
      <c r="IG234" s="463"/>
      <c r="IH234" s="463"/>
    </row>
    <row r="235" spans="1:242" s="371" customFormat="1" ht="19.8" hidden="1">
      <c r="A235" s="456">
        <v>9</v>
      </c>
      <c r="C235" s="466" t="s">
        <v>612</v>
      </c>
      <c r="D235" s="468"/>
      <c r="E235" s="468"/>
      <c r="F235" s="469"/>
      <c r="G235" s="469">
        <v>113</v>
      </c>
      <c r="H235" s="469">
        <v>169</v>
      </c>
      <c r="I235" s="471"/>
      <c r="J235" s="471"/>
      <c r="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71"/>
      <c r="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71"/>
      <c r="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71"/>
      <c r="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71"/>
      <c r="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71"/>
      <c r="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71"/>
      <c r="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71"/>
      <c r="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71"/>
      <c r="A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71"/>
      <c r="A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71"/>
      <c r="A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71"/>
      <c r="A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71"/>
      <c r="A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71"/>
      <c r="A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71"/>
      <c r="A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71"/>
      <c r="A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71"/>
      <c r="A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71"/>
      <c r="A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71"/>
      <c r="A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71"/>
      <c r="A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71"/>
      <c r="A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71"/>
      <c r="B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71"/>
      <c r="B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71"/>
      <c r="B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71"/>
      <c r="B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71"/>
      <c r="B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71"/>
      <c r="B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71"/>
      <c r="B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71"/>
      <c r="B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71"/>
      <c r="B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71"/>
      <c r="B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71"/>
      <c r="B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71"/>
      <c r="B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71"/>
      <c r="B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71"/>
      <c r="C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71"/>
      <c r="C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71"/>
      <c r="C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71"/>
      <c r="C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71"/>
      <c r="C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71"/>
      <c r="C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71"/>
      <c r="C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71"/>
      <c r="C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71"/>
      <c r="C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71"/>
      <c r="C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71"/>
      <c r="C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71"/>
      <c r="C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71"/>
      <c r="C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71"/>
      <c r="D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71"/>
      <c r="D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71"/>
      <c r="D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71"/>
      <c r="D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71"/>
      <c r="D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71"/>
      <c r="D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71"/>
      <c r="D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71"/>
      <c r="D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71"/>
      <c r="D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71"/>
      <c r="D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71"/>
      <c r="D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71"/>
      <c r="D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71"/>
      <c r="D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71"/>
      <c r="E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71"/>
      <c r="E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71"/>
      <c r="E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71"/>
      <c r="E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71"/>
      <c r="E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71"/>
      <c r="E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71"/>
      <c r="E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71"/>
      <c r="E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71"/>
      <c r="E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71"/>
      <c r="E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71"/>
      <c r="E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71"/>
      <c r="E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71"/>
      <c r="E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71"/>
      <c r="F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71"/>
      <c r="F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71"/>
      <c r="F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71"/>
      <c r="F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71"/>
      <c r="F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71"/>
      <c r="F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71"/>
      <c r="F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71"/>
      <c r="F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71"/>
      <c r="F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71"/>
      <c r="F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71"/>
      <c r="F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71"/>
      <c r="F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71"/>
      <c r="F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71"/>
      <c r="G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71"/>
      <c r="G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71"/>
      <c r="G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71"/>
      <c r="G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71"/>
      <c r="G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71"/>
      <c r="G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71"/>
      <c r="G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71"/>
      <c r="G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71"/>
      <c r="G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71"/>
      <c r="G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71"/>
      <c r="G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71"/>
      <c r="G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71"/>
      <c r="G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71"/>
      <c r="H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71"/>
      <c r="IE235" s="463"/>
      <c r="IF235" s="463"/>
      <c r="IG235" s="463"/>
      <c r="IH235" s="463"/>
    </row>
    <row r="236" spans="1:242" s="371" customFormat="1" ht="19.8" hidden="1">
      <c r="A236" s="456">
        <v>10</v>
      </c>
      <c r="C236" s="466" t="s">
        <v>613</v>
      </c>
      <c r="D236" s="468"/>
      <c r="E236" s="468"/>
      <c r="F236" s="469"/>
      <c r="G236" s="469">
        <v>113</v>
      </c>
      <c r="H236" s="469">
        <v>169</v>
      </c>
      <c r="I236" s="471"/>
      <c r="J236" s="471"/>
      <c r="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71"/>
      <c r="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71"/>
      <c r="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71"/>
      <c r="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71"/>
      <c r="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71"/>
      <c r="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71"/>
      <c r="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71"/>
      <c r="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71"/>
      <c r="A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71"/>
      <c r="A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71"/>
      <c r="A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71"/>
      <c r="A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71"/>
      <c r="A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71"/>
      <c r="A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71"/>
      <c r="A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71"/>
      <c r="A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71"/>
      <c r="A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71"/>
      <c r="A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71"/>
      <c r="A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71"/>
      <c r="A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71"/>
      <c r="A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71"/>
      <c r="B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71"/>
      <c r="B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71"/>
      <c r="B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71"/>
      <c r="B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71"/>
      <c r="B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71"/>
      <c r="B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71"/>
      <c r="B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71"/>
      <c r="B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71"/>
      <c r="B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71"/>
      <c r="B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71"/>
      <c r="B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71"/>
      <c r="B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71"/>
      <c r="B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71"/>
      <c r="C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71"/>
      <c r="C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71"/>
      <c r="C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71"/>
      <c r="C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71"/>
      <c r="C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71"/>
      <c r="C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71"/>
      <c r="C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71"/>
      <c r="C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71"/>
      <c r="C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71"/>
      <c r="C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71"/>
      <c r="C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71"/>
      <c r="C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71"/>
      <c r="C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71"/>
      <c r="D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71"/>
      <c r="D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71"/>
      <c r="D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71"/>
      <c r="D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71"/>
      <c r="D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71"/>
      <c r="D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71"/>
      <c r="D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71"/>
      <c r="D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71"/>
      <c r="D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71"/>
      <c r="D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71"/>
      <c r="D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71"/>
      <c r="D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71"/>
      <c r="D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71"/>
      <c r="E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71"/>
      <c r="E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71"/>
      <c r="E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71"/>
      <c r="E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71"/>
      <c r="E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71"/>
      <c r="E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71"/>
      <c r="E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71"/>
      <c r="E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71"/>
      <c r="E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71"/>
      <c r="E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71"/>
      <c r="E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71"/>
      <c r="E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71"/>
      <c r="E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71"/>
      <c r="F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71"/>
      <c r="F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71"/>
      <c r="F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71"/>
      <c r="F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71"/>
      <c r="F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71"/>
      <c r="F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71"/>
      <c r="F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71"/>
      <c r="F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71"/>
      <c r="F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71"/>
      <c r="F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71"/>
      <c r="F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71"/>
      <c r="F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71"/>
      <c r="F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71"/>
      <c r="G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71"/>
      <c r="G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71"/>
      <c r="G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71"/>
      <c r="G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71"/>
      <c r="G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71"/>
      <c r="G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71"/>
      <c r="G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71"/>
      <c r="G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71"/>
      <c r="G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71"/>
      <c r="G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71"/>
      <c r="G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71"/>
      <c r="G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71"/>
      <c r="G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71"/>
      <c r="H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71"/>
      <c r="IE236" s="463"/>
      <c r="IF236" s="463"/>
      <c r="IG236" s="463"/>
      <c r="IH236" s="463"/>
    </row>
    <row r="237" spans="1:242" s="371" customFormat="1" ht="19.8" hidden="1">
      <c r="A237" s="456">
        <v>11</v>
      </c>
      <c r="C237" s="466" t="s">
        <v>614</v>
      </c>
      <c r="D237" s="468"/>
      <c r="E237" s="468"/>
      <c r="F237" s="469"/>
      <c r="G237" s="469">
        <v>116</v>
      </c>
      <c r="H237" s="469">
        <v>169</v>
      </c>
      <c r="I237" s="471"/>
      <c r="J237" s="471"/>
      <c r="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71"/>
      <c r="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71"/>
      <c r="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71"/>
      <c r="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71"/>
      <c r="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71"/>
      <c r="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71"/>
      <c r="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71"/>
      <c r="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71"/>
      <c r="A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71"/>
      <c r="A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71"/>
      <c r="A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71"/>
      <c r="A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71"/>
      <c r="A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71"/>
      <c r="A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71"/>
      <c r="A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71"/>
      <c r="A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71"/>
      <c r="A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71"/>
      <c r="A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71"/>
      <c r="A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71"/>
      <c r="A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71"/>
      <c r="A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71"/>
      <c r="B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71"/>
      <c r="B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71"/>
      <c r="B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71"/>
      <c r="B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71"/>
      <c r="B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71"/>
      <c r="B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71"/>
      <c r="B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71"/>
      <c r="B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71"/>
      <c r="B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71"/>
      <c r="B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71"/>
      <c r="B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71"/>
      <c r="B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71"/>
      <c r="B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71"/>
      <c r="C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71"/>
      <c r="C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71"/>
      <c r="C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71"/>
      <c r="C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71"/>
      <c r="C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71"/>
      <c r="C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71"/>
      <c r="C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71"/>
      <c r="C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71"/>
      <c r="C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71"/>
      <c r="C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71"/>
      <c r="C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71"/>
      <c r="C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71"/>
      <c r="C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71"/>
      <c r="D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71"/>
      <c r="D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71"/>
      <c r="D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71"/>
      <c r="D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71"/>
      <c r="D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71"/>
      <c r="D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71"/>
      <c r="D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71"/>
      <c r="D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71"/>
      <c r="D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71"/>
      <c r="D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71"/>
      <c r="D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71"/>
      <c r="D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71"/>
      <c r="D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71"/>
      <c r="E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71"/>
      <c r="E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71"/>
      <c r="E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71"/>
      <c r="E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71"/>
      <c r="E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71"/>
      <c r="E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71"/>
      <c r="E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71"/>
      <c r="E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71"/>
      <c r="E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71"/>
      <c r="E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71"/>
      <c r="E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71"/>
      <c r="E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71"/>
      <c r="E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71"/>
      <c r="F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71"/>
      <c r="F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71"/>
      <c r="F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71"/>
      <c r="F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71"/>
      <c r="F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71"/>
      <c r="F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71"/>
      <c r="F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71"/>
      <c r="F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71"/>
      <c r="F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71"/>
      <c r="F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71"/>
      <c r="F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71"/>
      <c r="F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71"/>
      <c r="F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71"/>
      <c r="G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71"/>
      <c r="G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71"/>
      <c r="G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71"/>
      <c r="G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71"/>
      <c r="G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71"/>
      <c r="G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71"/>
      <c r="G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71"/>
      <c r="G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71"/>
      <c r="G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71"/>
      <c r="G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71"/>
      <c r="G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71"/>
      <c r="G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71"/>
      <c r="G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71"/>
      <c r="H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71"/>
      <c r="IE237" s="463"/>
      <c r="IF237" s="463"/>
      <c r="IG237" s="463"/>
      <c r="IH237" s="463"/>
    </row>
    <row r="238" spans="1:242" s="371" customFormat="1" ht="19.8" hidden="1">
      <c r="A238" s="456">
        <v>12</v>
      </c>
      <c r="C238" s="466" t="s">
        <v>615</v>
      </c>
      <c r="D238" s="468"/>
      <c r="E238" s="468"/>
      <c r="F238" s="469"/>
      <c r="G238" s="469">
        <v>116</v>
      </c>
      <c r="H238" s="469">
        <v>169</v>
      </c>
      <c r="I238" s="471"/>
      <c r="J238" s="471"/>
      <c r="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71"/>
      <c r="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71"/>
      <c r="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71"/>
      <c r="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71"/>
      <c r="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71"/>
      <c r="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71"/>
      <c r="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71"/>
      <c r="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71"/>
      <c r="A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71"/>
      <c r="A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71"/>
      <c r="A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71"/>
      <c r="A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71"/>
      <c r="A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71"/>
      <c r="A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71"/>
      <c r="A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71"/>
      <c r="A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71"/>
      <c r="A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71"/>
      <c r="A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71"/>
      <c r="A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71"/>
      <c r="A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71"/>
      <c r="A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71"/>
      <c r="B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71"/>
      <c r="B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71"/>
      <c r="B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71"/>
      <c r="B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71"/>
      <c r="B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71"/>
      <c r="B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71"/>
      <c r="B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71"/>
      <c r="B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71"/>
      <c r="B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71"/>
      <c r="B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71"/>
      <c r="B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71"/>
      <c r="B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71"/>
      <c r="B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71"/>
      <c r="C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71"/>
      <c r="C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71"/>
      <c r="C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71"/>
      <c r="C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71"/>
      <c r="C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71"/>
      <c r="C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71"/>
      <c r="C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71"/>
      <c r="C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71"/>
      <c r="C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71"/>
      <c r="C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71"/>
      <c r="C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71"/>
      <c r="C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71"/>
      <c r="C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71"/>
      <c r="D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71"/>
      <c r="D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71"/>
      <c r="D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71"/>
      <c r="D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71"/>
      <c r="D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71"/>
      <c r="D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71"/>
      <c r="D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71"/>
      <c r="D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71"/>
      <c r="D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71"/>
      <c r="D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71"/>
      <c r="D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71"/>
      <c r="D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71"/>
      <c r="D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71"/>
      <c r="E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71"/>
      <c r="E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71"/>
      <c r="E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71"/>
      <c r="E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71"/>
      <c r="E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71"/>
      <c r="E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71"/>
      <c r="E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71"/>
      <c r="E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71"/>
      <c r="E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71"/>
      <c r="E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71"/>
      <c r="E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71"/>
      <c r="E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71"/>
      <c r="E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71"/>
      <c r="F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71"/>
      <c r="F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71"/>
      <c r="F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71"/>
      <c r="F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71"/>
      <c r="F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71"/>
      <c r="F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71"/>
      <c r="F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71"/>
      <c r="F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71"/>
      <c r="F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71"/>
      <c r="F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71"/>
      <c r="F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71"/>
      <c r="F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71"/>
      <c r="F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71"/>
      <c r="G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71"/>
      <c r="G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71"/>
      <c r="G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71"/>
      <c r="G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71"/>
      <c r="G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71"/>
      <c r="G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71"/>
      <c r="G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71"/>
      <c r="G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71"/>
      <c r="G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71"/>
      <c r="G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71"/>
      <c r="G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71"/>
      <c r="G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71"/>
      <c r="G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71"/>
      <c r="H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71"/>
      <c r="IE238" s="463"/>
      <c r="IF238" s="463"/>
      <c r="IG238" s="463"/>
      <c r="IH238" s="463"/>
    </row>
    <row r="239" spans="1:242" s="371" customFormat="1" ht="19.8" hidden="1">
      <c r="A239" s="456">
        <v>13</v>
      </c>
      <c r="C239" s="466" t="s">
        <v>616</v>
      </c>
      <c r="D239" s="468"/>
      <c r="E239" s="468"/>
      <c r="F239" s="469"/>
      <c r="G239" s="469">
        <v>119</v>
      </c>
      <c r="H239" s="469">
        <v>169</v>
      </c>
      <c r="I239" s="471"/>
      <c r="J239" s="471"/>
      <c r="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71"/>
      <c r="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71"/>
      <c r="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71"/>
      <c r="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71"/>
      <c r="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71"/>
      <c r="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71"/>
      <c r="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71"/>
      <c r="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71"/>
      <c r="A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71"/>
      <c r="A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71"/>
      <c r="A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71"/>
      <c r="A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71"/>
      <c r="A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71"/>
      <c r="A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71"/>
      <c r="A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71"/>
      <c r="A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71"/>
      <c r="A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71"/>
      <c r="A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71"/>
      <c r="A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71"/>
      <c r="A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71"/>
      <c r="A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71"/>
      <c r="B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71"/>
      <c r="B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71"/>
      <c r="B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71"/>
      <c r="B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71"/>
      <c r="B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71"/>
      <c r="B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71"/>
      <c r="B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71"/>
      <c r="B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71"/>
      <c r="B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71"/>
      <c r="B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71"/>
      <c r="B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71"/>
      <c r="B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71"/>
      <c r="B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71"/>
      <c r="C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71"/>
      <c r="C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71"/>
      <c r="C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71"/>
      <c r="C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71"/>
      <c r="C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71"/>
      <c r="C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71"/>
      <c r="C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71"/>
      <c r="C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71"/>
      <c r="C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71"/>
      <c r="C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71"/>
      <c r="C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71"/>
      <c r="C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71"/>
      <c r="C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71"/>
      <c r="D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71"/>
      <c r="D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71"/>
      <c r="D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71"/>
      <c r="D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71"/>
      <c r="D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71"/>
      <c r="D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71"/>
      <c r="D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71"/>
      <c r="D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71"/>
      <c r="D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71"/>
      <c r="D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71"/>
      <c r="D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71"/>
      <c r="D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71"/>
      <c r="D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71"/>
      <c r="E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71"/>
      <c r="E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71"/>
      <c r="E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71"/>
      <c r="E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71"/>
      <c r="E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71"/>
      <c r="E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71"/>
      <c r="E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71"/>
      <c r="E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71"/>
      <c r="E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71"/>
      <c r="E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71"/>
      <c r="E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71"/>
      <c r="E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71"/>
      <c r="E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71"/>
      <c r="F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71"/>
      <c r="F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71"/>
      <c r="F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71"/>
      <c r="F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71"/>
      <c r="F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71"/>
      <c r="F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71"/>
      <c r="F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71"/>
      <c r="F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71"/>
      <c r="F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71"/>
      <c r="F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71"/>
      <c r="F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71"/>
      <c r="F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71"/>
      <c r="F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71"/>
      <c r="G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71"/>
      <c r="G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71"/>
      <c r="G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71"/>
      <c r="G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71"/>
      <c r="G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71"/>
      <c r="G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71"/>
      <c r="G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71"/>
      <c r="G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71"/>
      <c r="G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71"/>
      <c r="G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71"/>
      <c r="G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71"/>
      <c r="G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71"/>
      <c r="G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71"/>
      <c r="H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71"/>
      <c r="IE239" s="463"/>
      <c r="IF239" s="463"/>
      <c r="IG239" s="463"/>
      <c r="IH239" s="463"/>
    </row>
    <row r="240" spans="1:242" s="371" customFormat="1" ht="19.8" hidden="1">
      <c r="A240" s="456">
        <v>14</v>
      </c>
      <c r="C240" s="466" t="s">
        <v>617</v>
      </c>
      <c r="D240" s="468"/>
      <c r="E240" s="468"/>
      <c r="F240" s="469"/>
      <c r="G240" s="469">
        <v>119</v>
      </c>
      <c r="H240" s="469">
        <v>169</v>
      </c>
      <c r="I240" s="471"/>
      <c r="J240" s="471"/>
      <c r="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71"/>
      <c r="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71"/>
      <c r="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71"/>
      <c r="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71"/>
      <c r="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71"/>
      <c r="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71"/>
      <c r="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71"/>
      <c r="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71"/>
      <c r="A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71"/>
      <c r="A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71"/>
      <c r="A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71"/>
      <c r="A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71"/>
      <c r="A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71"/>
      <c r="A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71"/>
      <c r="A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71"/>
      <c r="A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71"/>
      <c r="A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71"/>
      <c r="A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71"/>
      <c r="A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71"/>
      <c r="A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71"/>
      <c r="A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71"/>
      <c r="B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71"/>
      <c r="B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71"/>
      <c r="B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71"/>
      <c r="B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71"/>
      <c r="B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71"/>
      <c r="B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71"/>
      <c r="B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71"/>
      <c r="B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71"/>
      <c r="B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71"/>
      <c r="B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71"/>
      <c r="B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71"/>
      <c r="B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71"/>
      <c r="B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71"/>
      <c r="C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71"/>
      <c r="C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71"/>
      <c r="C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71"/>
      <c r="C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71"/>
      <c r="C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71"/>
      <c r="C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71"/>
      <c r="C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71"/>
      <c r="C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71"/>
      <c r="C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71"/>
      <c r="C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71"/>
      <c r="C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71"/>
      <c r="C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71"/>
      <c r="C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71"/>
      <c r="D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71"/>
      <c r="D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71"/>
      <c r="D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71"/>
      <c r="D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71"/>
      <c r="D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71"/>
      <c r="D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71"/>
      <c r="D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71"/>
      <c r="D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71"/>
      <c r="D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71"/>
      <c r="D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71"/>
      <c r="D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71"/>
      <c r="D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71"/>
      <c r="D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71"/>
      <c r="E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71"/>
      <c r="E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71"/>
      <c r="E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71"/>
      <c r="E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71"/>
      <c r="E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71"/>
      <c r="E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71"/>
      <c r="E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71"/>
      <c r="E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71"/>
      <c r="E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71"/>
      <c r="E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71"/>
      <c r="E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71"/>
      <c r="E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71"/>
      <c r="E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71"/>
      <c r="F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71"/>
      <c r="F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71"/>
      <c r="F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71"/>
      <c r="F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71"/>
      <c r="F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71"/>
      <c r="F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71"/>
      <c r="F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71"/>
      <c r="F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71"/>
      <c r="F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71"/>
      <c r="F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71"/>
      <c r="F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71"/>
      <c r="F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71"/>
      <c r="F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71"/>
      <c r="G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71"/>
      <c r="G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71"/>
      <c r="G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71"/>
      <c r="G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71"/>
      <c r="G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71"/>
      <c r="G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71"/>
      <c r="G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71"/>
      <c r="G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71"/>
      <c r="G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71"/>
      <c r="G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71"/>
      <c r="G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71"/>
      <c r="G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71"/>
      <c r="G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71"/>
      <c r="H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71"/>
      <c r="IE240" s="463"/>
      <c r="IF240" s="463"/>
      <c r="IG240" s="463"/>
      <c r="IH240" s="463"/>
    </row>
    <row r="241" spans="1:242" s="371" customFormat="1" ht="19.8" hidden="1">
      <c r="A241" s="456">
        <v>15</v>
      </c>
      <c r="C241" s="466" t="s">
        <v>618</v>
      </c>
      <c r="D241" s="468"/>
      <c r="E241" s="468"/>
      <c r="F241" s="469">
        <v>205</v>
      </c>
      <c r="G241" s="469">
        <v>122</v>
      </c>
      <c r="H241" s="469">
        <v>169</v>
      </c>
      <c r="I241" s="469">
        <f ca="1">SUMPRODUCT(OFFSET(貼付け_2024実績,$F241,4,10,1),OFFSET(貼付け_2024実績,$F241,SUM(COLUMN()-COLUMN(貼付け_2024実績)),10,1))*1000</f>
        <v>0</v>
      </c>
      <c r="J241" s="469">
        <f ca="1">SUMPRODUCT(OFFSET(貼付け_2024実績,$F241,4,10,1),OFFSET(貼付け_2024実績,$F241,SUM(COLUMN()-COLUMN(貼付け_2024実績)),10,1))*1000</f>
        <v>0</v>
      </c>
      <c r="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71"/>
      <c r="M241" s="471"/>
      <c r="N241" s="471"/>
      <c r="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71"/>
      <c r="Q241" s="471"/>
      <c r="R241" s="471"/>
      <c r="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71"/>
      <c r="U241" s="471"/>
      <c r="V241" s="471"/>
      <c r="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71"/>
      <c r="Y241" s="471"/>
      <c r="Z241" s="471"/>
      <c r="A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71"/>
      <c r="AC241" s="471"/>
      <c r="AD241" s="471"/>
      <c r="A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71"/>
      <c r="AG241" s="471"/>
      <c r="AH241" s="471"/>
      <c r="A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71"/>
      <c r="AK241" s="471"/>
      <c r="AL241" s="471"/>
      <c r="A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71"/>
      <c r="AO241" s="471"/>
      <c r="AP241" s="471"/>
      <c r="A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71"/>
      <c r="AS241" s="471"/>
      <c r="AT241" s="471"/>
      <c r="A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71"/>
      <c r="AW241" s="471"/>
      <c r="AX241" s="471"/>
      <c r="A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71"/>
      <c r="BA241" s="471"/>
      <c r="BB241" s="471"/>
      <c r="B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71"/>
      <c r="BE241" s="471"/>
      <c r="BF241" s="471"/>
      <c r="B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71"/>
      <c r="BI241" s="471"/>
      <c r="BJ241" s="471"/>
      <c r="B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71"/>
      <c r="BM241" s="471"/>
      <c r="BN241" s="471"/>
      <c r="B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71"/>
      <c r="BQ241" s="471"/>
      <c r="BR241" s="471"/>
      <c r="B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71"/>
      <c r="BU241" s="471"/>
      <c r="BV241" s="471"/>
      <c r="B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71"/>
      <c r="BY241" s="471"/>
      <c r="BZ241" s="471"/>
      <c r="C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71"/>
      <c r="CC241" s="471"/>
      <c r="CD241" s="471"/>
      <c r="C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71"/>
      <c r="CG241" s="471"/>
      <c r="CH241" s="471"/>
      <c r="C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71"/>
      <c r="CK241" s="471"/>
      <c r="CL241" s="471"/>
      <c r="C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71"/>
      <c r="CO241" s="471"/>
      <c r="CP241" s="471"/>
      <c r="C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71"/>
      <c r="CS241" s="471"/>
      <c r="CT241" s="471"/>
      <c r="C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71"/>
      <c r="CW241" s="471"/>
      <c r="CX241" s="471"/>
      <c r="C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71"/>
      <c r="DA241" s="471"/>
      <c r="DB241" s="471"/>
      <c r="D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71"/>
      <c r="DE241" s="471"/>
      <c r="DF241" s="471"/>
      <c r="D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71"/>
      <c r="DI241" s="471"/>
      <c r="DJ241" s="471"/>
      <c r="D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71"/>
      <c r="DM241" s="471"/>
      <c r="DN241" s="471"/>
      <c r="D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71"/>
      <c r="DQ241" s="471"/>
      <c r="DR241" s="471"/>
      <c r="D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71"/>
      <c r="DU241" s="471"/>
      <c r="DV241" s="471"/>
      <c r="D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71"/>
      <c r="DY241" s="471"/>
      <c r="DZ241" s="471"/>
      <c r="E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71"/>
      <c r="EC241" s="471"/>
      <c r="ED241" s="471"/>
      <c r="E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71"/>
      <c r="EG241" s="471"/>
      <c r="EH241" s="471"/>
      <c r="E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71"/>
      <c r="EK241" s="471"/>
      <c r="EL241" s="471"/>
      <c r="E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71"/>
      <c r="EO241" s="471"/>
      <c r="EP241" s="471"/>
      <c r="E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71"/>
      <c r="ES241" s="471"/>
      <c r="ET241" s="471"/>
      <c r="E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71"/>
      <c r="EW241" s="471"/>
      <c r="EX241" s="471"/>
      <c r="E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71"/>
      <c r="FA241" s="471"/>
      <c r="FB241" s="471"/>
      <c r="F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71"/>
      <c r="FE241" s="471"/>
      <c r="FF241" s="471"/>
      <c r="F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71"/>
      <c r="FI241" s="471"/>
      <c r="FJ241" s="471"/>
      <c r="F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71"/>
      <c r="FM241" s="471"/>
      <c r="FN241" s="471"/>
      <c r="F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71"/>
      <c r="FQ241" s="471"/>
      <c r="FR241" s="471"/>
      <c r="F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71"/>
      <c r="FU241" s="471"/>
      <c r="FV241" s="471"/>
      <c r="F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71"/>
      <c r="FY241" s="471"/>
      <c r="FZ241" s="471"/>
      <c r="G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71"/>
      <c r="GC241" s="471"/>
      <c r="GD241" s="471"/>
      <c r="G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71"/>
      <c r="GG241" s="471"/>
      <c r="GH241" s="471"/>
      <c r="G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71"/>
      <c r="GK241" s="471"/>
      <c r="GL241" s="471"/>
      <c r="G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71"/>
      <c r="GO241" s="471"/>
      <c r="GP241" s="471"/>
      <c r="G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71"/>
      <c r="GS241" s="471"/>
      <c r="GT241" s="471"/>
      <c r="G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71"/>
      <c r="GW241" s="471"/>
      <c r="GX241" s="471"/>
      <c r="G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71"/>
      <c r="HA241" s="471"/>
      <c r="HB241" s="471"/>
      <c r="IE241" s="463"/>
      <c r="IF241" s="463"/>
      <c r="IG241" s="463"/>
      <c r="IH241" s="463"/>
    </row>
    <row r="242" spans="1:242" s="371" customFormat="1" ht="19.8" hidden="1">
      <c r="A242" s="456">
        <v>16</v>
      </c>
      <c r="C242" s="466" t="s">
        <v>619</v>
      </c>
      <c r="D242" s="468"/>
      <c r="E242" s="468"/>
      <c r="F242" s="469">
        <v>205</v>
      </c>
      <c r="G242" s="469">
        <v>122</v>
      </c>
      <c r="H242" s="469">
        <v>169</v>
      </c>
      <c r="I242" s="469">
        <f ca="1">SUMPRODUCT(OFFSET(貼付け_2024実績,$F242,5,10,1),OFFSET(貼付け_2024実績,$F242,SUM(COLUMN()-COLUMN(貼付け_2024実績)),10,1))*1000</f>
        <v>0</v>
      </c>
      <c r="J242" s="469">
        <f ca="1">SUMPRODUCT(OFFSET(貼付け_2024実績,$F242,5,10,1),OFFSET(貼付け_2024実績,$F242,SUM(COLUMN()-COLUMN(貼付け_2024実績)),10,1))*1000</f>
        <v>0</v>
      </c>
      <c r="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71"/>
      <c r="M242" s="471"/>
      <c r="N242" s="471"/>
      <c r="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71"/>
      <c r="Q242" s="471"/>
      <c r="R242" s="471"/>
      <c r="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71"/>
      <c r="U242" s="471"/>
      <c r="V242" s="471"/>
      <c r="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71"/>
      <c r="Y242" s="471"/>
      <c r="Z242" s="471"/>
      <c r="A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71"/>
      <c r="AC242" s="471"/>
      <c r="AD242" s="471"/>
      <c r="A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71"/>
      <c r="AG242" s="471"/>
      <c r="AH242" s="471"/>
      <c r="A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71"/>
      <c r="AK242" s="471"/>
      <c r="AL242" s="471"/>
      <c r="A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71"/>
      <c r="AO242" s="471"/>
      <c r="AP242" s="471"/>
      <c r="A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71"/>
      <c r="AS242" s="471"/>
      <c r="AT242" s="471"/>
      <c r="A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71"/>
      <c r="AW242" s="471"/>
      <c r="AX242" s="471"/>
      <c r="A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71"/>
      <c r="BA242" s="471"/>
      <c r="BB242" s="471"/>
      <c r="B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71"/>
      <c r="BE242" s="471"/>
      <c r="BF242" s="471"/>
      <c r="B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71"/>
      <c r="BI242" s="471"/>
      <c r="BJ242" s="471"/>
      <c r="B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71"/>
      <c r="BM242" s="471"/>
      <c r="BN242" s="471"/>
      <c r="B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71"/>
      <c r="BQ242" s="471"/>
      <c r="BR242" s="471"/>
      <c r="B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71"/>
      <c r="BU242" s="471"/>
      <c r="BV242" s="471"/>
      <c r="B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71"/>
      <c r="BY242" s="471"/>
      <c r="BZ242" s="471"/>
      <c r="C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71"/>
      <c r="CC242" s="471"/>
      <c r="CD242" s="471"/>
      <c r="C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71"/>
      <c r="CG242" s="471"/>
      <c r="CH242" s="471"/>
      <c r="C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71"/>
      <c r="CK242" s="471"/>
      <c r="CL242" s="471"/>
      <c r="C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71"/>
      <c r="CO242" s="471"/>
      <c r="CP242" s="471"/>
      <c r="C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71"/>
      <c r="CS242" s="471"/>
      <c r="CT242" s="471"/>
      <c r="C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71"/>
      <c r="CW242" s="471"/>
      <c r="CX242" s="471"/>
      <c r="C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71"/>
      <c r="DA242" s="471"/>
      <c r="DB242" s="471"/>
      <c r="D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71"/>
      <c r="DE242" s="471"/>
      <c r="DF242" s="471"/>
      <c r="D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71"/>
      <c r="DI242" s="471"/>
      <c r="DJ242" s="471"/>
      <c r="D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71"/>
      <c r="DM242" s="471"/>
      <c r="DN242" s="471"/>
      <c r="D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71"/>
      <c r="DQ242" s="471"/>
      <c r="DR242" s="471"/>
      <c r="D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71"/>
      <c r="DU242" s="471"/>
      <c r="DV242" s="471"/>
      <c r="D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71"/>
      <c r="DY242" s="471"/>
      <c r="DZ242" s="471"/>
      <c r="E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71"/>
      <c r="EC242" s="471"/>
      <c r="ED242" s="471"/>
      <c r="E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71"/>
      <c r="EG242" s="471"/>
      <c r="EH242" s="471"/>
      <c r="E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71"/>
      <c r="EK242" s="471"/>
      <c r="EL242" s="471"/>
      <c r="E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71"/>
      <c r="EO242" s="471"/>
      <c r="EP242" s="471"/>
      <c r="E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71"/>
      <c r="ES242" s="471"/>
      <c r="ET242" s="471"/>
      <c r="E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71"/>
      <c r="EW242" s="471"/>
      <c r="EX242" s="471"/>
      <c r="E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71"/>
      <c r="FA242" s="471"/>
      <c r="FB242" s="471"/>
      <c r="F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71"/>
      <c r="FE242" s="471"/>
      <c r="FF242" s="471"/>
      <c r="F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71"/>
      <c r="FI242" s="471"/>
      <c r="FJ242" s="471"/>
      <c r="F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71"/>
      <c r="FM242" s="471"/>
      <c r="FN242" s="471"/>
      <c r="F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71"/>
      <c r="FQ242" s="471"/>
      <c r="FR242" s="471"/>
      <c r="F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71"/>
      <c r="FU242" s="471"/>
      <c r="FV242" s="471"/>
      <c r="F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71"/>
      <c r="FY242" s="471"/>
      <c r="FZ242" s="471"/>
      <c r="G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71"/>
      <c r="GC242" s="471"/>
      <c r="GD242" s="471"/>
      <c r="G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71"/>
      <c r="GG242" s="471"/>
      <c r="GH242" s="471"/>
      <c r="G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71"/>
      <c r="GK242" s="471"/>
      <c r="GL242" s="471"/>
      <c r="G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71"/>
      <c r="GO242" s="471"/>
      <c r="GP242" s="471"/>
      <c r="G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71"/>
      <c r="GS242" s="471"/>
      <c r="GT242" s="471"/>
      <c r="G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71"/>
      <c r="GW242" s="471"/>
      <c r="GX242" s="471"/>
      <c r="G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71"/>
      <c r="HA242" s="471"/>
      <c r="HB242" s="471"/>
      <c r="IE242" s="463"/>
      <c r="IF242" s="463"/>
      <c r="IG242" s="463"/>
      <c r="IH242" s="463"/>
    </row>
    <row r="243" spans="1:242" s="371" customFormat="1" ht="19.8" hidden="1">
      <c r="A243" s="456">
        <v>17</v>
      </c>
      <c r="C243" s="466" t="s">
        <v>620</v>
      </c>
      <c r="D243" s="468"/>
      <c r="E243" s="468"/>
      <c r="F243" s="469"/>
      <c r="G243" s="469">
        <v>122</v>
      </c>
      <c r="H243" s="469">
        <v>169</v>
      </c>
      <c r="I243" s="471"/>
      <c r="J243" s="471"/>
      <c r="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71"/>
      <c r="M243" s="471"/>
      <c r="N243" s="471"/>
      <c r="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71"/>
      <c r="Q243" s="471"/>
      <c r="R243" s="471"/>
      <c r="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71"/>
      <c r="U243" s="471"/>
      <c r="V243" s="471"/>
      <c r="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71"/>
      <c r="Y243" s="471"/>
      <c r="Z243" s="471"/>
      <c r="A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71"/>
      <c r="AC243" s="471"/>
      <c r="AD243" s="471"/>
      <c r="A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71"/>
      <c r="AG243" s="471"/>
      <c r="AH243" s="471"/>
      <c r="A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71"/>
      <c r="AK243" s="471"/>
      <c r="AL243" s="471"/>
      <c r="A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71"/>
      <c r="AO243" s="471"/>
      <c r="AP243" s="471"/>
      <c r="A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71"/>
      <c r="AS243" s="471"/>
      <c r="AT243" s="471"/>
      <c r="A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71"/>
      <c r="AW243" s="471"/>
      <c r="AX243" s="471"/>
      <c r="A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71"/>
      <c r="BA243" s="471"/>
      <c r="BB243" s="471"/>
      <c r="B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71"/>
      <c r="BE243" s="471"/>
      <c r="BF243" s="471"/>
      <c r="B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71"/>
      <c r="BI243" s="471"/>
      <c r="BJ243" s="471"/>
      <c r="B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71"/>
      <c r="BM243" s="471"/>
      <c r="BN243" s="471"/>
      <c r="B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71"/>
      <c r="BQ243" s="471"/>
      <c r="BR243" s="471"/>
      <c r="B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71"/>
      <c r="BU243" s="471"/>
      <c r="BV243" s="471"/>
      <c r="B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71"/>
      <c r="BY243" s="471"/>
      <c r="BZ243" s="471"/>
      <c r="C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71"/>
      <c r="CC243" s="471"/>
      <c r="CD243" s="471"/>
      <c r="C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71"/>
      <c r="CG243" s="471"/>
      <c r="CH243" s="471"/>
      <c r="C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71"/>
      <c r="CK243" s="471"/>
      <c r="CL243" s="471"/>
      <c r="C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71"/>
      <c r="CO243" s="471"/>
      <c r="CP243" s="471"/>
      <c r="C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71"/>
      <c r="CS243" s="471"/>
      <c r="CT243" s="471"/>
      <c r="C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71"/>
      <c r="CW243" s="471"/>
      <c r="CX243" s="471"/>
      <c r="C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71"/>
      <c r="DA243" s="471"/>
      <c r="DB243" s="471"/>
      <c r="D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71"/>
      <c r="DE243" s="471"/>
      <c r="DF243" s="471"/>
      <c r="D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71"/>
      <c r="DI243" s="471"/>
      <c r="DJ243" s="471"/>
      <c r="D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71"/>
      <c r="DM243" s="471"/>
      <c r="DN243" s="471"/>
      <c r="D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71"/>
      <c r="DQ243" s="471"/>
      <c r="DR243" s="471"/>
      <c r="D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71"/>
      <c r="DU243" s="471"/>
      <c r="DV243" s="471"/>
      <c r="D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71"/>
      <c r="DY243" s="471"/>
      <c r="DZ243" s="471"/>
      <c r="E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71"/>
      <c r="EC243" s="471"/>
      <c r="ED243" s="471"/>
      <c r="E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71"/>
      <c r="EG243" s="471"/>
      <c r="EH243" s="471"/>
      <c r="E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71"/>
      <c r="EK243" s="471"/>
      <c r="EL243" s="471"/>
      <c r="E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71"/>
      <c r="EO243" s="471"/>
      <c r="EP243" s="471"/>
      <c r="E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71"/>
      <c r="ES243" s="471"/>
      <c r="ET243" s="471"/>
      <c r="E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71"/>
      <c r="EW243" s="471"/>
      <c r="EX243" s="471"/>
      <c r="E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71"/>
      <c r="FA243" s="471"/>
      <c r="FB243" s="471"/>
      <c r="F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71"/>
      <c r="FE243" s="471"/>
      <c r="FF243" s="471"/>
      <c r="F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71"/>
      <c r="FI243" s="471"/>
      <c r="FJ243" s="471"/>
      <c r="F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71"/>
      <c r="FM243" s="471"/>
      <c r="FN243" s="471"/>
      <c r="F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71"/>
      <c r="FQ243" s="471"/>
      <c r="FR243" s="471"/>
      <c r="F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71"/>
      <c r="FU243" s="471"/>
      <c r="FV243" s="471"/>
      <c r="F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71"/>
      <c r="FY243" s="471"/>
      <c r="FZ243" s="471"/>
      <c r="G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71"/>
      <c r="GC243" s="471"/>
      <c r="GD243" s="471"/>
      <c r="G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71"/>
      <c r="GG243" s="471"/>
      <c r="GH243" s="471"/>
      <c r="G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71"/>
      <c r="GK243" s="471"/>
      <c r="GL243" s="471"/>
      <c r="G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71"/>
      <c r="GO243" s="471"/>
      <c r="GP243" s="471"/>
      <c r="G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71"/>
      <c r="GS243" s="471"/>
      <c r="GT243" s="471"/>
      <c r="G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71"/>
      <c r="GW243" s="471"/>
      <c r="GX243" s="471"/>
      <c r="G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71"/>
      <c r="HA243" s="471"/>
      <c r="HB243" s="471"/>
      <c r="IE243" s="463"/>
      <c r="IF243" s="463"/>
      <c r="IG243" s="463"/>
      <c r="IH243" s="463"/>
    </row>
    <row r="244" spans="1:242" s="371" customFormat="1" ht="19.8" hidden="1">
      <c r="A244" s="456"/>
      <c r="IE244" s="463"/>
      <c r="IF244" s="463"/>
      <c r="IG244" s="463"/>
      <c r="IH244" s="463"/>
    </row>
    <row r="245" spans="1:242" s="361" customFormat="1" ht="20.100000000000001" hidden="1" customHeight="1">
      <c r="A245" s="377" t="s">
        <v>621</v>
      </c>
      <c r="B245" s="377"/>
      <c r="C245" s="378"/>
      <c r="D245" s="381"/>
      <c r="E245" s="382"/>
      <c r="F245" s="381"/>
      <c r="G245" s="381"/>
      <c r="H245" s="382"/>
      <c r="I245" s="381"/>
      <c r="J245" s="381"/>
      <c r="K245" s="382"/>
      <c r="L245" s="381"/>
      <c r="M245" s="381"/>
      <c r="N245" s="382"/>
      <c r="O245" s="381"/>
      <c r="P245" s="381"/>
      <c r="Q245" s="382"/>
      <c r="R245" s="381"/>
      <c r="S245" s="381"/>
      <c r="T245" s="382"/>
      <c r="U245" s="381"/>
      <c r="V245" s="381"/>
      <c r="W245" s="382"/>
      <c r="X245" s="381"/>
      <c r="Y245" s="381"/>
      <c r="Z245" s="382"/>
      <c r="AA245" s="381"/>
      <c r="AB245" s="381"/>
      <c r="AC245" s="382"/>
      <c r="AD245" s="381"/>
      <c r="AE245" s="381"/>
      <c r="AF245" s="382"/>
      <c r="AG245" s="381"/>
      <c r="AH245" s="381"/>
      <c r="AI245" s="382"/>
      <c r="AJ245" s="381"/>
      <c r="AK245" s="381"/>
      <c r="AL245" s="382"/>
      <c r="AM245" s="381"/>
      <c r="AN245" s="381"/>
      <c r="IE245" s="455"/>
      <c r="IF245" s="455"/>
      <c r="IG245" s="455"/>
      <c r="IH245" s="455"/>
    </row>
    <row r="246" spans="1:242" ht="20.100000000000001" hidden="1" customHeight="1" thickBot="1">
      <c r="B246" s="472" t="s">
        <v>622</v>
      </c>
      <c r="C246" s="473">
        <v>1</v>
      </c>
      <c r="D246" s="474">
        <v>2</v>
      </c>
      <c r="E246" s="473">
        <v>3</v>
      </c>
      <c r="F246" s="474">
        <v>4</v>
      </c>
      <c r="G246" s="473">
        <v>5</v>
      </c>
      <c r="H246" s="474">
        <v>6</v>
      </c>
      <c r="I246" s="473">
        <v>7</v>
      </c>
      <c r="J246" s="474">
        <v>8</v>
      </c>
      <c r="K246" s="473">
        <v>9</v>
      </c>
      <c r="L246" s="474">
        <v>10</v>
      </c>
      <c r="M246" s="473">
        <v>11</v>
      </c>
      <c r="N246" s="474">
        <v>12</v>
      </c>
      <c r="O246" s="473">
        <v>13</v>
      </c>
      <c r="P246" s="474">
        <v>14</v>
      </c>
      <c r="Q246" s="473">
        <v>15</v>
      </c>
      <c r="R246" s="474">
        <v>16</v>
      </c>
      <c r="S246" s="473">
        <v>17</v>
      </c>
      <c r="T246" s="474">
        <v>18</v>
      </c>
      <c r="U246" s="473">
        <v>19</v>
      </c>
      <c r="V246" s="474">
        <v>20</v>
      </c>
      <c r="W246" s="473">
        <v>21</v>
      </c>
      <c r="X246" s="474">
        <v>22</v>
      </c>
      <c r="Y246" s="473">
        <v>23</v>
      </c>
      <c r="Z246" s="474">
        <v>24</v>
      </c>
      <c r="AA246" s="473">
        <v>25</v>
      </c>
      <c r="AB246" s="474">
        <v>26</v>
      </c>
      <c r="AC246" s="473">
        <v>27</v>
      </c>
      <c r="AD246" s="474">
        <v>28</v>
      </c>
      <c r="AE246" s="473">
        <v>29</v>
      </c>
      <c r="AF246" s="474">
        <v>30</v>
      </c>
      <c r="AG246" s="473">
        <v>31</v>
      </c>
      <c r="AH246" s="474">
        <v>32</v>
      </c>
      <c r="AI246" s="473">
        <v>33</v>
      </c>
      <c r="AJ246" s="474">
        <v>34</v>
      </c>
      <c r="AK246" s="473">
        <v>35</v>
      </c>
      <c r="AL246" s="474">
        <v>36</v>
      </c>
      <c r="AM246" s="473">
        <v>37</v>
      </c>
      <c r="AN246" s="474">
        <v>38</v>
      </c>
      <c r="AO246" s="473">
        <v>39</v>
      </c>
      <c r="AP246" s="474">
        <v>40</v>
      </c>
      <c r="AQ246" s="473">
        <v>41</v>
      </c>
      <c r="AR246" s="474">
        <v>42</v>
      </c>
    </row>
    <row r="247" spans="1:242" ht="20.100000000000001" hidden="1" customHeight="1" thickBot="1">
      <c r="A247" s="363">
        <v>1</v>
      </c>
      <c r="B247" s="1302" t="s">
        <v>623</v>
      </c>
      <c r="C247" s="1303"/>
      <c r="D247" s="1304"/>
      <c r="E247" s="475">
        <v>1</v>
      </c>
      <c r="F247" s="476">
        <v>2</v>
      </c>
      <c r="G247" s="476">
        <v>3</v>
      </c>
      <c r="H247" s="476">
        <v>4</v>
      </c>
      <c r="I247" s="476">
        <v>5</v>
      </c>
      <c r="J247" s="476">
        <v>6</v>
      </c>
      <c r="K247" s="476">
        <v>7</v>
      </c>
      <c r="L247" s="476">
        <v>8</v>
      </c>
      <c r="M247" s="476">
        <v>9</v>
      </c>
      <c r="N247" s="476">
        <v>10</v>
      </c>
      <c r="O247" s="476">
        <v>11</v>
      </c>
      <c r="P247" s="476">
        <v>12</v>
      </c>
      <c r="Q247" s="476">
        <v>13</v>
      </c>
      <c r="R247" s="475">
        <v>14</v>
      </c>
      <c r="S247" s="476">
        <v>15</v>
      </c>
      <c r="T247" s="476">
        <v>16</v>
      </c>
      <c r="U247" s="476">
        <v>17</v>
      </c>
      <c r="V247" s="476">
        <v>18</v>
      </c>
      <c r="W247" s="476">
        <v>19</v>
      </c>
      <c r="X247" s="476">
        <v>20</v>
      </c>
      <c r="Y247" s="476">
        <v>21</v>
      </c>
      <c r="Z247" s="476">
        <v>22</v>
      </c>
      <c r="AA247" s="476">
        <v>23</v>
      </c>
      <c r="AB247" s="476">
        <v>24</v>
      </c>
      <c r="AC247" s="476">
        <v>25</v>
      </c>
      <c r="AD247" s="476">
        <v>26</v>
      </c>
      <c r="AE247" s="475">
        <v>27</v>
      </c>
      <c r="AF247" s="476">
        <v>28</v>
      </c>
      <c r="AG247" s="476">
        <v>29</v>
      </c>
      <c r="AH247" s="476">
        <v>30</v>
      </c>
      <c r="AI247" s="476">
        <v>31</v>
      </c>
      <c r="AJ247" s="476">
        <v>32</v>
      </c>
      <c r="AK247" s="476">
        <v>33</v>
      </c>
      <c r="AL247" s="476">
        <v>34</v>
      </c>
      <c r="AM247" s="476">
        <v>35</v>
      </c>
      <c r="AN247" s="476">
        <v>36</v>
      </c>
      <c r="AO247" s="476">
        <v>37</v>
      </c>
      <c r="AP247" s="476">
        <v>38</v>
      </c>
      <c r="AQ247" s="476">
        <v>39</v>
      </c>
      <c r="AR247" s="476">
        <v>40</v>
      </c>
      <c r="AS247" s="476">
        <v>41</v>
      </c>
      <c r="AT247" s="476">
        <v>42</v>
      </c>
      <c r="AU247" s="476">
        <v>43</v>
      </c>
      <c r="AV247" s="476">
        <v>44</v>
      </c>
      <c r="AW247" s="476">
        <v>45</v>
      </c>
      <c r="AX247" s="476">
        <v>46</v>
      </c>
      <c r="AY247" s="476">
        <v>47</v>
      </c>
      <c r="AZ247" s="476">
        <v>48</v>
      </c>
      <c r="BA247" s="476">
        <v>49</v>
      </c>
      <c r="BB247" s="477">
        <v>50</v>
      </c>
      <c r="BC247" s="474"/>
    </row>
    <row r="248" spans="1:242" ht="19.5" hidden="1" customHeight="1">
      <c r="A248" s="363">
        <v>2</v>
      </c>
      <c r="B248" s="1305" t="s">
        <v>624</v>
      </c>
      <c r="C248" s="478" t="s">
        <v>625</v>
      </c>
      <c r="D248" s="479">
        <v>2024</v>
      </c>
      <c r="E248" s="480">
        <f ca="1">IFERROR(MATCH($B248&amp;E$247,OFFSET(INDIRECT("貼付け_"&amp;$D248&amp;"実績"),4,0,1,209),0)-1,"")</f>
        <v>33</v>
      </c>
      <c r="F248" s="480">
        <f t="shared" ref="F248:BB248" ca="1" si="93">IFERROR(MATCH($B248&amp;F$247,OFFSET(INDIRECT("貼付け_"&amp;$D248&amp;"実績"),4,0,1,209),0)-1,"")</f>
        <v>37</v>
      </c>
      <c r="G248" s="480">
        <f t="shared" ca="1" si="93"/>
        <v>41</v>
      </c>
      <c r="H248" s="480">
        <f t="shared" ca="1" si="93"/>
        <v>45</v>
      </c>
      <c r="I248" s="480">
        <f t="shared" ca="1" si="93"/>
        <v>49</v>
      </c>
      <c r="J248" s="480">
        <f t="shared" ca="1" si="93"/>
        <v>53</v>
      </c>
      <c r="K248" s="480">
        <f t="shared" ca="1" si="93"/>
        <v>57</v>
      </c>
      <c r="L248" s="480">
        <f t="shared" ca="1" si="93"/>
        <v>61</v>
      </c>
      <c r="M248" s="480">
        <f t="shared" ca="1" si="93"/>
        <v>65</v>
      </c>
      <c r="N248" s="480">
        <f t="shared" ca="1" si="93"/>
        <v>69</v>
      </c>
      <c r="O248" s="480" t="str">
        <f t="shared" ca="1" si="93"/>
        <v/>
      </c>
      <c r="P248" s="480" t="str">
        <f t="shared" ca="1" si="93"/>
        <v/>
      </c>
      <c r="Q248" s="480" t="str">
        <f t="shared" ca="1" si="93"/>
        <v/>
      </c>
      <c r="R248" s="480" t="str">
        <f t="shared" ca="1" si="93"/>
        <v/>
      </c>
      <c r="S248" s="480" t="str">
        <f t="shared" ca="1" si="93"/>
        <v/>
      </c>
      <c r="T248" s="480" t="str">
        <f t="shared" ca="1" si="93"/>
        <v/>
      </c>
      <c r="U248" s="480" t="str">
        <f t="shared" ca="1" si="93"/>
        <v/>
      </c>
      <c r="V248" s="480" t="str">
        <f t="shared" ca="1" si="93"/>
        <v/>
      </c>
      <c r="W248" s="480" t="str">
        <f t="shared" ca="1" si="93"/>
        <v/>
      </c>
      <c r="X248" s="480" t="str">
        <f t="shared" ca="1" si="93"/>
        <v/>
      </c>
      <c r="Y248" s="480" t="str">
        <f t="shared" ca="1" si="93"/>
        <v/>
      </c>
      <c r="Z248" s="480" t="str">
        <f t="shared" ca="1" si="93"/>
        <v/>
      </c>
      <c r="AA248" s="480" t="str">
        <f t="shared" ca="1" si="93"/>
        <v/>
      </c>
      <c r="AB248" s="480" t="str">
        <f t="shared" ca="1" si="93"/>
        <v/>
      </c>
      <c r="AC248" s="480" t="str">
        <f t="shared" ca="1" si="93"/>
        <v/>
      </c>
      <c r="AD248" s="480" t="str">
        <f t="shared" ca="1" si="93"/>
        <v/>
      </c>
      <c r="AE248" s="480" t="str">
        <f t="shared" ca="1" si="93"/>
        <v/>
      </c>
      <c r="AF248" s="480" t="str">
        <f t="shared" ca="1" si="93"/>
        <v/>
      </c>
      <c r="AG248" s="480" t="str">
        <f t="shared" ca="1" si="93"/>
        <v/>
      </c>
      <c r="AH248" s="480" t="str">
        <f t="shared" ca="1" si="93"/>
        <v/>
      </c>
      <c r="AI248" s="480" t="str">
        <f t="shared" ca="1" si="93"/>
        <v/>
      </c>
      <c r="AJ248" s="480" t="str">
        <f t="shared" ca="1" si="93"/>
        <v/>
      </c>
      <c r="AK248" s="480" t="str">
        <f t="shared" ca="1" si="93"/>
        <v/>
      </c>
      <c r="AL248" s="480" t="str">
        <f t="shared" ca="1" si="93"/>
        <v/>
      </c>
      <c r="AM248" s="480" t="str">
        <f t="shared" ca="1" si="93"/>
        <v/>
      </c>
      <c r="AN248" s="480" t="str">
        <f t="shared" ca="1" si="93"/>
        <v/>
      </c>
      <c r="AO248" s="480" t="str">
        <f t="shared" ca="1" si="93"/>
        <v/>
      </c>
      <c r="AP248" s="480" t="str">
        <f t="shared" ca="1" si="93"/>
        <v/>
      </c>
      <c r="AQ248" s="480" t="str">
        <f t="shared" ca="1" si="93"/>
        <v/>
      </c>
      <c r="AR248" s="480" t="str">
        <f t="shared" ca="1" si="93"/>
        <v/>
      </c>
      <c r="AS248" s="480" t="str">
        <f t="shared" ca="1" si="93"/>
        <v/>
      </c>
      <c r="AT248" s="480" t="str">
        <f t="shared" ca="1" si="93"/>
        <v/>
      </c>
      <c r="AU248" s="480" t="str">
        <f t="shared" ca="1" si="93"/>
        <v/>
      </c>
      <c r="AV248" s="480" t="str">
        <f t="shared" ca="1" si="93"/>
        <v/>
      </c>
      <c r="AW248" s="480" t="str">
        <f t="shared" ca="1" si="93"/>
        <v/>
      </c>
      <c r="AX248" s="480" t="str">
        <f t="shared" ca="1" si="93"/>
        <v/>
      </c>
      <c r="AY248" s="480" t="str">
        <f t="shared" ca="1" si="93"/>
        <v/>
      </c>
      <c r="AZ248" s="480" t="str">
        <f t="shared" ca="1" si="93"/>
        <v/>
      </c>
      <c r="BA248" s="480" t="str">
        <f t="shared" ca="1" si="93"/>
        <v/>
      </c>
      <c r="BB248" s="481" t="str">
        <f t="shared" ca="1" si="93"/>
        <v/>
      </c>
      <c r="BC248" s="363" t="str">
        <f>D248&amp;"年度"</f>
        <v>2024年度</v>
      </c>
      <c r="BD248" s="363">
        <v>1</v>
      </c>
      <c r="BE248" s="363">
        <v>2</v>
      </c>
      <c r="BF248" s="363">
        <v>3</v>
      </c>
      <c r="BG248" s="363">
        <v>4</v>
      </c>
      <c r="BH248" s="363">
        <v>5</v>
      </c>
      <c r="BI248" s="363">
        <v>6</v>
      </c>
      <c r="BJ248" s="363">
        <v>7</v>
      </c>
      <c r="BK248" s="363">
        <v>8</v>
      </c>
      <c r="BL248" s="363">
        <v>9</v>
      </c>
      <c r="BM248" s="363">
        <v>10</v>
      </c>
      <c r="BN248" s="363">
        <v>11</v>
      </c>
      <c r="BO248" s="363">
        <v>12</v>
      </c>
      <c r="BP248" s="363">
        <v>13</v>
      </c>
      <c r="BQ248" s="363">
        <v>14</v>
      </c>
      <c r="BR248" s="363">
        <v>15</v>
      </c>
      <c r="BS248" s="363">
        <v>16</v>
      </c>
      <c r="BT248" s="363">
        <v>17</v>
      </c>
      <c r="BU248" s="363">
        <v>18</v>
      </c>
      <c r="BV248" s="363">
        <v>19</v>
      </c>
      <c r="BW248" s="363">
        <v>20</v>
      </c>
      <c r="BX248" s="363">
        <v>21</v>
      </c>
      <c r="BY248" s="363">
        <v>22</v>
      </c>
      <c r="BZ248" s="363">
        <v>23</v>
      </c>
      <c r="CA248" s="363">
        <v>24</v>
      </c>
      <c r="CB248" s="363">
        <v>25</v>
      </c>
      <c r="CC248" s="363">
        <v>26</v>
      </c>
      <c r="CD248" s="363">
        <v>27</v>
      </c>
      <c r="CE248" s="363">
        <v>28</v>
      </c>
      <c r="CF248" s="363">
        <v>29</v>
      </c>
      <c r="CG248" s="363">
        <v>30</v>
      </c>
      <c r="CH248" s="363">
        <v>31</v>
      </c>
      <c r="CI248" s="363">
        <v>32</v>
      </c>
      <c r="CJ248" s="363">
        <v>33</v>
      </c>
      <c r="CK248" s="363">
        <v>34</v>
      </c>
      <c r="CL248" s="363">
        <v>35</v>
      </c>
      <c r="CM248" s="363">
        <v>36</v>
      </c>
      <c r="CN248" s="363">
        <v>37</v>
      </c>
      <c r="CO248" s="363">
        <v>38</v>
      </c>
      <c r="CP248" s="363">
        <v>39</v>
      </c>
      <c r="CQ248" s="363">
        <v>40</v>
      </c>
      <c r="CR248" s="363">
        <v>41</v>
      </c>
      <c r="CS248" s="363">
        <v>42</v>
      </c>
      <c r="CT248" s="363">
        <v>43</v>
      </c>
      <c r="CU248" s="363">
        <v>44</v>
      </c>
      <c r="CV248" s="363">
        <v>45</v>
      </c>
      <c r="CW248" s="363">
        <v>46</v>
      </c>
      <c r="CX248" s="363">
        <v>47</v>
      </c>
      <c r="CY248" s="363">
        <v>48</v>
      </c>
      <c r="CZ248" s="363">
        <v>49</v>
      </c>
      <c r="DA248" s="363">
        <v>50</v>
      </c>
    </row>
    <row r="249" spans="1:242" s="327" customFormat="1" ht="18.75" hidden="1" customHeight="1">
      <c r="A249" s="327">
        <v>3</v>
      </c>
      <c r="B249" s="1306"/>
      <c r="C249" s="482" t="str">
        <f>D248-1&amp;"/"&amp;D248</f>
        <v>2023/2024</v>
      </c>
      <c r="D249" s="483" t="str">
        <f>""</f>
        <v/>
      </c>
      <c r="E249" s="484" t="str">
        <f>""</f>
        <v/>
      </c>
      <c r="F249" s="484" t="str">
        <f>""</f>
        <v/>
      </c>
      <c r="G249" s="484" t="str">
        <f>""</f>
        <v/>
      </c>
      <c r="H249" s="484" t="str">
        <f>""</f>
        <v/>
      </c>
      <c r="I249" s="484" t="str">
        <f>""</f>
        <v/>
      </c>
      <c r="J249" s="484" t="str">
        <f>""</f>
        <v/>
      </c>
      <c r="K249" s="484" t="str">
        <f>""</f>
        <v/>
      </c>
      <c r="L249" s="484" t="str">
        <f>""</f>
        <v/>
      </c>
      <c r="M249" s="484" t="str">
        <f>""</f>
        <v/>
      </c>
      <c r="N249" s="484" t="str">
        <f>""</f>
        <v/>
      </c>
      <c r="O249" s="484" t="str">
        <f>""</f>
        <v/>
      </c>
      <c r="P249" s="484" t="str">
        <f>""</f>
        <v/>
      </c>
      <c r="Q249" s="484" t="str">
        <f>""</f>
        <v/>
      </c>
      <c r="R249" s="484" t="str">
        <f>""</f>
        <v/>
      </c>
      <c r="S249" s="484" t="str">
        <f>""</f>
        <v/>
      </c>
      <c r="T249" s="484" t="str">
        <f>""</f>
        <v/>
      </c>
      <c r="U249" s="484" t="str">
        <f>""</f>
        <v/>
      </c>
      <c r="V249" s="484" t="str">
        <f>""</f>
        <v/>
      </c>
      <c r="W249" s="484" t="str">
        <f>""</f>
        <v/>
      </c>
      <c r="X249" s="484" t="str">
        <f>""</f>
        <v/>
      </c>
      <c r="Y249" s="484" t="str">
        <f>""</f>
        <v/>
      </c>
      <c r="Z249" s="484" t="str">
        <f>""</f>
        <v/>
      </c>
      <c r="AA249" s="484" t="str">
        <f>""</f>
        <v/>
      </c>
      <c r="AB249" s="484" t="str">
        <f>""</f>
        <v/>
      </c>
      <c r="AC249" s="484" t="str">
        <f>""</f>
        <v/>
      </c>
      <c r="AD249" s="484" t="str">
        <f>""</f>
        <v/>
      </c>
      <c r="AE249" s="484" t="str">
        <f>""</f>
        <v/>
      </c>
      <c r="AF249" s="484" t="str">
        <f>""</f>
        <v/>
      </c>
      <c r="AG249" s="484" t="str">
        <f>""</f>
        <v/>
      </c>
      <c r="AH249" s="484" t="str">
        <f>""</f>
        <v/>
      </c>
      <c r="AI249" s="484" t="str">
        <f>""</f>
        <v/>
      </c>
      <c r="AJ249" s="484" t="str">
        <f>""</f>
        <v/>
      </c>
      <c r="AK249" s="484" t="str">
        <f>""</f>
        <v/>
      </c>
      <c r="AL249" s="484" t="str">
        <f>""</f>
        <v/>
      </c>
      <c r="AM249" s="484" t="str">
        <f>""</f>
        <v/>
      </c>
      <c r="AN249" s="484" t="str">
        <f>""</f>
        <v/>
      </c>
      <c r="AO249" s="484" t="str">
        <f>""</f>
        <v/>
      </c>
      <c r="AP249" s="484" t="str">
        <f>""</f>
        <v/>
      </c>
      <c r="AQ249" s="484" t="str">
        <f>""</f>
        <v/>
      </c>
      <c r="AR249" s="484" t="str">
        <f>""</f>
        <v/>
      </c>
      <c r="AS249" s="484" t="str">
        <f>""</f>
        <v/>
      </c>
      <c r="AT249" s="484" t="str">
        <f>""</f>
        <v/>
      </c>
      <c r="AU249" s="484" t="str">
        <f>""</f>
        <v/>
      </c>
      <c r="AV249" s="484" t="str">
        <f>""</f>
        <v/>
      </c>
      <c r="AW249" s="484" t="str">
        <f>""</f>
        <v/>
      </c>
      <c r="AX249" s="484" t="str">
        <f>""</f>
        <v/>
      </c>
      <c r="AY249" s="484" t="str">
        <f>""</f>
        <v/>
      </c>
      <c r="AZ249" s="484" t="str">
        <f>""</f>
        <v/>
      </c>
      <c r="BA249" s="449" t="str">
        <f>""</f>
        <v/>
      </c>
      <c r="BB249" s="447" t="str">
        <f>""</f>
        <v/>
      </c>
      <c r="BC249" s="484" t="str">
        <f>""</f>
        <v/>
      </c>
      <c r="BD249" s="484" t="str">
        <f t="shared" ref="BD249:CI249" ca="1" si="94">IFERROR(OFFSET(貼付け_2024実績,5,E248+1),"")&amp;""</f>
        <v/>
      </c>
      <c r="BE249" s="484" t="str">
        <f t="shared" ca="1" si="94"/>
        <v/>
      </c>
      <c r="BF249" s="484" t="str">
        <f t="shared" ca="1" si="94"/>
        <v/>
      </c>
      <c r="BG249" s="484" t="str">
        <f t="shared" ca="1" si="94"/>
        <v/>
      </c>
      <c r="BH249" s="484" t="str">
        <f t="shared" ca="1" si="94"/>
        <v/>
      </c>
      <c r="BI249" s="484" t="str">
        <f t="shared" ca="1" si="94"/>
        <v/>
      </c>
      <c r="BJ249" s="484" t="str">
        <f t="shared" ca="1" si="94"/>
        <v/>
      </c>
      <c r="BK249" s="484" t="str">
        <f t="shared" ca="1" si="94"/>
        <v/>
      </c>
      <c r="BL249" s="484" t="str">
        <f t="shared" ca="1" si="94"/>
        <v/>
      </c>
      <c r="BM249" s="484" t="str">
        <f t="shared" ca="1" si="94"/>
        <v/>
      </c>
      <c r="BN249" s="484" t="str">
        <f t="shared" ca="1" si="94"/>
        <v/>
      </c>
      <c r="BO249" s="484" t="str">
        <f t="shared" ca="1" si="94"/>
        <v/>
      </c>
      <c r="BP249" s="484" t="str">
        <f t="shared" ca="1" si="94"/>
        <v/>
      </c>
      <c r="BQ249" s="484" t="str">
        <f t="shared" ca="1" si="94"/>
        <v/>
      </c>
      <c r="BR249" s="484" t="str">
        <f t="shared" ca="1" si="94"/>
        <v/>
      </c>
      <c r="BS249" s="484" t="str">
        <f t="shared" ca="1" si="94"/>
        <v/>
      </c>
      <c r="BT249" s="484" t="str">
        <f t="shared" ca="1" si="94"/>
        <v/>
      </c>
      <c r="BU249" s="484" t="str">
        <f t="shared" ca="1" si="94"/>
        <v/>
      </c>
      <c r="BV249" s="484" t="str">
        <f t="shared" ca="1" si="94"/>
        <v/>
      </c>
      <c r="BW249" s="484" t="str">
        <f t="shared" ca="1" si="94"/>
        <v/>
      </c>
      <c r="BX249" s="484" t="str">
        <f t="shared" ca="1" si="94"/>
        <v/>
      </c>
      <c r="BY249" s="484" t="str">
        <f t="shared" ca="1" si="94"/>
        <v/>
      </c>
      <c r="BZ249" s="484" t="str">
        <f t="shared" ca="1" si="94"/>
        <v/>
      </c>
      <c r="CA249" s="484" t="str">
        <f t="shared" ca="1" si="94"/>
        <v/>
      </c>
      <c r="CB249" s="484" t="str">
        <f t="shared" ca="1" si="94"/>
        <v/>
      </c>
      <c r="CC249" s="484" t="str">
        <f t="shared" ca="1" si="94"/>
        <v/>
      </c>
      <c r="CD249" s="484" t="str">
        <f t="shared" ca="1" si="94"/>
        <v/>
      </c>
      <c r="CE249" s="484" t="str">
        <f t="shared" ca="1" si="94"/>
        <v/>
      </c>
      <c r="CF249" s="484" t="str">
        <f t="shared" ca="1" si="94"/>
        <v/>
      </c>
      <c r="CG249" s="484" t="str">
        <f t="shared" ca="1" si="94"/>
        <v/>
      </c>
      <c r="CH249" s="484" t="str">
        <f t="shared" ca="1" si="94"/>
        <v/>
      </c>
      <c r="CI249" s="484" t="str">
        <f t="shared" ca="1" si="94"/>
        <v/>
      </c>
      <c r="CJ249" s="484" t="str">
        <f t="shared" ref="CJ249:DA249" ca="1" si="95">IFERROR(OFFSET(貼付け_2024実績,5,AK248+1),"")&amp;""</f>
        <v/>
      </c>
      <c r="CK249" s="484" t="str">
        <f t="shared" ca="1" si="95"/>
        <v/>
      </c>
      <c r="CL249" s="484" t="str">
        <f t="shared" ca="1" si="95"/>
        <v/>
      </c>
      <c r="CM249" s="484" t="str">
        <f t="shared" ca="1" si="95"/>
        <v/>
      </c>
      <c r="CN249" s="484" t="str">
        <f t="shared" ca="1" si="95"/>
        <v/>
      </c>
      <c r="CO249" s="484" t="str">
        <f t="shared" ca="1" si="95"/>
        <v/>
      </c>
      <c r="CP249" s="484" t="str">
        <f t="shared" ca="1" si="95"/>
        <v/>
      </c>
      <c r="CQ249" s="484" t="str">
        <f t="shared" ca="1" si="95"/>
        <v/>
      </c>
      <c r="CR249" s="484" t="str">
        <f t="shared" ca="1" si="95"/>
        <v/>
      </c>
      <c r="CS249" s="484" t="str">
        <f t="shared" ca="1" si="95"/>
        <v/>
      </c>
      <c r="CT249" s="484" t="str">
        <f t="shared" ca="1" si="95"/>
        <v/>
      </c>
      <c r="CU249" s="484" t="str">
        <f t="shared" ca="1" si="95"/>
        <v/>
      </c>
      <c r="CV249" s="484" t="str">
        <f t="shared" ca="1" si="95"/>
        <v/>
      </c>
      <c r="CW249" s="484" t="str">
        <f t="shared" ca="1" si="95"/>
        <v/>
      </c>
      <c r="CX249" s="484" t="str">
        <f t="shared" ca="1" si="95"/>
        <v/>
      </c>
      <c r="CY249" s="484" t="str">
        <f t="shared" ca="1" si="95"/>
        <v/>
      </c>
      <c r="CZ249" s="484" t="str">
        <f t="shared" ca="1" si="95"/>
        <v/>
      </c>
      <c r="DA249" s="484" t="str">
        <f t="shared" ca="1" si="95"/>
        <v/>
      </c>
      <c r="IE249" s="485"/>
      <c r="IF249" s="485"/>
      <c r="IG249" s="485"/>
      <c r="IH249" s="485"/>
    </row>
    <row r="250" spans="1:242" s="327" customFormat="1" ht="19.5" hidden="1" customHeight="1">
      <c r="A250" s="327">
        <v>4</v>
      </c>
      <c r="B250" s="1306"/>
      <c r="C250" s="482" t="str">
        <f>D248-1&amp;"&amp;"&amp;D248</f>
        <v>2023&amp;2024</v>
      </c>
      <c r="D250" s="483" t="str">
        <f>""</f>
        <v/>
      </c>
      <c r="E250" s="484" t="str">
        <f t="array" aca="1" ref="E250" ca="1">IFERROR(INDEX($E249:$DA249,MATCH(0,COUNTIF($D250:D250,$E249:$DA249),0)),"")</f>
        <v/>
      </c>
      <c r="F250" s="484" t="str">
        <f t="array" aca="1" ref="F250" ca="1">IFERROR(INDEX($E249:$DA249,MATCH(0,COUNTIF($D250:E250,$E249:$DA249),0)),"")</f>
        <v/>
      </c>
      <c r="G250" s="484" t="str">
        <f t="array" aca="1" ref="G250" ca="1">IFERROR(INDEX($E249:$DA249,MATCH(0,COUNTIF($D250:F250,$E249:$DA249),0)),"")</f>
        <v/>
      </c>
      <c r="H250" s="484" t="str">
        <f t="array" aca="1" ref="H250" ca="1">IFERROR(INDEX($E249:$DA249,MATCH(0,COUNTIF($D250:G250,$E249:$DA249),0)),"")</f>
        <v/>
      </c>
      <c r="I250" s="484" t="str">
        <f t="array" aca="1" ref="I250" ca="1">IFERROR(INDEX($E249:$DA249,MATCH(0,COUNTIF($D250:H250,$E249:$DA249),0)),"")</f>
        <v/>
      </c>
      <c r="J250" s="484" t="str">
        <f t="array" aca="1" ref="J250" ca="1">IFERROR(INDEX($E249:$DA249,MATCH(0,COUNTIF($D250:I250,$E249:$DA249),0)),"")</f>
        <v/>
      </c>
      <c r="K250" s="484" t="str">
        <f t="array" aca="1" ref="K250" ca="1">IFERROR(INDEX($E249:$DA249,MATCH(0,COUNTIF($D250:J250,$E249:$DA249),0)),"")</f>
        <v/>
      </c>
      <c r="L250" s="484" t="str">
        <f t="array" aca="1" ref="L250" ca="1">IFERROR(INDEX($E249:$DA249,MATCH(0,COUNTIF($D250:K250,$E249:$DA249),0)),"")</f>
        <v/>
      </c>
      <c r="M250" s="484" t="str">
        <f t="array" aca="1" ref="M250" ca="1">IFERROR(INDEX($E249:$DA249,MATCH(0,COUNTIF($D250:L250,$E249:$DA249),0)),"")</f>
        <v/>
      </c>
      <c r="N250" s="484" t="str">
        <f t="array" aca="1" ref="N250" ca="1">IFERROR(INDEX($E249:$DA249,MATCH(0,COUNTIF($D250:M250,$E249:$DA249),0)),"")</f>
        <v/>
      </c>
      <c r="O250" s="484" t="str">
        <f t="array" aca="1" ref="O250" ca="1">IFERROR(INDEX($E249:$DA249,MATCH(0,COUNTIF($D250:N250,$E249:$DA249),0)),"")</f>
        <v/>
      </c>
      <c r="P250" s="484" t="str">
        <f t="array" aca="1" ref="P250" ca="1">IFERROR(INDEX($E249:$DA249,MATCH(0,COUNTIF($D250:O250,$E249:$DA249),0)),"")</f>
        <v/>
      </c>
      <c r="Q250" s="484" t="str">
        <f t="array" aca="1" ref="Q250" ca="1">IFERROR(INDEX($E249:$DA249,MATCH(0,COUNTIF($D250:P250,$E249:$DA249),0)),"")</f>
        <v/>
      </c>
      <c r="R250" s="484" t="str">
        <f t="array" aca="1" ref="R250" ca="1">IFERROR(INDEX($E249:$DA249,MATCH(0,COUNTIF($D250:Q250,$E249:$DA249),0)),"")</f>
        <v/>
      </c>
      <c r="S250" s="484" t="str">
        <f t="array" aca="1" ref="S250" ca="1">IFERROR(INDEX($E249:$DA249,MATCH(0,COUNTIF($D250:R250,$E249:$DA249),0)),"")</f>
        <v/>
      </c>
      <c r="T250" s="484" t="str">
        <f t="array" aca="1" ref="T250" ca="1">IFERROR(INDEX($E249:$DA249,MATCH(0,COUNTIF($D250:S250,$E249:$DA249),0)),"")</f>
        <v/>
      </c>
      <c r="U250" s="484" t="str">
        <f t="array" aca="1" ref="U250" ca="1">IFERROR(INDEX($E249:$DA249,MATCH(0,COUNTIF($D250:T250,$E249:$DA249),0)),"")</f>
        <v/>
      </c>
      <c r="V250" s="484" t="str">
        <f t="array" aca="1" ref="V250" ca="1">IFERROR(INDEX($E249:$DA249,MATCH(0,COUNTIF($D250:U250,$E249:$DA249),0)),"")</f>
        <v/>
      </c>
      <c r="W250" s="484" t="str">
        <f t="array" aca="1" ref="W250" ca="1">IFERROR(INDEX($E249:$DA249,MATCH(0,COUNTIF($D250:V250,$E249:$DA249),0)),"")</f>
        <v/>
      </c>
      <c r="X250" s="484" t="str">
        <f t="array" aca="1" ref="X250" ca="1">IFERROR(INDEX($E249:$DA249,MATCH(0,COUNTIF($D250:W250,$E249:$DA249),0)),"")</f>
        <v/>
      </c>
      <c r="Y250" s="484" t="str">
        <f t="array" aca="1" ref="Y250" ca="1">IFERROR(INDEX($E249:$DA249,MATCH(0,COUNTIF($D250:X250,$E249:$DA249),0)),"")</f>
        <v/>
      </c>
      <c r="Z250" s="484" t="str">
        <f t="array" aca="1" ref="Z250" ca="1">IFERROR(INDEX($E249:$DA249,MATCH(0,COUNTIF($D250:Y250,$E249:$DA249),0)),"")</f>
        <v/>
      </c>
      <c r="AA250" s="484" t="str">
        <f t="array" aca="1" ref="AA250" ca="1">IFERROR(INDEX($E249:$DA249,MATCH(0,COUNTIF($D250:Z250,$E249:$DA249),0)),"")</f>
        <v/>
      </c>
      <c r="AB250" s="484" t="str">
        <f t="array" aca="1" ref="AB250" ca="1">IFERROR(INDEX($E249:$DA249,MATCH(0,COUNTIF($D250:AA250,$E249:$DA249),0)),"")</f>
        <v/>
      </c>
      <c r="AC250" s="484" t="str">
        <f t="array" aca="1" ref="AC250" ca="1">IFERROR(INDEX($E249:$DA249,MATCH(0,COUNTIF($D250:AB250,$E249:$DA249),0)),"")</f>
        <v/>
      </c>
      <c r="AD250" s="484" t="str">
        <f t="array" aca="1" ref="AD250" ca="1">IFERROR(INDEX($E249:$DA249,MATCH(0,COUNTIF($D250:AC250,$E249:$DA249),0)),"")</f>
        <v/>
      </c>
      <c r="AE250" s="484" t="str">
        <f t="array" aca="1" ref="AE250" ca="1">IFERROR(INDEX($E249:$DA249,MATCH(0,COUNTIF($D250:AD250,$E249:$DA249),0)),"")</f>
        <v/>
      </c>
      <c r="AF250" s="484" t="str">
        <f t="array" aca="1" ref="AF250" ca="1">IFERROR(INDEX($E249:$DA249,MATCH(0,COUNTIF($D250:AE250,$E249:$DA249),0)),"")</f>
        <v/>
      </c>
      <c r="AG250" s="484" t="str">
        <f t="array" aca="1" ref="AG250" ca="1">IFERROR(INDEX($E249:$DA249,MATCH(0,COUNTIF($D250:AF250,$E249:$DA249),0)),"")</f>
        <v/>
      </c>
      <c r="AH250" s="484" t="str">
        <f t="array" aca="1" ref="AH250" ca="1">IFERROR(INDEX($E249:$DA249,MATCH(0,COUNTIF($D250:AG250,$E249:$DA249),0)),"")</f>
        <v/>
      </c>
      <c r="AI250" s="484" t="str">
        <f t="array" aca="1" ref="AI250" ca="1">IFERROR(INDEX($E249:$DA249,MATCH(0,COUNTIF($D250:AH250,$E249:$DA249),0)),"")</f>
        <v/>
      </c>
      <c r="AJ250" s="484" t="str">
        <f t="array" aca="1" ref="AJ250" ca="1">IFERROR(INDEX($E249:$DA249,MATCH(0,COUNTIF($D250:AI250,$E249:$DA249),0)),"")</f>
        <v/>
      </c>
      <c r="AK250" s="484" t="str">
        <f t="array" aca="1" ref="AK250" ca="1">IFERROR(INDEX($E249:$DA249,MATCH(0,COUNTIF($D250:AJ250,$E249:$DA249),0)),"")</f>
        <v/>
      </c>
      <c r="AL250" s="484" t="str">
        <f t="array" aca="1" ref="AL250" ca="1">IFERROR(INDEX($E249:$DA249,MATCH(0,COUNTIF($D250:AK250,$E249:$DA249),0)),"")</f>
        <v/>
      </c>
      <c r="AM250" s="484" t="str">
        <f t="array" aca="1" ref="AM250" ca="1">IFERROR(INDEX($E249:$DA249,MATCH(0,COUNTIF($D250:AL250,$E249:$DA249),0)),"")</f>
        <v/>
      </c>
      <c r="AN250" s="484" t="str">
        <f t="array" aca="1" ref="AN250" ca="1">IFERROR(INDEX($E249:$DA249,MATCH(0,COUNTIF($D250:AM250,$E249:$DA249),0)),"")</f>
        <v/>
      </c>
      <c r="AO250" s="484" t="str">
        <f t="array" aca="1" ref="AO250" ca="1">IFERROR(INDEX($E249:$DA249,MATCH(0,COUNTIF($D250:AN250,$E249:$DA249),0)),"")</f>
        <v/>
      </c>
      <c r="AP250" s="484" t="str">
        <f t="array" aca="1" ref="AP250" ca="1">IFERROR(INDEX($E249:$DA249,MATCH(0,COUNTIF($D250:AO250,$E249:$DA249),0)),"")</f>
        <v/>
      </c>
      <c r="AQ250" s="484" t="str">
        <f t="array" aca="1" ref="AQ250" ca="1">IFERROR(INDEX($E249:$DA249,MATCH(0,COUNTIF($D250:AP250,$E249:$DA249),0)),"")</f>
        <v/>
      </c>
      <c r="AR250" s="484" t="str">
        <f t="array" aca="1" ref="AR250" ca="1">IFERROR(INDEX($E249:$DA249,MATCH(0,COUNTIF($D250:AQ250,$E249:$DA249),0)),"")</f>
        <v/>
      </c>
      <c r="AS250" s="484" t="str">
        <f t="array" aca="1" ref="AS250" ca="1">IFERROR(INDEX($E249:$DA249,MATCH(0,COUNTIF($D250:AR250,$E249:$DA249),0)),"")</f>
        <v/>
      </c>
      <c r="AT250" s="484" t="str">
        <f t="array" aca="1" ref="AT250" ca="1">IFERROR(INDEX($E249:$DA249,MATCH(0,COUNTIF($D250:AS250,$E249:$DA249),0)),"")</f>
        <v/>
      </c>
      <c r="AU250" s="484" t="str">
        <f t="array" aca="1" ref="AU250" ca="1">IFERROR(INDEX($E249:$DA249,MATCH(0,COUNTIF($D250:AT250,$E249:$DA249),0)),"")</f>
        <v/>
      </c>
      <c r="AV250" s="484" t="str">
        <f t="array" aca="1" ref="AV250" ca="1">IFERROR(INDEX($E249:$DA249,MATCH(0,COUNTIF($D250:AU250,$E249:$DA249),0)),"")</f>
        <v/>
      </c>
      <c r="AW250" s="484" t="str">
        <f t="array" aca="1" ref="AW250" ca="1">IFERROR(INDEX($E249:$DA249,MATCH(0,COUNTIF($D250:AV250,$E249:$DA249),0)),"")</f>
        <v/>
      </c>
      <c r="AX250" s="484" t="str">
        <f t="array" aca="1" ref="AX250" ca="1">IFERROR(INDEX($E249:$DA249,MATCH(0,COUNTIF($D250:AW250,$E249:$DA249),0)),"")</f>
        <v/>
      </c>
      <c r="AY250" s="484" t="str">
        <f t="array" aca="1" ref="AY250" ca="1">IFERROR(INDEX($E249:$DA249,MATCH(0,COUNTIF($D250:AX250,$E249:$DA249),0)),"")</f>
        <v/>
      </c>
      <c r="AZ250" s="484" t="str">
        <f t="array" aca="1" ref="AZ250" ca="1">IFERROR(INDEX($E249:$DA249,MATCH(0,COUNTIF($D250:AY250,$E249:$DA249),0)),"")</f>
        <v/>
      </c>
      <c r="BA250" s="449" t="str">
        <f t="array" aca="1" ref="BA250" ca="1">IFERROR(INDEX($E249:$DA249,MATCH(0,COUNTIF($D250:AZ250,$E249:$DA249),0)),"")</f>
        <v/>
      </c>
      <c r="BB250" s="447" t="str">
        <f t="array" aca="1" ref="BB250" ca="1">IFERROR(INDEX($E249:$DA249,MATCH(0,COUNTIF($D250:BA250,$E249:$DA249),0)),"")</f>
        <v/>
      </c>
      <c r="BC250" s="486"/>
      <c r="BD250" s="486" t="str">
        <f>""</f>
        <v/>
      </c>
      <c r="BE250" s="486"/>
      <c r="BF250" s="486"/>
      <c r="BG250" s="486"/>
      <c r="BH250" s="486"/>
      <c r="BI250" s="486"/>
      <c r="BJ250" s="486"/>
      <c r="BK250" s="486"/>
      <c r="BL250" s="486"/>
      <c r="BM250" s="486"/>
      <c r="BN250" s="486"/>
      <c r="BO250" s="486"/>
      <c r="BP250" s="486"/>
      <c r="BQ250" s="486"/>
      <c r="BR250" s="486"/>
      <c r="BS250" s="486"/>
      <c r="BT250" s="486"/>
      <c r="BU250" s="486"/>
      <c r="BV250" s="486"/>
      <c r="BW250" s="486"/>
      <c r="IE250" s="485"/>
      <c r="IF250" s="485"/>
      <c r="IG250" s="485"/>
      <c r="IH250" s="485"/>
    </row>
    <row r="251" spans="1:242" s="327" customFormat="1" hidden="1">
      <c r="A251" s="327">
        <v>5</v>
      </c>
      <c r="B251" s="1306"/>
      <c r="C251" s="482" t="s">
        <v>626</v>
      </c>
      <c r="D251" s="483" t="str">
        <f>""</f>
        <v/>
      </c>
      <c r="E251" s="484" t="str">
        <f t="shared" ref="E251:AJ251" ca="1" si="96">IF(OFFSET(貼付け_2024実績,2,12)="■",BD249,IFERROR(INDEX($BD249:$DA249,MATCH(E250,$BD249:$DA249,0)),""))</f>
        <v/>
      </c>
      <c r="F251" s="484" t="str">
        <f t="shared" ca="1" si="96"/>
        <v/>
      </c>
      <c r="G251" s="484" t="str">
        <f t="shared" ca="1" si="96"/>
        <v/>
      </c>
      <c r="H251" s="484" t="str">
        <f t="shared" ca="1" si="96"/>
        <v/>
      </c>
      <c r="I251" s="484" t="str">
        <f t="shared" ca="1" si="96"/>
        <v/>
      </c>
      <c r="J251" s="484" t="str">
        <f t="shared" ca="1" si="96"/>
        <v/>
      </c>
      <c r="K251" s="484" t="str">
        <f t="shared" ca="1" si="96"/>
        <v/>
      </c>
      <c r="L251" s="484" t="str">
        <f t="shared" ca="1" si="96"/>
        <v/>
      </c>
      <c r="M251" s="484" t="str">
        <f t="shared" ca="1" si="96"/>
        <v/>
      </c>
      <c r="N251" s="484" t="str">
        <f t="shared" ca="1" si="96"/>
        <v/>
      </c>
      <c r="O251" s="484" t="str">
        <f t="shared" ca="1" si="96"/>
        <v/>
      </c>
      <c r="P251" s="484" t="str">
        <f t="shared" ca="1" si="96"/>
        <v/>
      </c>
      <c r="Q251" s="484" t="str">
        <f t="shared" ca="1" si="96"/>
        <v/>
      </c>
      <c r="R251" s="484" t="str">
        <f t="shared" ca="1" si="96"/>
        <v/>
      </c>
      <c r="S251" s="484" t="str">
        <f t="shared" ca="1" si="96"/>
        <v/>
      </c>
      <c r="T251" s="484" t="str">
        <f t="shared" ca="1" si="96"/>
        <v/>
      </c>
      <c r="U251" s="484" t="str">
        <f t="shared" ca="1" si="96"/>
        <v/>
      </c>
      <c r="V251" s="484" t="str">
        <f t="shared" ca="1" si="96"/>
        <v/>
      </c>
      <c r="W251" s="484" t="str">
        <f t="shared" ca="1" si="96"/>
        <v/>
      </c>
      <c r="X251" s="484" t="str">
        <f t="shared" ca="1" si="96"/>
        <v/>
      </c>
      <c r="Y251" s="484" t="str">
        <f t="shared" ca="1" si="96"/>
        <v/>
      </c>
      <c r="Z251" s="484" t="str">
        <f t="shared" ca="1" si="96"/>
        <v/>
      </c>
      <c r="AA251" s="484" t="str">
        <f t="shared" ca="1" si="96"/>
        <v/>
      </c>
      <c r="AB251" s="484" t="str">
        <f t="shared" ca="1" si="96"/>
        <v/>
      </c>
      <c r="AC251" s="484" t="str">
        <f t="shared" ca="1" si="96"/>
        <v/>
      </c>
      <c r="AD251" s="484" t="str">
        <f t="shared" ca="1" si="96"/>
        <v/>
      </c>
      <c r="AE251" s="484" t="str">
        <f t="shared" ca="1" si="96"/>
        <v/>
      </c>
      <c r="AF251" s="484" t="str">
        <f t="shared" ca="1" si="96"/>
        <v/>
      </c>
      <c r="AG251" s="484" t="str">
        <f t="shared" ca="1" si="96"/>
        <v/>
      </c>
      <c r="AH251" s="484" t="str">
        <f t="shared" ca="1" si="96"/>
        <v/>
      </c>
      <c r="AI251" s="484" t="str">
        <f t="shared" ca="1" si="96"/>
        <v/>
      </c>
      <c r="AJ251" s="484" t="str">
        <f t="shared" ca="1" si="96"/>
        <v/>
      </c>
      <c r="AK251" s="484" t="str">
        <f t="shared" ref="AK251:BB251" ca="1" si="97">IF(OFFSET(貼付け_2024実績,2,12)="■",CJ249,IFERROR(INDEX($BD249:$DA249,MATCH(AK250,$BD249:$DA249,0)),""))</f>
        <v/>
      </c>
      <c r="AL251" s="484" t="str">
        <f t="shared" ca="1" si="97"/>
        <v/>
      </c>
      <c r="AM251" s="484" t="str">
        <f t="shared" ca="1" si="97"/>
        <v/>
      </c>
      <c r="AN251" s="484" t="str">
        <f t="shared" ca="1" si="97"/>
        <v/>
      </c>
      <c r="AO251" s="484" t="str">
        <f t="shared" ca="1" si="97"/>
        <v/>
      </c>
      <c r="AP251" s="484" t="str">
        <f t="shared" ca="1" si="97"/>
        <v/>
      </c>
      <c r="AQ251" s="484" t="str">
        <f t="shared" ca="1" si="97"/>
        <v/>
      </c>
      <c r="AR251" s="484" t="str">
        <f t="shared" ca="1" si="97"/>
        <v/>
      </c>
      <c r="AS251" s="484" t="str">
        <f t="shared" ca="1" si="97"/>
        <v/>
      </c>
      <c r="AT251" s="484" t="str">
        <f t="shared" ca="1" si="97"/>
        <v/>
      </c>
      <c r="AU251" s="484" t="str">
        <f t="shared" ca="1" si="97"/>
        <v/>
      </c>
      <c r="AV251" s="484" t="str">
        <f t="shared" ca="1" si="97"/>
        <v/>
      </c>
      <c r="AW251" s="484" t="str">
        <f t="shared" ca="1" si="97"/>
        <v/>
      </c>
      <c r="AX251" s="484" t="str">
        <f t="shared" ca="1" si="97"/>
        <v/>
      </c>
      <c r="AY251" s="484" t="str">
        <f t="shared" ca="1" si="97"/>
        <v/>
      </c>
      <c r="AZ251" s="484" t="str">
        <f t="shared" ca="1" si="97"/>
        <v/>
      </c>
      <c r="BA251" s="449" t="str">
        <f t="shared" ca="1" si="97"/>
        <v/>
      </c>
      <c r="BB251" s="447" t="str">
        <f t="shared" ca="1" si="97"/>
        <v/>
      </c>
      <c r="BD251" s="327" t="str">
        <f>""</f>
        <v/>
      </c>
      <c r="IE251" s="485"/>
      <c r="IF251" s="485"/>
      <c r="IG251" s="485"/>
      <c r="IH251" s="485"/>
    </row>
    <row r="252" spans="1:242" s="327" customFormat="1" hidden="1">
      <c r="A252" s="327">
        <v>6</v>
      </c>
      <c r="B252" s="1306"/>
      <c r="C252" s="487" t="s">
        <v>627</v>
      </c>
      <c r="D252" s="488">
        <v>2</v>
      </c>
      <c r="E252" s="489" t="str">
        <f t="shared" ref="E252:AJ252" ca="1" si="98">OFFSET(A1_名称2024,E$247+2,$D252)&amp;""</f>
        <v/>
      </c>
      <c r="F252" s="489" t="str">
        <f t="shared" ca="1" si="98"/>
        <v/>
      </c>
      <c r="G252" s="489" t="str">
        <f t="shared" ca="1" si="98"/>
        <v/>
      </c>
      <c r="H252" s="489" t="str">
        <f t="shared" ca="1" si="98"/>
        <v/>
      </c>
      <c r="I252" s="489" t="str">
        <f t="shared" ca="1" si="98"/>
        <v/>
      </c>
      <c r="J252" s="489" t="str">
        <f t="shared" ca="1" si="98"/>
        <v/>
      </c>
      <c r="K252" s="489" t="str">
        <f t="shared" ca="1" si="98"/>
        <v/>
      </c>
      <c r="L252" s="489" t="str">
        <f t="shared" ca="1" si="98"/>
        <v/>
      </c>
      <c r="M252" s="489" t="str">
        <f t="shared" ca="1" si="98"/>
        <v/>
      </c>
      <c r="N252" s="489" t="str">
        <f t="shared" ca="1" si="98"/>
        <v/>
      </c>
      <c r="O252" s="489" t="str">
        <f t="shared" ca="1" si="98"/>
        <v/>
      </c>
      <c r="P252" s="489" t="str">
        <f t="shared" ca="1" si="98"/>
        <v/>
      </c>
      <c r="Q252" s="489" t="str">
        <f t="shared" ca="1" si="98"/>
        <v/>
      </c>
      <c r="R252" s="489" t="str">
        <f t="shared" ca="1" si="98"/>
        <v/>
      </c>
      <c r="S252" s="489" t="str">
        <f t="shared" ca="1" si="98"/>
        <v/>
      </c>
      <c r="T252" s="489" t="str">
        <f t="shared" ca="1" si="98"/>
        <v/>
      </c>
      <c r="U252" s="489" t="str">
        <f t="shared" ca="1" si="98"/>
        <v/>
      </c>
      <c r="V252" s="489" t="str">
        <f t="shared" ca="1" si="98"/>
        <v/>
      </c>
      <c r="W252" s="489" t="str">
        <f t="shared" ca="1" si="98"/>
        <v/>
      </c>
      <c r="X252" s="489" t="str">
        <f t="shared" ca="1" si="98"/>
        <v/>
      </c>
      <c r="Y252" s="489" t="str">
        <f t="shared" ca="1" si="98"/>
        <v/>
      </c>
      <c r="Z252" s="489" t="str">
        <f t="shared" ca="1" si="98"/>
        <v/>
      </c>
      <c r="AA252" s="489" t="str">
        <f t="shared" ca="1" si="98"/>
        <v/>
      </c>
      <c r="AB252" s="489" t="str">
        <f t="shared" ca="1" si="98"/>
        <v/>
      </c>
      <c r="AC252" s="489" t="str">
        <f t="shared" ca="1" si="98"/>
        <v/>
      </c>
      <c r="AD252" s="489" t="str">
        <f t="shared" ca="1" si="98"/>
        <v/>
      </c>
      <c r="AE252" s="489" t="str">
        <f t="shared" ca="1" si="98"/>
        <v/>
      </c>
      <c r="AF252" s="489" t="str">
        <f t="shared" ca="1" si="98"/>
        <v/>
      </c>
      <c r="AG252" s="489" t="str">
        <f t="shared" ca="1" si="98"/>
        <v/>
      </c>
      <c r="AH252" s="489" t="str">
        <f t="shared" ca="1" si="98"/>
        <v/>
      </c>
      <c r="AI252" s="489" t="str">
        <f t="shared" ca="1" si="98"/>
        <v/>
      </c>
      <c r="AJ252" s="489" t="str">
        <f t="shared" ca="1" si="98"/>
        <v/>
      </c>
      <c r="AK252" s="489" t="str">
        <f t="shared" ref="AK252:BB252" ca="1" si="99">OFFSET(A1_名称2024,AK$247+2,$D252)&amp;""</f>
        <v/>
      </c>
      <c r="AL252" s="489" t="str">
        <f t="shared" ca="1" si="99"/>
        <v/>
      </c>
      <c r="AM252" s="489" t="str">
        <f t="shared" ca="1" si="99"/>
        <v/>
      </c>
      <c r="AN252" s="489" t="str">
        <f t="shared" ca="1" si="99"/>
        <v/>
      </c>
      <c r="AO252" s="489" t="str">
        <f t="shared" ca="1" si="99"/>
        <v/>
      </c>
      <c r="AP252" s="489" t="str">
        <f t="shared" ca="1" si="99"/>
        <v/>
      </c>
      <c r="AQ252" s="489" t="str">
        <f t="shared" ca="1" si="99"/>
        <v/>
      </c>
      <c r="AR252" s="489" t="str">
        <f t="shared" ca="1" si="99"/>
        <v/>
      </c>
      <c r="AS252" s="489" t="str">
        <f t="shared" ca="1" si="99"/>
        <v/>
      </c>
      <c r="AT252" s="489" t="str">
        <f t="shared" ca="1" si="99"/>
        <v/>
      </c>
      <c r="AU252" s="489" t="str">
        <f t="shared" ca="1" si="99"/>
        <v/>
      </c>
      <c r="AV252" s="489" t="str">
        <f t="shared" ca="1" si="99"/>
        <v/>
      </c>
      <c r="AW252" s="489" t="str">
        <f t="shared" ca="1" si="99"/>
        <v/>
      </c>
      <c r="AX252" s="489" t="str">
        <f t="shared" ca="1" si="99"/>
        <v/>
      </c>
      <c r="AY252" s="489" t="str">
        <f t="shared" ca="1" si="99"/>
        <v/>
      </c>
      <c r="AZ252" s="489" t="str">
        <f t="shared" ca="1" si="99"/>
        <v/>
      </c>
      <c r="BA252" s="490" t="str">
        <f t="shared" ca="1" si="99"/>
        <v/>
      </c>
      <c r="BB252" s="491" t="str">
        <f t="shared" ca="1" si="99"/>
        <v/>
      </c>
      <c r="IE252" s="485"/>
      <c r="IF252" s="485"/>
      <c r="IG252" s="485"/>
      <c r="IH252" s="485"/>
    </row>
    <row r="253" spans="1:242" s="327" customFormat="1" hidden="1">
      <c r="A253" s="327">
        <v>7</v>
      </c>
      <c r="B253" s="1306"/>
      <c r="C253" s="482" t="s">
        <v>628</v>
      </c>
      <c r="D253" s="483"/>
      <c r="E253" s="484" t="str">
        <f ca="1">IF(E252="","",IFERROR(INDEX($E248:$BB248,MATCH(E252,$BD249:$DA249,0)),""))</f>
        <v/>
      </c>
      <c r="F253" s="484" t="str">
        <f t="shared" ref="F253:BB253" ca="1" si="100">IF(F252="","",IFERROR(INDEX($E248:$BB248,MATCH(F252,$BD249:$DA249,0)),""))</f>
        <v/>
      </c>
      <c r="G253" s="484" t="str">
        <f t="shared" ca="1" si="100"/>
        <v/>
      </c>
      <c r="H253" s="484" t="str">
        <f t="shared" ca="1" si="100"/>
        <v/>
      </c>
      <c r="I253" s="484" t="str">
        <f t="shared" ca="1" si="100"/>
        <v/>
      </c>
      <c r="J253" s="484" t="str">
        <f t="shared" ca="1" si="100"/>
        <v/>
      </c>
      <c r="K253" s="484" t="str">
        <f t="shared" ca="1" si="100"/>
        <v/>
      </c>
      <c r="L253" s="484" t="str">
        <f t="shared" ca="1" si="100"/>
        <v/>
      </c>
      <c r="M253" s="484" t="str">
        <f t="shared" ca="1" si="100"/>
        <v/>
      </c>
      <c r="N253" s="484" t="str">
        <f t="shared" ca="1" si="100"/>
        <v/>
      </c>
      <c r="O253" s="484" t="str">
        <f t="shared" ca="1" si="100"/>
        <v/>
      </c>
      <c r="P253" s="484" t="str">
        <f t="shared" ca="1" si="100"/>
        <v/>
      </c>
      <c r="Q253" s="484" t="str">
        <f t="shared" ca="1" si="100"/>
        <v/>
      </c>
      <c r="R253" s="484" t="str">
        <f t="shared" ca="1" si="100"/>
        <v/>
      </c>
      <c r="S253" s="484" t="str">
        <f t="shared" ca="1" si="100"/>
        <v/>
      </c>
      <c r="T253" s="484" t="str">
        <f t="shared" ca="1" si="100"/>
        <v/>
      </c>
      <c r="U253" s="484" t="str">
        <f t="shared" ca="1" si="100"/>
        <v/>
      </c>
      <c r="V253" s="484" t="str">
        <f t="shared" ca="1" si="100"/>
        <v/>
      </c>
      <c r="W253" s="484" t="str">
        <f t="shared" ca="1" si="100"/>
        <v/>
      </c>
      <c r="X253" s="484" t="str">
        <f t="shared" ca="1" si="100"/>
        <v/>
      </c>
      <c r="Y253" s="484" t="str">
        <f t="shared" ca="1" si="100"/>
        <v/>
      </c>
      <c r="Z253" s="484" t="str">
        <f t="shared" ca="1" si="100"/>
        <v/>
      </c>
      <c r="AA253" s="484" t="str">
        <f t="shared" ca="1" si="100"/>
        <v/>
      </c>
      <c r="AB253" s="484" t="str">
        <f t="shared" ca="1" si="100"/>
        <v/>
      </c>
      <c r="AC253" s="484" t="str">
        <f t="shared" ca="1" si="100"/>
        <v/>
      </c>
      <c r="AD253" s="484" t="str">
        <f t="shared" ca="1" si="100"/>
        <v/>
      </c>
      <c r="AE253" s="484" t="str">
        <f t="shared" ca="1" si="100"/>
        <v/>
      </c>
      <c r="AF253" s="484" t="str">
        <f t="shared" ca="1" si="100"/>
        <v/>
      </c>
      <c r="AG253" s="484" t="str">
        <f t="shared" ca="1" si="100"/>
        <v/>
      </c>
      <c r="AH253" s="484" t="str">
        <f t="shared" ca="1" si="100"/>
        <v/>
      </c>
      <c r="AI253" s="484" t="str">
        <f t="shared" ca="1" si="100"/>
        <v/>
      </c>
      <c r="AJ253" s="484" t="str">
        <f t="shared" ca="1" si="100"/>
        <v/>
      </c>
      <c r="AK253" s="484" t="str">
        <f t="shared" ca="1" si="100"/>
        <v/>
      </c>
      <c r="AL253" s="484" t="str">
        <f t="shared" ca="1" si="100"/>
        <v/>
      </c>
      <c r="AM253" s="484" t="str">
        <f t="shared" ca="1" si="100"/>
        <v/>
      </c>
      <c r="AN253" s="484" t="str">
        <f t="shared" ca="1" si="100"/>
        <v/>
      </c>
      <c r="AO253" s="484" t="str">
        <f t="shared" ca="1" si="100"/>
        <v/>
      </c>
      <c r="AP253" s="484" t="str">
        <f t="shared" ca="1" si="100"/>
        <v/>
      </c>
      <c r="AQ253" s="484" t="str">
        <f t="shared" ca="1" si="100"/>
        <v/>
      </c>
      <c r="AR253" s="484" t="str">
        <f t="shared" ca="1" si="100"/>
        <v/>
      </c>
      <c r="AS253" s="484" t="str">
        <f t="shared" ca="1" si="100"/>
        <v/>
      </c>
      <c r="AT253" s="484" t="str">
        <f t="shared" ca="1" si="100"/>
        <v/>
      </c>
      <c r="AU253" s="484" t="str">
        <f t="shared" ca="1" si="100"/>
        <v/>
      </c>
      <c r="AV253" s="484" t="str">
        <f t="shared" ca="1" si="100"/>
        <v/>
      </c>
      <c r="AW253" s="484" t="str">
        <f t="shared" ca="1" si="100"/>
        <v/>
      </c>
      <c r="AX253" s="484" t="str">
        <f t="shared" ca="1" si="100"/>
        <v/>
      </c>
      <c r="AY253" s="484" t="str">
        <f t="shared" ca="1" si="100"/>
        <v/>
      </c>
      <c r="AZ253" s="484" t="str">
        <f t="shared" ca="1" si="100"/>
        <v/>
      </c>
      <c r="BA253" s="449" t="str">
        <f t="shared" ca="1" si="100"/>
        <v/>
      </c>
      <c r="BB253" s="447" t="str">
        <f t="shared" ca="1" si="100"/>
        <v/>
      </c>
      <c r="IE253" s="485"/>
      <c r="IF253" s="485"/>
      <c r="IG253" s="485"/>
      <c r="IH253" s="485"/>
    </row>
    <row r="254" spans="1:242" s="371" customFormat="1" ht="19.8" hidden="1">
      <c r="A254" s="327">
        <v>8</v>
      </c>
      <c r="B254" s="1306"/>
      <c r="C254" s="492" t="s">
        <v>629</v>
      </c>
      <c r="D254" s="493">
        <v>6</v>
      </c>
      <c r="E254" s="494" t="str">
        <f t="shared" ref="E254:AJ254" ca="1" si="101">IFERROR(OFFSET(貼付け_2024実績,$D254,E253+1)&amp;"","")</f>
        <v/>
      </c>
      <c r="F254" s="494" t="str">
        <f t="shared" ca="1" si="101"/>
        <v/>
      </c>
      <c r="G254" s="494" t="str">
        <f t="shared" ca="1" si="101"/>
        <v/>
      </c>
      <c r="H254" s="494" t="str">
        <f t="shared" ca="1" si="101"/>
        <v/>
      </c>
      <c r="I254" s="494" t="str">
        <f t="shared" ca="1" si="101"/>
        <v/>
      </c>
      <c r="J254" s="494" t="str">
        <f t="shared" ca="1" si="101"/>
        <v/>
      </c>
      <c r="K254" s="494" t="str">
        <f t="shared" ca="1" si="101"/>
        <v/>
      </c>
      <c r="L254" s="494" t="str">
        <f t="shared" ca="1" si="101"/>
        <v/>
      </c>
      <c r="M254" s="494" t="str">
        <f t="shared" ca="1" si="101"/>
        <v/>
      </c>
      <c r="N254" s="494" t="str">
        <f t="shared" ca="1" si="101"/>
        <v/>
      </c>
      <c r="O254" s="494" t="str">
        <f t="shared" ca="1" si="101"/>
        <v/>
      </c>
      <c r="P254" s="494" t="str">
        <f t="shared" ca="1" si="101"/>
        <v/>
      </c>
      <c r="Q254" s="494" t="str">
        <f t="shared" ca="1" si="101"/>
        <v/>
      </c>
      <c r="R254" s="494" t="str">
        <f t="shared" ca="1" si="101"/>
        <v/>
      </c>
      <c r="S254" s="494" t="str">
        <f t="shared" ca="1" si="101"/>
        <v/>
      </c>
      <c r="T254" s="494" t="str">
        <f t="shared" ca="1" si="101"/>
        <v/>
      </c>
      <c r="U254" s="494" t="str">
        <f t="shared" ca="1" si="101"/>
        <v/>
      </c>
      <c r="V254" s="494" t="str">
        <f t="shared" ca="1" si="101"/>
        <v/>
      </c>
      <c r="W254" s="494" t="str">
        <f t="shared" ca="1" si="101"/>
        <v/>
      </c>
      <c r="X254" s="494" t="str">
        <f t="shared" ca="1" si="101"/>
        <v/>
      </c>
      <c r="Y254" s="494" t="str">
        <f t="shared" ca="1" si="101"/>
        <v/>
      </c>
      <c r="Z254" s="494" t="str">
        <f t="shared" ca="1" si="101"/>
        <v/>
      </c>
      <c r="AA254" s="494" t="str">
        <f t="shared" ca="1" si="101"/>
        <v/>
      </c>
      <c r="AB254" s="494" t="str">
        <f t="shared" ca="1" si="101"/>
        <v/>
      </c>
      <c r="AC254" s="494" t="str">
        <f t="shared" ca="1" si="101"/>
        <v/>
      </c>
      <c r="AD254" s="494" t="str">
        <f t="shared" ca="1" si="101"/>
        <v/>
      </c>
      <c r="AE254" s="494" t="str">
        <f t="shared" ca="1" si="101"/>
        <v/>
      </c>
      <c r="AF254" s="494" t="str">
        <f t="shared" ca="1" si="101"/>
        <v/>
      </c>
      <c r="AG254" s="494" t="str">
        <f t="shared" ca="1" si="101"/>
        <v/>
      </c>
      <c r="AH254" s="494" t="str">
        <f t="shared" ca="1" si="101"/>
        <v/>
      </c>
      <c r="AI254" s="494" t="str">
        <f t="shared" ca="1" si="101"/>
        <v/>
      </c>
      <c r="AJ254" s="494" t="str">
        <f t="shared" ca="1" si="101"/>
        <v/>
      </c>
      <c r="AK254" s="494" t="str">
        <f t="shared" ref="AK254:BB254" ca="1" si="102">IFERROR(OFFSET(貼付け_2024実績,$D254,AK253+1)&amp;"","")</f>
        <v/>
      </c>
      <c r="AL254" s="494" t="str">
        <f t="shared" ca="1" si="102"/>
        <v/>
      </c>
      <c r="AM254" s="494" t="str">
        <f t="shared" ca="1" si="102"/>
        <v/>
      </c>
      <c r="AN254" s="494" t="str">
        <f t="shared" ca="1" si="102"/>
        <v/>
      </c>
      <c r="AO254" s="494" t="str">
        <f t="shared" ca="1" si="102"/>
        <v/>
      </c>
      <c r="AP254" s="494" t="str">
        <f t="shared" ca="1" si="102"/>
        <v/>
      </c>
      <c r="AQ254" s="494" t="str">
        <f t="shared" ca="1" si="102"/>
        <v/>
      </c>
      <c r="AR254" s="494" t="str">
        <f t="shared" ca="1" si="102"/>
        <v/>
      </c>
      <c r="AS254" s="494" t="str">
        <f t="shared" ca="1" si="102"/>
        <v/>
      </c>
      <c r="AT254" s="494" t="str">
        <f t="shared" ca="1" si="102"/>
        <v/>
      </c>
      <c r="AU254" s="494" t="str">
        <f t="shared" ca="1" si="102"/>
        <v/>
      </c>
      <c r="AV254" s="494" t="str">
        <f t="shared" ca="1" si="102"/>
        <v/>
      </c>
      <c r="AW254" s="494" t="str">
        <f t="shared" ca="1" si="102"/>
        <v/>
      </c>
      <c r="AX254" s="494" t="str">
        <f t="shared" ca="1" si="102"/>
        <v/>
      </c>
      <c r="AY254" s="494" t="str">
        <f t="shared" ca="1" si="102"/>
        <v/>
      </c>
      <c r="AZ254" s="494" t="str">
        <f t="shared" ca="1" si="102"/>
        <v/>
      </c>
      <c r="BA254" s="495" t="str">
        <f t="shared" ca="1" si="102"/>
        <v/>
      </c>
      <c r="BB254" s="496" t="str">
        <f t="shared" ca="1" si="102"/>
        <v/>
      </c>
      <c r="BC254" s="497"/>
      <c r="IE254" s="463"/>
      <c r="IF254" s="463"/>
      <c r="IG254" s="463"/>
      <c r="IH254" s="463"/>
    </row>
    <row r="255" spans="1:242" s="371" customFormat="1" ht="20.100000000000001" hidden="1" customHeight="1">
      <c r="A255" s="327">
        <v>9</v>
      </c>
      <c r="B255" s="1306"/>
      <c r="C255" s="498" t="s">
        <v>630</v>
      </c>
      <c r="D255" s="499">
        <v>99</v>
      </c>
      <c r="E255" s="500" t="str">
        <f t="shared" ref="E255:AJ255" ca="1" si="103">IFERROR(OFFSET(貼付け_2024実績,$D255,E253),"")&amp;""</f>
        <v/>
      </c>
      <c r="F255" s="500" t="str">
        <f t="shared" ca="1" si="103"/>
        <v/>
      </c>
      <c r="G255" s="500" t="str">
        <f t="shared" ca="1" si="103"/>
        <v/>
      </c>
      <c r="H255" s="500" t="str">
        <f t="shared" ca="1" si="103"/>
        <v/>
      </c>
      <c r="I255" s="500" t="str">
        <f t="shared" ca="1" si="103"/>
        <v/>
      </c>
      <c r="J255" s="500" t="str">
        <f t="shared" ca="1" si="103"/>
        <v/>
      </c>
      <c r="K255" s="500" t="str">
        <f t="shared" ca="1" si="103"/>
        <v/>
      </c>
      <c r="L255" s="500" t="str">
        <f t="shared" ca="1" si="103"/>
        <v/>
      </c>
      <c r="M255" s="500" t="str">
        <f t="shared" ca="1" si="103"/>
        <v/>
      </c>
      <c r="N255" s="500" t="str">
        <f t="shared" ca="1" si="103"/>
        <v/>
      </c>
      <c r="O255" s="500" t="str">
        <f t="shared" ca="1" si="103"/>
        <v/>
      </c>
      <c r="P255" s="500" t="str">
        <f t="shared" ca="1" si="103"/>
        <v/>
      </c>
      <c r="Q255" s="500" t="str">
        <f t="shared" ca="1" si="103"/>
        <v/>
      </c>
      <c r="R255" s="500" t="str">
        <f t="shared" ca="1" si="103"/>
        <v/>
      </c>
      <c r="S255" s="500" t="str">
        <f t="shared" ca="1" si="103"/>
        <v/>
      </c>
      <c r="T255" s="500" t="str">
        <f t="shared" ca="1" si="103"/>
        <v/>
      </c>
      <c r="U255" s="500" t="str">
        <f t="shared" ca="1" si="103"/>
        <v/>
      </c>
      <c r="V255" s="500" t="str">
        <f t="shared" ca="1" si="103"/>
        <v/>
      </c>
      <c r="W255" s="500" t="str">
        <f t="shared" ca="1" si="103"/>
        <v/>
      </c>
      <c r="X255" s="500" t="str">
        <f t="shared" ca="1" si="103"/>
        <v/>
      </c>
      <c r="Y255" s="500" t="str">
        <f t="shared" ca="1" si="103"/>
        <v/>
      </c>
      <c r="Z255" s="500" t="str">
        <f t="shared" ca="1" si="103"/>
        <v/>
      </c>
      <c r="AA255" s="500" t="str">
        <f t="shared" ca="1" si="103"/>
        <v/>
      </c>
      <c r="AB255" s="500" t="str">
        <f t="shared" ca="1" si="103"/>
        <v/>
      </c>
      <c r="AC255" s="500" t="str">
        <f t="shared" ca="1" si="103"/>
        <v/>
      </c>
      <c r="AD255" s="500" t="str">
        <f t="shared" ca="1" si="103"/>
        <v/>
      </c>
      <c r="AE255" s="500" t="str">
        <f t="shared" ca="1" si="103"/>
        <v/>
      </c>
      <c r="AF255" s="500" t="str">
        <f t="shared" ca="1" si="103"/>
        <v/>
      </c>
      <c r="AG255" s="500" t="str">
        <f t="shared" ca="1" si="103"/>
        <v/>
      </c>
      <c r="AH255" s="500" t="str">
        <f t="shared" ca="1" si="103"/>
        <v/>
      </c>
      <c r="AI255" s="500" t="str">
        <f t="shared" ca="1" si="103"/>
        <v/>
      </c>
      <c r="AJ255" s="500" t="str">
        <f t="shared" ca="1" si="103"/>
        <v/>
      </c>
      <c r="AK255" s="500" t="str">
        <f t="shared" ref="AK255:BB255" ca="1" si="104">IFERROR(OFFSET(貼付け_2024実績,$D255,AK253),"")&amp;""</f>
        <v/>
      </c>
      <c r="AL255" s="500" t="str">
        <f t="shared" ca="1" si="104"/>
        <v/>
      </c>
      <c r="AM255" s="500" t="str">
        <f t="shared" ca="1" si="104"/>
        <v/>
      </c>
      <c r="AN255" s="500" t="str">
        <f t="shared" ca="1" si="104"/>
        <v/>
      </c>
      <c r="AO255" s="500" t="str">
        <f t="shared" ca="1" si="104"/>
        <v/>
      </c>
      <c r="AP255" s="500" t="str">
        <f t="shared" ca="1" si="104"/>
        <v/>
      </c>
      <c r="AQ255" s="500" t="str">
        <f t="shared" ca="1" si="104"/>
        <v/>
      </c>
      <c r="AR255" s="500" t="str">
        <f t="shared" ca="1" si="104"/>
        <v/>
      </c>
      <c r="AS255" s="500" t="str">
        <f t="shared" ca="1" si="104"/>
        <v/>
      </c>
      <c r="AT255" s="500" t="str">
        <f t="shared" ca="1" si="104"/>
        <v/>
      </c>
      <c r="AU255" s="500" t="str">
        <f t="shared" ca="1" si="104"/>
        <v/>
      </c>
      <c r="AV255" s="500" t="str">
        <f t="shared" ca="1" si="104"/>
        <v/>
      </c>
      <c r="AW255" s="500" t="str">
        <f t="shared" ca="1" si="104"/>
        <v/>
      </c>
      <c r="AX255" s="500" t="str">
        <f t="shared" ca="1" si="104"/>
        <v/>
      </c>
      <c r="AY255" s="500" t="str">
        <f t="shared" ca="1" si="104"/>
        <v/>
      </c>
      <c r="AZ255" s="500" t="str">
        <f t="shared" ca="1" si="104"/>
        <v/>
      </c>
      <c r="BA255" s="500" t="str">
        <f t="shared" ca="1" si="104"/>
        <v/>
      </c>
      <c r="BB255" s="500" t="str">
        <f t="shared" ca="1" si="104"/>
        <v/>
      </c>
      <c r="IE255" s="463"/>
      <c r="IF255" s="463"/>
      <c r="IG255" s="463"/>
      <c r="IH255" s="463"/>
    </row>
    <row r="256" spans="1:242" s="371" customFormat="1" ht="20.100000000000001" hidden="1" customHeight="1">
      <c r="A256" s="327">
        <v>10</v>
      </c>
      <c r="B256" s="1306"/>
      <c r="C256" s="498" t="s">
        <v>631</v>
      </c>
      <c r="D256" s="499">
        <v>6</v>
      </c>
      <c r="E256" s="500" t="s">
        <v>1</v>
      </c>
      <c r="F256" s="500" t="s">
        <v>1</v>
      </c>
      <c r="G256" s="500" t="s">
        <v>1</v>
      </c>
      <c r="H256" s="500" t="s">
        <v>1</v>
      </c>
      <c r="I256" s="500" t="s">
        <v>1</v>
      </c>
      <c r="J256" s="500" t="s">
        <v>1</v>
      </c>
      <c r="K256" s="500" t="s">
        <v>1</v>
      </c>
      <c r="L256" s="500" t="s">
        <v>1</v>
      </c>
      <c r="M256" s="500" t="s">
        <v>1</v>
      </c>
      <c r="N256" s="500" t="s">
        <v>1</v>
      </c>
      <c r="O256" s="500" t="s">
        <v>1</v>
      </c>
      <c r="P256" s="500" t="s">
        <v>1</v>
      </c>
      <c r="Q256" s="500" t="s">
        <v>1</v>
      </c>
      <c r="R256" s="500" t="s">
        <v>1</v>
      </c>
      <c r="S256" s="500" t="s">
        <v>1</v>
      </c>
      <c r="T256" s="500" t="s">
        <v>1</v>
      </c>
      <c r="U256" s="500" t="s">
        <v>1</v>
      </c>
      <c r="V256" s="500" t="s">
        <v>1</v>
      </c>
      <c r="W256" s="500" t="s">
        <v>1</v>
      </c>
      <c r="X256" s="500" t="s">
        <v>1</v>
      </c>
      <c r="Y256" s="500" t="s">
        <v>1</v>
      </c>
      <c r="Z256" s="500" t="s">
        <v>1</v>
      </c>
      <c r="AA256" s="500" t="s">
        <v>1</v>
      </c>
      <c r="AB256" s="500" t="s">
        <v>1</v>
      </c>
      <c r="AC256" s="500" t="s">
        <v>1</v>
      </c>
      <c r="AD256" s="500" t="s">
        <v>1</v>
      </c>
      <c r="AE256" s="500" t="s">
        <v>1</v>
      </c>
      <c r="AF256" s="500" t="s">
        <v>1</v>
      </c>
      <c r="AG256" s="500" t="s">
        <v>1</v>
      </c>
      <c r="AH256" s="500" t="s">
        <v>1</v>
      </c>
      <c r="AI256" s="500" t="s">
        <v>1</v>
      </c>
      <c r="AJ256" s="500" t="s">
        <v>1</v>
      </c>
      <c r="AK256" s="500" t="s">
        <v>1</v>
      </c>
      <c r="AL256" s="500" t="s">
        <v>1</v>
      </c>
      <c r="AM256" s="500" t="s">
        <v>1</v>
      </c>
      <c r="AN256" s="500" t="s">
        <v>1</v>
      </c>
      <c r="AO256" s="500" t="s">
        <v>1</v>
      </c>
      <c r="AP256" s="500" t="s">
        <v>1</v>
      </c>
      <c r="AQ256" s="500" t="s">
        <v>1</v>
      </c>
      <c r="AR256" s="500" t="s">
        <v>1</v>
      </c>
      <c r="AS256" s="500" t="s">
        <v>1</v>
      </c>
      <c r="AT256" s="500" t="s">
        <v>1</v>
      </c>
      <c r="AU256" s="500" t="s">
        <v>1</v>
      </c>
      <c r="AV256" s="500" t="s">
        <v>1</v>
      </c>
      <c r="AW256" s="500" t="s">
        <v>1</v>
      </c>
      <c r="AX256" s="500" t="s">
        <v>1</v>
      </c>
      <c r="AY256" s="500" t="s">
        <v>1</v>
      </c>
      <c r="AZ256" s="500" t="s">
        <v>1</v>
      </c>
      <c r="BA256" s="469" t="s">
        <v>1</v>
      </c>
      <c r="BB256" s="501" t="s">
        <v>1</v>
      </c>
      <c r="IE256" s="463"/>
      <c r="IF256" s="463"/>
      <c r="IG256" s="463"/>
      <c r="IH256" s="463"/>
    </row>
    <row r="257" spans="1:242" s="371" customFormat="1" ht="20.100000000000001" hidden="1" customHeight="1">
      <c r="A257" s="327">
        <v>11</v>
      </c>
      <c r="B257" s="1306"/>
      <c r="C257" s="498" t="s">
        <v>632</v>
      </c>
      <c r="D257" s="499">
        <v>101</v>
      </c>
      <c r="E257" s="500" t="str">
        <f t="shared" ref="E257:AJ257" ca="1" si="105">IFERROR(OFFSET(貼付け_2024実績,$D257,E253),"")</f>
        <v/>
      </c>
      <c r="F257" s="500" t="str">
        <f t="shared" ca="1" si="105"/>
        <v/>
      </c>
      <c r="G257" s="500" t="str">
        <f t="shared" ca="1" si="105"/>
        <v/>
      </c>
      <c r="H257" s="500" t="str">
        <f t="shared" ca="1" si="105"/>
        <v/>
      </c>
      <c r="I257" s="500" t="str">
        <f t="shared" ca="1" si="105"/>
        <v/>
      </c>
      <c r="J257" s="500" t="str">
        <f t="shared" ca="1" si="105"/>
        <v/>
      </c>
      <c r="K257" s="500" t="str">
        <f t="shared" ca="1" si="105"/>
        <v/>
      </c>
      <c r="L257" s="500" t="str">
        <f t="shared" ca="1" si="105"/>
        <v/>
      </c>
      <c r="M257" s="500" t="str">
        <f t="shared" ca="1" si="105"/>
        <v/>
      </c>
      <c r="N257" s="500" t="str">
        <f t="shared" ca="1" si="105"/>
        <v/>
      </c>
      <c r="O257" s="500" t="str">
        <f t="shared" ca="1" si="105"/>
        <v/>
      </c>
      <c r="P257" s="500" t="str">
        <f t="shared" ca="1" si="105"/>
        <v/>
      </c>
      <c r="Q257" s="500" t="str">
        <f t="shared" ca="1" si="105"/>
        <v/>
      </c>
      <c r="R257" s="500" t="str">
        <f t="shared" ca="1" si="105"/>
        <v/>
      </c>
      <c r="S257" s="500" t="str">
        <f t="shared" ca="1" si="105"/>
        <v/>
      </c>
      <c r="T257" s="500" t="str">
        <f t="shared" ca="1" si="105"/>
        <v/>
      </c>
      <c r="U257" s="500" t="str">
        <f t="shared" ca="1" si="105"/>
        <v/>
      </c>
      <c r="V257" s="500" t="str">
        <f t="shared" ca="1" si="105"/>
        <v/>
      </c>
      <c r="W257" s="500" t="str">
        <f t="shared" ca="1" si="105"/>
        <v/>
      </c>
      <c r="X257" s="500" t="str">
        <f t="shared" ca="1" si="105"/>
        <v/>
      </c>
      <c r="Y257" s="500" t="str">
        <f t="shared" ca="1" si="105"/>
        <v/>
      </c>
      <c r="Z257" s="500" t="str">
        <f t="shared" ca="1" si="105"/>
        <v/>
      </c>
      <c r="AA257" s="500" t="str">
        <f t="shared" ca="1" si="105"/>
        <v/>
      </c>
      <c r="AB257" s="500" t="str">
        <f t="shared" ca="1" si="105"/>
        <v/>
      </c>
      <c r="AC257" s="500" t="str">
        <f t="shared" ca="1" si="105"/>
        <v/>
      </c>
      <c r="AD257" s="500" t="str">
        <f t="shared" ca="1" si="105"/>
        <v/>
      </c>
      <c r="AE257" s="500" t="str">
        <f t="shared" ca="1" si="105"/>
        <v/>
      </c>
      <c r="AF257" s="500" t="str">
        <f t="shared" ca="1" si="105"/>
        <v/>
      </c>
      <c r="AG257" s="500" t="str">
        <f t="shared" ca="1" si="105"/>
        <v/>
      </c>
      <c r="AH257" s="500" t="str">
        <f t="shared" ca="1" si="105"/>
        <v/>
      </c>
      <c r="AI257" s="500" t="str">
        <f t="shared" ca="1" si="105"/>
        <v/>
      </c>
      <c r="AJ257" s="500" t="str">
        <f t="shared" ca="1" si="105"/>
        <v/>
      </c>
      <c r="AK257" s="500" t="str">
        <f t="shared" ref="AK257:BB257" ca="1" si="106">IFERROR(OFFSET(貼付け_2024実績,$D257,AK253),"")</f>
        <v/>
      </c>
      <c r="AL257" s="500" t="str">
        <f t="shared" ca="1" si="106"/>
        <v/>
      </c>
      <c r="AM257" s="500" t="str">
        <f t="shared" ca="1" si="106"/>
        <v/>
      </c>
      <c r="AN257" s="500" t="str">
        <f t="shared" ca="1" si="106"/>
        <v/>
      </c>
      <c r="AO257" s="500" t="str">
        <f t="shared" ca="1" si="106"/>
        <v/>
      </c>
      <c r="AP257" s="500" t="str">
        <f t="shared" ca="1" si="106"/>
        <v/>
      </c>
      <c r="AQ257" s="500" t="str">
        <f t="shared" ca="1" si="106"/>
        <v/>
      </c>
      <c r="AR257" s="500" t="str">
        <f t="shared" ca="1" si="106"/>
        <v/>
      </c>
      <c r="AS257" s="500" t="str">
        <f t="shared" ca="1" si="106"/>
        <v/>
      </c>
      <c r="AT257" s="500" t="str">
        <f t="shared" ca="1" si="106"/>
        <v/>
      </c>
      <c r="AU257" s="500" t="str">
        <f t="shared" ca="1" si="106"/>
        <v/>
      </c>
      <c r="AV257" s="500" t="str">
        <f t="shared" ca="1" si="106"/>
        <v/>
      </c>
      <c r="AW257" s="500" t="str">
        <f t="shared" ca="1" si="106"/>
        <v/>
      </c>
      <c r="AX257" s="500" t="str">
        <f t="shared" ca="1" si="106"/>
        <v/>
      </c>
      <c r="AY257" s="500" t="str">
        <f t="shared" ca="1" si="106"/>
        <v/>
      </c>
      <c r="AZ257" s="500" t="str">
        <f t="shared" ca="1" si="106"/>
        <v/>
      </c>
      <c r="BA257" s="469" t="str">
        <f t="shared" ca="1" si="106"/>
        <v/>
      </c>
      <c r="BB257" s="501" t="str">
        <f t="shared" ca="1" si="106"/>
        <v/>
      </c>
      <c r="IE257" s="463"/>
      <c r="IF257" s="463"/>
      <c r="IG257" s="463"/>
      <c r="IH257" s="463"/>
    </row>
    <row r="258" spans="1:242" s="371" customFormat="1" ht="20.100000000000001" hidden="1" customHeight="1">
      <c r="A258" s="327">
        <v>12</v>
      </c>
      <c r="B258" s="1306"/>
      <c r="C258" s="498" t="s">
        <v>633</v>
      </c>
      <c r="D258" s="499"/>
      <c r="E258" s="500" t="str">
        <f ca="1">IFERROR(E256/E257,"")</f>
        <v/>
      </c>
      <c r="F258" s="500" t="str">
        <f t="shared" ref="F258:BB258" ca="1" si="107">IFERROR(F256/F257,"")</f>
        <v/>
      </c>
      <c r="G258" s="500" t="str">
        <f t="shared" ca="1" si="107"/>
        <v/>
      </c>
      <c r="H258" s="500" t="str">
        <f t="shared" ca="1" si="107"/>
        <v/>
      </c>
      <c r="I258" s="500" t="str">
        <f t="shared" ca="1" si="107"/>
        <v/>
      </c>
      <c r="J258" s="500" t="str">
        <f t="shared" ca="1" si="107"/>
        <v/>
      </c>
      <c r="K258" s="500" t="str">
        <f t="shared" ca="1" si="107"/>
        <v/>
      </c>
      <c r="L258" s="500" t="str">
        <f t="shared" ca="1" si="107"/>
        <v/>
      </c>
      <c r="M258" s="500" t="str">
        <f t="shared" ca="1" si="107"/>
        <v/>
      </c>
      <c r="N258" s="500" t="str">
        <f t="shared" ca="1" si="107"/>
        <v/>
      </c>
      <c r="O258" s="500" t="str">
        <f t="shared" ca="1" si="107"/>
        <v/>
      </c>
      <c r="P258" s="500" t="str">
        <f t="shared" ca="1" si="107"/>
        <v/>
      </c>
      <c r="Q258" s="500" t="str">
        <f t="shared" ca="1" si="107"/>
        <v/>
      </c>
      <c r="R258" s="500" t="str">
        <f t="shared" ca="1" si="107"/>
        <v/>
      </c>
      <c r="S258" s="500" t="str">
        <f t="shared" ca="1" si="107"/>
        <v/>
      </c>
      <c r="T258" s="500" t="str">
        <f t="shared" ca="1" si="107"/>
        <v/>
      </c>
      <c r="U258" s="500" t="str">
        <f t="shared" ca="1" si="107"/>
        <v/>
      </c>
      <c r="V258" s="500" t="str">
        <f t="shared" ca="1" si="107"/>
        <v/>
      </c>
      <c r="W258" s="500" t="str">
        <f t="shared" ca="1" si="107"/>
        <v/>
      </c>
      <c r="X258" s="500" t="str">
        <f t="shared" ca="1" si="107"/>
        <v/>
      </c>
      <c r="Y258" s="500" t="str">
        <f t="shared" ca="1" si="107"/>
        <v/>
      </c>
      <c r="Z258" s="500" t="str">
        <f t="shared" ca="1" si="107"/>
        <v/>
      </c>
      <c r="AA258" s="500" t="str">
        <f t="shared" ca="1" si="107"/>
        <v/>
      </c>
      <c r="AB258" s="500" t="str">
        <f t="shared" ca="1" si="107"/>
        <v/>
      </c>
      <c r="AC258" s="500" t="str">
        <f t="shared" ca="1" si="107"/>
        <v/>
      </c>
      <c r="AD258" s="500" t="str">
        <f t="shared" ca="1" si="107"/>
        <v/>
      </c>
      <c r="AE258" s="500" t="str">
        <f t="shared" ca="1" si="107"/>
        <v/>
      </c>
      <c r="AF258" s="500" t="str">
        <f t="shared" ca="1" si="107"/>
        <v/>
      </c>
      <c r="AG258" s="500" t="str">
        <f t="shared" ca="1" si="107"/>
        <v/>
      </c>
      <c r="AH258" s="500" t="str">
        <f t="shared" ca="1" si="107"/>
        <v/>
      </c>
      <c r="AI258" s="500" t="str">
        <f t="shared" ca="1" si="107"/>
        <v/>
      </c>
      <c r="AJ258" s="500" t="str">
        <f t="shared" ca="1" si="107"/>
        <v/>
      </c>
      <c r="AK258" s="500" t="str">
        <f t="shared" ca="1" si="107"/>
        <v/>
      </c>
      <c r="AL258" s="500" t="str">
        <f t="shared" ca="1" si="107"/>
        <v/>
      </c>
      <c r="AM258" s="500" t="str">
        <f t="shared" ca="1" si="107"/>
        <v/>
      </c>
      <c r="AN258" s="500" t="str">
        <f t="shared" ca="1" si="107"/>
        <v/>
      </c>
      <c r="AO258" s="500" t="str">
        <f t="shared" ca="1" si="107"/>
        <v/>
      </c>
      <c r="AP258" s="500" t="str">
        <f t="shared" ca="1" si="107"/>
        <v/>
      </c>
      <c r="AQ258" s="500" t="str">
        <f t="shared" ca="1" si="107"/>
        <v/>
      </c>
      <c r="AR258" s="500" t="str">
        <f t="shared" ca="1" si="107"/>
        <v/>
      </c>
      <c r="AS258" s="500" t="str">
        <f t="shared" ca="1" si="107"/>
        <v/>
      </c>
      <c r="AT258" s="500" t="str">
        <f t="shared" ca="1" si="107"/>
        <v/>
      </c>
      <c r="AU258" s="500" t="str">
        <f t="shared" ca="1" si="107"/>
        <v/>
      </c>
      <c r="AV258" s="500" t="str">
        <f t="shared" ca="1" si="107"/>
        <v/>
      </c>
      <c r="AW258" s="500" t="str">
        <f t="shared" ca="1" si="107"/>
        <v/>
      </c>
      <c r="AX258" s="500" t="str">
        <f t="shared" ca="1" si="107"/>
        <v/>
      </c>
      <c r="AY258" s="500" t="str">
        <f t="shared" ca="1" si="107"/>
        <v/>
      </c>
      <c r="AZ258" s="500" t="str">
        <f t="shared" ca="1" si="107"/>
        <v/>
      </c>
      <c r="BA258" s="469" t="str">
        <f t="shared" ca="1" si="107"/>
        <v/>
      </c>
      <c r="BB258" s="501" t="str">
        <f t="shared" ca="1" si="107"/>
        <v/>
      </c>
      <c r="IE258" s="463"/>
      <c r="IF258" s="463"/>
      <c r="IG258" s="463"/>
      <c r="IH258" s="463"/>
    </row>
    <row r="259" spans="1:242" s="371" customFormat="1" ht="20.100000000000001" hidden="1" customHeight="1" thickBot="1">
      <c r="A259" s="327">
        <v>13</v>
      </c>
      <c r="B259" s="1307"/>
      <c r="C259" s="502" t="s">
        <v>634</v>
      </c>
      <c r="D259" s="503">
        <v>12</v>
      </c>
      <c r="E259" s="504"/>
      <c r="F259" s="505"/>
      <c r="G259" s="505"/>
      <c r="H259" s="505"/>
      <c r="I259" s="505"/>
      <c r="J259" s="505"/>
      <c r="K259" s="505"/>
      <c r="L259" s="505"/>
      <c r="M259" s="505"/>
      <c r="N259" s="505"/>
      <c r="O259" s="505"/>
      <c r="P259" s="505"/>
      <c r="Q259" s="505"/>
      <c r="R259" s="505"/>
      <c r="S259" s="505"/>
      <c r="T259" s="505"/>
      <c r="U259" s="505"/>
      <c r="V259" s="505"/>
      <c r="W259" s="505"/>
      <c r="X259" s="505"/>
      <c r="Y259" s="505"/>
      <c r="Z259" s="505"/>
      <c r="AA259" s="505"/>
      <c r="AB259" s="505"/>
      <c r="AC259" s="505"/>
      <c r="AD259" s="505"/>
      <c r="AE259" s="505"/>
      <c r="AF259" s="505"/>
      <c r="AG259" s="505"/>
      <c r="AH259" s="505"/>
      <c r="AI259" s="505"/>
      <c r="AJ259" s="505"/>
      <c r="AK259" s="505"/>
      <c r="AL259" s="505"/>
      <c r="AM259" s="505"/>
      <c r="AN259" s="505"/>
      <c r="AO259" s="505"/>
      <c r="AP259" s="505"/>
      <c r="AQ259" s="505"/>
      <c r="AR259" s="505"/>
      <c r="AS259" s="505"/>
      <c r="AT259" s="505"/>
      <c r="AU259" s="505"/>
      <c r="AV259" s="505"/>
      <c r="AW259" s="505"/>
      <c r="AX259" s="505"/>
      <c r="AY259" s="505"/>
      <c r="AZ259" s="505"/>
      <c r="BA259" s="505"/>
      <c r="BB259" s="503"/>
      <c r="IE259" s="463"/>
      <c r="IF259" s="463"/>
      <c r="IG259" s="463"/>
      <c r="IH259" s="463"/>
    </row>
    <row r="260" spans="1:242" ht="19.5" hidden="1" customHeight="1">
      <c r="A260" s="327">
        <v>14</v>
      </c>
      <c r="B260" s="1305" t="s">
        <v>600</v>
      </c>
      <c r="C260" s="478" t="s">
        <v>625</v>
      </c>
      <c r="D260" s="479">
        <v>2024</v>
      </c>
      <c r="E260" s="480">
        <f ca="1">IFERROR(MATCH($B260&amp;E$247,OFFSET(INDIRECT("貼付け_"&amp;$D260&amp;"実績"),4,0,1,209),0)-1,"")</f>
        <v>21</v>
      </c>
      <c r="F260" s="480">
        <f t="shared" ref="F260:BB260" ca="1" si="108">IFERROR(MATCH($B260&amp;F$247,OFFSET(INDIRECT("貼付け_"&amp;$D260&amp;"実績"),4,0,1,209),0)-1,"")</f>
        <v>25</v>
      </c>
      <c r="G260" s="480">
        <f t="shared" ca="1" si="108"/>
        <v>29</v>
      </c>
      <c r="H260" s="480">
        <f t="shared" ca="1" si="108"/>
        <v>77</v>
      </c>
      <c r="I260" s="480">
        <f t="shared" ca="1" si="108"/>
        <v>81</v>
      </c>
      <c r="J260" s="480">
        <f t="shared" ca="1" si="108"/>
        <v>85</v>
      </c>
      <c r="K260" s="480">
        <f t="shared" ca="1" si="108"/>
        <v>89</v>
      </c>
      <c r="L260" s="480">
        <f t="shared" ca="1" si="108"/>
        <v>93</v>
      </c>
      <c r="M260" s="480">
        <f t="shared" ca="1" si="108"/>
        <v>97</v>
      </c>
      <c r="N260" s="480">
        <f t="shared" ca="1" si="108"/>
        <v>101</v>
      </c>
      <c r="O260" s="480" t="str">
        <f t="shared" ca="1" si="108"/>
        <v/>
      </c>
      <c r="P260" s="480" t="str">
        <f t="shared" ca="1" si="108"/>
        <v/>
      </c>
      <c r="Q260" s="480" t="str">
        <f t="shared" ca="1" si="108"/>
        <v/>
      </c>
      <c r="R260" s="480" t="str">
        <f t="shared" ca="1" si="108"/>
        <v/>
      </c>
      <c r="S260" s="480" t="str">
        <f t="shared" ca="1" si="108"/>
        <v/>
      </c>
      <c r="T260" s="480" t="str">
        <f t="shared" ca="1" si="108"/>
        <v/>
      </c>
      <c r="U260" s="480" t="str">
        <f t="shared" ca="1" si="108"/>
        <v/>
      </c>
      <c r="V260" s="480" t="str">
        <f t="shared" ca="1" si="108"/>
        <v/>
      </c>
      <c r="W260" s="480" t="str">
        <f t="shared" ca="1" si="108"/>
        <v/>
      </c>
      <c r="X260" s="480" t="str">
        <f t="shared" ca="1" si="108"/>
        <v/>
      </c>
      <c r="Y260" s="480" t="str">
        <f t="shared" ca="1" si="108"/>
        <v/>
      </c>
      <c r="Z260" s="480" t="str">
        <f t="shared" ca="1" si="108"/>
        <v/>
      </c>
      <c r="AA260" s="480" t="str">
        <f t="shared" ca="1" si="108"/>
        <v/>
      </c>
      <c r="AB260" s="480" t="str">
        <f t="shared" ca="1" si="108"/>
        <v/>
      </c>
      <c r="AC260" s="480" t="str">
        <f t="shared" ca="1" si="108"/>
        <v/>
      </c>
      <c r="AD260" s="480" t="str">
        <f t="shared" ca="1" si="108"/>
        <v/>
      </c>
      <c r="AE260" s="480" t="str">
        <f t="shared" ca="1" si="108"/>
        <v/>
      </c>
      <c r="AF260" s="480" t="str">
        <f t="shared" ca="1" si="108"/>
        <v/>
      </c>
      <c r="AG260" s="480" t="str">
        <f t="shared" ca="1" si="108"/>
        <v/>
      </c>
      <c r="AH260" s="480" t="str">
        <f t="shared" ca="1" si="108"/>
        <v/>
      </c>
      <c r="AI260" s="480" t="str">
        <f t="shared" ca="1" si="108"/>
        <v/>
      </c>
      <c r="AJ260" s="480" t="str">
        <f t="shared" ca="1" si="108"/>
        <v/>
      </c>
      <c r="AK260" s="480" t="str">
        <f t="shared" ca="1" si="108"/>
        <v/>
      </c>
      <c r="AL260" s="480" t="str">
        <f t="shared" ca="1" si="108"/>
        <v/>
      </c>
      <c r="AM260" s="480" t="str">
        <f t="shared" ca="1" si="108"/>
        <v/>
      </c>
      <c r="AN260" s="480" t="str">
        <f t="shared" ca="1" si="108"/>
        <v/>
      </c>
      <c r="AO260" s="480" t="str">
        <f t="shared" ca="1" si="108"/>
        <v/>
      </c>
      <c r="AP260" s="480" t="str">
        <f t="shared" ca="1" si="108"/>
        <v/>
      </c>
      <c r="AQ260" s="480" t="str">
        <f t="shared" ca="1" si="108"/>
        <v/>
      </c>
      <c r="AR260" s="480" t="str">
        <f t="shared" ca="1" si="108"/>
        <v/>
      </c>
      <c r="AS260" s="480" t="str">
        <f t="shared" ca="1" si="108"/>
        <v/>
      </c>
      <c r="AT260" s="480" t="str">
        <f t="shared" ca="1" si="108"/>
        <v/>
      </c>
      <c r="AU260" s="480" t="str">
        <f t="shared" ca="1" si="108"/>
        <v/>
      </c>
      <c r="AV260" s="480" t="str">
        <f t="shared" ca="1" si="108"/>
        <v/>
      </c>
      <c r="AW260" s="480" t="str">
        <f t="shared" ca="1" si="108"/>
        <v/>
      </c>
      <c r="AX260" s="480" t="str">
        <f t="shared" ca="1" si="108"/>
        <v/>
      </c>
      <c r="AY260" s="480" t="str">
        <f t="shared" ca="1" si="108"/>
        <v/>
      </c>
      <c r="AZ260" s="480" t="str">
        <f t="shared" ca="1" si="108"/>
        <v/>
      </c>
      <c r="BA260" s="480" t="str">
        <f t="shared" ca="1" si="108"/>
        <v/>
      </c>
      <c r="BB260" s="481" t="str">
        <f t="shared" ca="1" si="108"/>
        <v/>
      </c>
      <c r="BC260" s="363" t="str">
        <f>D260&amp;"年度"</f>
        <v>2024年度</v>
      </c>
      <c r="BD260" s="363">
        <v>1</v>
      </c>
      <c r="BE260" s="363">
        <v>2</v>
      </c>
      <c r="BF260" s="363">
        <v>3</v>
      </c>
      <c r="BG260" s="363">
        <v>4</v>
      </c>
      <c r="BH260" s="363">
        <v>5</v>
      </c>
      <c r="BI260" s="363">
        <v>6</v>
      </c>
      <c r="BJ260" s="363">
        <v>7</v>
      </c>
      <c r="BK260" s="363">
        <v>8</v>
      </c>
      <c r="BL260" s="363">
        <v>9</v>
      </c>
      <c r="BM260" s="363">
        <v>10</v>
      </c>
      <c r="BN260" s="363">
        <v>11</v>
      </c>
      <c r="BO260" s="363">
        <v>12</v>
      </c>
      <c r="BP260" s="363">
        <v>13</v>
      </c>
      <c r="BQ260" s="363">
        <v>14</v>
      </c>
      <c r="BR260" s="363">
        <v>15</v>
      </c>
      <c r="BS260" s="363">
        <v>16</v>
      </c>
      <c r="BT260" s="363">
        <v>17</v>
      </c>
      <c r="BU260" s="363">
        <v>18</v>
      </c>
      <c r="BV260" s="363">
        <v>19</v>
      </c>
      <c r="BW260" s="363">
        <v>20</v>
      </c>
      <c r="BX260" s="363">
        <v>21</v>
      </c>
      <c r="BY260" s="363">
        <v>22</v>
      </c>
      <c r="BZ260" s="363">
        <v>23</v>
      </c>
      <c r="CA260" s="363">
        <v>24</v>
      </c>
      <c r="CB260" s="363">
        <v>25</v>
      </c>
      <c r="CC260" s="363">
        <v>26</v>
      </c>
      <c r="CD260" s="363">
        <v>27</v>
      </c>
      <c r="CE260" s="363">
        <v>28</v>
      </c>
      <c r="CF260" s="363">
        <v>29</v>
      </c>
      <c r="CG260" s="363">
        <v>30</v>
      </c>
      <c r="CH260" s="363">
        <v>31</v>
      </c>
      <c r="CI260" s="363">
        <v>32</v>
      </c>
      <c r="CJ260" s="363">
        <v>33</v>
      </c>
      <c r="CK260" s="363">
        <v>34</v>
      </c>
      <c r="CL260" s="363">
        <v>35</v>
      </c>
      <c r="CM260" s="363">
        <v>36</v>
      </c>
      <c r="CN260" s="363">
        <v>37</v>
      </c>
      <c r="CO260" s="363">
        <v>38</v>
      </c>
      <c r="CP260" s="363">
        <v>39</v>
      </c>
      <c r="CQ260" s="363">
        <v>40</v>
      </c>
      <c r="CR260" s="363">
        <v>41</v>
      </c>
      <c r="CS260" s="363">
        <v>42</v>
      </c>
      <c r="CT260" s="363">
        <v>43</v>
      </c>
      <c r="CU260" s="363">
        <v>44</v>
      </c>
      <c r="CV260" s="363">
        <v>45</v>
      </c>
      <c r="CW260" s="363">
        <v>46</v>
      </c>
      <c r="CX260" s="363">
        <v>47</v>
      </c>
      <c r="CY260" s="363">
        <v>48</v>
      </c>
      <c r="CZ260" s="363">
        <v>49</v>
      </c>
      <c r="DA260" s="363">
        <v>50</v>
      </c>
    </row>
    <row r="261" spans="1:242" s="327" customFormat="1" ht="18.75" hidden="1" customHeight="1">
      <c r="A261" s="327">
        <v>15</v>
      </c>
      <c r="B261" s="1306"/>
      <c r="C261" s="482" t="str">
        <f>D260-1&amp;"/"&amp;D260</f>
        <v>2023/2024</v>
      </c>
      <c r="D261" s="483" t="str">
        <f>""</f>
        <v/>
      </c>
      <c r="E261" s="484" t="str">
        <f>""</f>
        <v/>
      </c>
      <c r="F261" s="484" t="str">
        <f>""</f>
        <v/>
      </c>
      <c r="G261" s="484" t="str">
        <f>""</f>
        <v/>
      </c>
      <c r="H261" s="484" t="str">
        <f>""</f>
        <v/>
      </c>
      <c r="I261" s="484" t="str">
        <f>""</f>
        <v/>
      </c>
      <c r="J261" s="484" t="str">
        <f>""</f>
        <v/>
      </c>
      <c r="K261" s="484" t="str">
        <f>""</f>
        <v/>
      </c>
      <c r="L261" s="484" t="str">
        <f>""</f>
        <v/>
      </c>
      <c r="M261" s="484" t="str">
        <f>""</f>
        <v/>
      </c>
      <c r="N261" s="484" t="str">
        <f>""</f>
        <v/>
      </c>
      <c r="O261" s="484" t="str">
        <f>""</f>
        <v/>
      </c>
      <c r="P261" s="484" t="str">
        <f>""</f>
        <v/>
      </c>
      <c r="Q261" s="484" t="str">
        <f>""</f>
        <v/>
      </c>
      <c r="R261" s="484" t="str">
        <f>""</f>
        <v/>
      </c>
      <c r="S261" s="484" t="str">
        <f>""</f>
        <v/>
      </c>
      <c r="T261" s="484" t="str">
        <f>""</f>
        <v/>
      </c>
      <c r="U261" s="484" t="str">
        <f>""</f>
        <v/>
      </c>
      <c r="V261" s="484" t="str">
        <f>""</f>
        <v/>
      </c>
      <c r="W261" s="484" t="str">
        <f>""</f>
        <v/>
      </c>
      <c r="X261" s="484" t="str">
        <f>""</f>
        <v/>
      </c>
      <c r="Y261" s="484" t="str">
        <f>""</f>
        <v/>
      </c>
      <c r="Z261" s="484" t="str">
        <f>""</f>
        <v/>
      </c>
      <c r="AA261" s="484" t="str">
        <f>""</f>
        <v/>
      </c>
      <c r="AB261" s="484" t="str">
        <f>""</f>
        <v/>
      </c>
      <c r="AC261" s="484" t="str">
        <f>""</f>
        <v/>
      </c>
      <c r="AD261" s="484" t="str">
        <f>""</f>
        <v/>
      </c>
      <c r="AE261" s="484" t="str">
        <f>""</f>
        <v/>
      </c>
      <c r="AF261" s="484" t="str">
        <f>""</f>
        <v/>
      </c>
      <c r="AG261" s="484" t="str">
        <f>""</f>
        <v/>
      </c>
      <c r="AH261" s="484" t="str">
        <f>""</f>
        <v/>
      </c>
      <c r="AI261" s="484" t="str">
        <f>""</f>
        <v/>
      </c>
      <c r="AJ261" s="484" t="str">
        <f>""</f>
        <v/>
      </c>
      <c r="AK261" s="484" t="str">
        <f>""</f>
        <v/>
      </c>
      <c r="AL261" s="484" t="str">
        <f>""</f>
        <v/>
      </c>
      <c r="AM261" s="484" t="str">
        <f>""</f>
        <v/>
      </c>
      <c r="AN261" s="484" t="str">
        <f>""</f>
        <v/>
      </c>
      <c r="AO261" s="484" t="str">
        <f>""</f>
        <v/>
      </c>
      <c r="AP261" s="484" t="str">
        <f>""</f>
        <v/>
      </c>
      <c r="AQ261" s="484" t="str">
        <f>""</f>
        <v/>
      </c>
      <c r="AR261" s="484" t="str">
        <f>""</f>
        <v/>
      </c>
      <c r="AS261" s="484" t="str">
        <f>""</f>
        <v/>
      </c>
      <c r="AT261" s="484" t="str">
        <f>""</f>
        <v/>
      </c>
      <c r="AU261" s="484" t="str">
        <f>""</f>
        <v/>
      </c>
      <c r="AV261" s="484" t="str">
        <f>""</f>
        <v/>
      </c>
      <c r="AW261" s="484" t="str">
        <f>""</f>
        <v/>
      </c>
      <c r="AX261" s="484" t="str">
        <f>""</f>
        <v/>
      </c>
      <c r="AY261" s="484" t="str">
        <f>""</f>
        <v/>
      </c>
      <c r="AZ261" s="484" t="str">
        <f>""</f>
        <v/>
      </c>
      <c r="BA261" s="449" t="str">
        <f>""</f>
        <v/>
      </c>
      <c r="BB261" s="447" t="str">
        <f>""</f>
        <v/>
      </c>
      <c r="BC261" s="484" t="str">
        <f>""</f>
        <v/>
      </c>
      <c r="BD261" s="484" t="str">
        <f t="shared" ref="BD261:CI261" ca="1" si="109">IFERROR(OFFSET(貼付け_2024実績,5,E260+1),"")&amp;""</f>
        <v/>
      </c>
      <c r="BE261" s="484" t="str">
        <f t="shared" ca="1" si="109"/>
        <v/>
      </c>
      <c r="BF261" s="484" t="str">
        <f t="shared" ca="1" si="109"/>
        <v/>
      </c>
      <c r="BG261" s="484" t="str">
        <f t="shared" ca="1" si="109"/>
        <v/>
      </c>
      <c r="BH261" s="484" t="str">
        <f t="shared" ca="1" si="109"/>
        <v/>
      </c>
      <c r="BI261" s="484" t="str">
        <f t="shared" ca="1" si="109"/>
        <v/>
      </c>
      <c r="BJ261" s="484" t="str">
        <f t="shared" ca="1" si="109"/>
        <v/>
      </c>
      <c r="BK261" s="484" t="str">
        <f t="shared" ca="1" si="109"/>
        <v/>
      </c>
      <c r="BL261" s="484" t="str">
        <f t="shared" ca="1" si="109"/>
        <v/>
      </c>
      <c r="BM261" s="484" t="str">
        <f t="shared" ca="1" si="109"/>
        <v/>
      </c>
      <c r="BN261" s="484" t="str">
        <f t="shared" ca="1" si="109"/>
        <v/>
      </c>
      <c r="BO261" s="484" t="str">
        <f t="shared" ca="1" si="109"/>
        <v/>
      </c>
      <c r="BP261" s="484" t="str">
        <f t="shared" ca="1" si="109"/>
        <v/>
      </c>
      <c r="BQ261" s="484" t="str">
        <f t="shared" ca="1" si="109"/>
        <v/>
      </c>
      <c r="BR261" s="484" t="str">
        <f t="shared" ca="1" si="109"/>
        <v/>
      </c>
      <c r="BS261" s="484" t="str">
        <f t="shared" ca="1" si="109"/>
        <v/>
      </c>
      <c r="BT261" s="484" t="str">
        <f t="shared" ca="1" si="109"/>
        <v/>
      </c>
      <c r="BU261" s="484" t="str">
        <f t="shared" ca="1" si="109"/>
        <v/>
      </c>
      <c r="BV261" s="484" t="str">
        <f t="shared" ca="1" si="109"/>
        <v/>
      </c>
      <c r="BW261" s="484" t="str">
        <f t="shared" ca="1" si="109"/>
        <v/>
      </c>
      <c r="BX261" s="484" t="str">
        <f t="shared" ca="1" si="109"/>
        <v/>
      </c>
      <c r="BY261" s="484" t="str">
        <f t="shared" ca="1" si="109"/>
        <v/>
      </c>
      <c r="BZ261" s="484" t="str">
        <f t="shared" ca="1" si="109"/>
        <v/>
      </c>
      <c r="CA261" s="484" t="str">
        <f t="shared" ca="1" si="109"/>
        <v/>
      </c>
      <c r="CB261" s="484" t="str">
        <f t="shared" ca="1" si="109"/>
        <v/>
      </c>
      <c r="CC261" s="484" t="str">
        <f t="shared" ca="1" si="109"/>
        <v/>
      </c>
      <c r="CD261" s="484" t="str">
        <f t="shared" ca="1" si="109"/>
        <v/>
      </c>
      <c r="CE261" s="484" t="str">
        <f t="shared" ca="1" si="109"/>
        <v/>
      </c>
      <c r="CF261" s="484" t="str">
        <f t="shared" ca="1" si="109"/>
        <v/>
      </c>
      <c r="CG261" s="484" t="str">
        <f t="shared" ca="1" si="109"/>
        <v/>
      </c>
      <c r="CH261" s="484" t="str">
        <f t="shared" ca="1" si="109"/>
        <v/>
      </c>
      <c r="CI261" s="484" t="str">
        <f t="shared" ca="1" si="109"/>
        <v/>
      </c>
      <c r="CJ261" s="484" t="str">
        <f t="shared" ref="CJ261:DA261" ca="1" si="110">IFERROR(OFFSET(貼付け_2024実績,5,AK260+1),"")&amp;""</f>
        <v/>
      </c>
      <c r="CK261" s="484" t="str">
        <f t="shared" ca="1" si="110"/>
        <v/>
      </c>
      <c r="CL261" s="484" t="str">
        <f t="shared" ca="1" si="110"/>
        <v/>
      </c>
      <c r="CM261" s="484" t="str">
        <f t="shared" ca="1" si="110"/>
        <v/>
      </c>
      <c r="CN261" s="484" t="str">
        <f t="shared" ca="1" si="110"/>
        <v/>
      </c>
      <c r="CO261" s="484" t="str">
        <f t="shared" ca="1" si="110"/>
        <v/>
      </c>
      <c r="CP261" s="484" t="str">
        <f t="shared" ca="1" si="110"/>
        <v/>
      </c>
      <c r="CQ261" s="484" t="str">
        <f t="shared" ca="1" si="110"/>
        <v/>
      </c>
      <c r="CR261" s="484" t="str">
        <f t="shared" ca="1" si="110"/>
        <v/>
      </c>
      <c r="CS261" s="484" t="str">
        <f t="shared" ca="1" si="110"/>
        <v/>
      </c>
      <c r="CT261" s="484" t="str">
        <f t="shared" ca="1" si="110"/>
        <v/>
      </c>
      <c r="CU261" s="484" t="str">
        <f t="shared" ca="1" si="110"/>
        <v/>
      </c>
      <c r="CV261" s="484" t="str">
        <f t="shared" ca="1" si="110"/>
        <v/>
      </c>
      <c r="CW261" s="484" t="str">
        <f t="shared" ca="1" si="110"/>
        <v/>
      </c>
      <c r="CX261" s="484" t="str">
        <f t="shared" ca="1" si="110"/>
        <v/>
      </c>
      <c r="CY261" s="484" t="str">
        <f t="shared" ca="1" si="110"/>
        <v/>
      </c>
      <c r="CZ261" s="484" t="str">
        <f t="shared" ca="1" si="110"/>
        <v/>
      </c>
      <c r="DA261" s="484" t="str">
        <f t="shared" ca="1" si="110"/>
        <v/>
      </c>
      <c r="IE261" s="485"/>
      <c r="IF261" s="485"/>
      <c r="IG261" s="485"/>
      <c r="IH261" s="485"/>
    </row>
    <row r="262" spans="1:242" s="327" customFormat="1" ht="19.5" hidden="1" customHeight="1">
      <c r="A262" s="327">
        <v>16</v>
      </c>
      <c r="B262" s="1306"/>
      <c r="C262" s="482" t="str">
        <f>D260-1&amp;"&amp;"&amp;D260</f>
        <v>2023&amp;2024</v>
      </c>
      <c r="D262" s="483" t="str">
        <f>""</f>
        <v/>
      </c>
      <c r="E262" s="484" t="str">
        <f t="array" aca="1" ref="E262" ca="1">IFERROR(INDEX($E261:$DA261,MATCH(0,COUNTIF($D262:D262,$E261:$DA261),0)),"")</f>
        <v/>
      </c>
      <c r="F262" s="484" t="str">
        <f t="array" aca="1" ref="F262" ca="1">IFERROR(INDEX($E261:$DA261,MATCH(0,COUNTIF($D262:E262,$E261:$DA261),0)),"")</f>
        <v/>
      </c>
      <c r="G262" s="484" t="str">
        <f t="array" aca="1" ref="G262" ca="1">IFERROR(INDEX($E261:$DA261,MATCH(0,COUNTIF($D262:F262,$E261:$DA261),0)),"")</f>
        <v/>
      </c>
      <c r="H262" s="484" t="str">
        <f t="array" aca="1" ref="H262" ca="1">IFERROR(INDEX($E261:$DA261,MATCH(0,COUNTIF($D262:G262,$E261:$DA261),0)),"")</f>
        <v/>
      </c>
      <c r="I262" s="484" t="str">
        <f t="array" aca="1" ref="I262" ca="1">IFERROR(INDEX($E261:$DA261,MATCH(0,COUNTIF($D262:H262,$E261:$DA261),0)),"")</f>
        <v/>
      </c>
      <c r="J262" s="484" t="str">
        <f t="array" aca="1" ref="J262" ca="1">IFERROR(INDEX($E261:$DA261,MATCH(0,COUNTIF($D262:I262,$E261:$DA261),0)),"")</f>
        <v/>
      </c>
      <c r="K262" s="484" t="str">
        <f t="array" aca="1" ref="K262" ca="1">IFERROR(INDEX($E261:$DA261,MATCH(0,COUNTIF($D262:J262,$E261:$DA261),0)),"")</f>
        <v/>
      </c>
      <c r="L262" s="484" t="str">
        <f t="array" aca="1" ref="L262" ca="1">IFERROR(INDEX($E261:$DA261,MATCH(0,COUNTIF($D262:K262,$E261:$DA261),0)),"")</f>
        <v/>
      </c>
      <c r="M262" s="484" t="str">
        <f t="array" aca="1" ref="M262" ca="1">IFERROR(INDEX($E261:$DA261,MATCH(0,COUNTIF($D262:L262,$E261:$DA261),0)),"")</f>
        <v/>
      </c>
      <c r="N262" s="484" t="str">
        <f t="array" aca="1" ref="N262" ca="1">IFERROR(INDEX($E261:$DA261,MATCH(0,COUNTIF($D262:M262,$E261:$DA261),0)),"")</f>
        <v/>
      </c>
      <c r="O262" s="484" t="str">
        <f t="array" aca="1" ref="O262" ca="1">IFERROR(INDEX($E261:$DA261,MATCH(0,COUNTIF($D262:N262,$E261:$DA261),0)),"")</f>
        <v/>
      </c>
      <c r="P262" s="484" t="str">
        <f t="array" aca="1" ref="P262" ca="1">IFERROR(INDEX($E261:$DA261,MATCH(0,COUNTIF($D262:O262,$E261:$DA261),0)),"")</f>
        <v/>
      </c>
      <c r="Q262" s="484" t="str">
        <f t="array" aca="1" ref="Q262" ca="1">IFERROR(INDEX($E261:$DA261,MATCH(0,COUNTIF($D262:P262,$E261:$DA261),0)),"")</f>
        <v/>
      </c>
      <c r="R262" s="484" t="str">
        <f t="array" aca="1" ref="R262" ca="1">IFERROR(INDEX($E261:$DA261,MATCH(0,COUNTIF($D262:Q262,$E261:$DA261),0)),"")</f>
        <v/>
      </c>
      <c r="S262" s="484" t="str">
        <f t="array" aca="1" ref="S262" ca="1">IFERROR(INDEX($E261:$DA261,MATCH(0,COUNTIF($D262:R262,$E261:$DA261),0)),"")</f>
        <v/>
      </c>
      <c r="T262" s="484" t="str">
        <f t="array" aca="1" ref="T262" ca="1">IFERROR(INDEX($E261:$DA261,MATCH(0,COUNTIF($D262:S262,$E261:$DA261),0)),"")</f>
        <v/>
      </c>
      <c r="U262" s="484" t="str">
        <f t="array" aca="1" ref="U262" ca="1">IFERROR(INDEX($E261:$DA261,MATCH(0,COUNTIF($D262:T262,$E261:$DA261),0)),"")</f>
        <v/>
      </c>
      <c r="V262" s="484" t="str">
        <f t="array" aca="1" ref="V262" ca="1">IFERROR(INDEX($E261:$DA261,MATCH(0,COUNTIF($D262:U262,$E261:$DA261),0)),"")</f>
        <v/>
      </c>
      <c r="W262" s="484" t="str">
        <f t="array" aca="1" ref="W262" ca="1">IFERROR(INDEX($E261:$DA261,MATCH(0,COUNTIF($D262:V262,$E261:$DA261),0)),"")</f>
        <v/>
      </c>
      <c r="X262" s="484" t="str">
        <f t="array" aca="1" ref="X262" ca="1">IFERROR(INDEX($E261:$DA261,MATCH(0,COUNTIF($D262:W262,$E261:$DA261),0)),"")</f>
        <v/>
      </c>
      <c r="Y262" s="484" t="str">
        <f t="array" aca="1" ref="Y262" ca="1">IFERROR(INDEX($E261:$DA261,MATCH(0,COUNTIF($D262:X262,$E261:$DA261),0)),"")</f>
        <v/>
      </c>
      <c r="Z262" s="484" t="str">
        <f t="array" aca="1" ref="Z262" ca="1">IFERROR(INDEX($E261:$DA261,MATCH(0,COUNTIF($D262:Y262,$E261:$DA261),0)),"")</f>
        <v/>
      </c>
      <c r="AA262" s="484" t="str">
        <f t="array" aca="1" ref="AA262" ca="1">IFERROR(INDEX($E261:$DA261,MATCH(0,COUNTIF($D262:Z262,$E261:$DA261),0)),"")</f>
        <v/>
      </c>
      <c r="AB262" s="484" t="str">
        <f t="array" aca="1" ref="AB262" ca="1">IFERROR(INDEX($E261:$DA261,MATCH(0,COUNTIF($D262:AA262,$E261:$DA261),0)),"")</f>
        <v/>
      </c>
      <c r="AC262" s="484" t="str">
        <f t="array" aca="1" ref="AC262" ca="1">IFERROR(INDEX($E261:$DA261,MATCH(0,COUNTIF($D262:AB262,$E261:$DA261),0)),"")</f>
        <v/>
      </c>
      <c r="AD262" s="484" t="str">
        <f t="array" aca="1" ref="AD262" ca="1">IFERROR(INDEX($E261:$DA261,MATCH(0,COUNTIF($D262:AC262,$E261:$DA261),0)),"")</f>
        <v/>
      </c>
      <c r="AE262" s="484" t="str">
        <f t="array" aca="1" ref="AE262" ca="1">IFERROR(INDEX($E261:$DA261,MATCH(0,COUNTIF($D262:AD262,$E261:$DA261),0)),"")</f>
        <v/>
      </c>
      <c r="AF262" s="484" t="str">
        <f t="array" aca="1" ref="AF262" ca="1">IFERROR(INDEX($E261:$DA261,MATCH(0,COUNTIF($D262:AE262,$E261:$DA261),0)),"")</f>
        <v/>
      </c>
      <c r="AG262" s="484" t="str">
        <f t="array" aca="1" ref="AG262" ca="1">IFERROR(INDEX($E261:$DA261,MATCH(0,COUNTIF($D262:AF262,$E261:$DA261),0)),"")</f>
        <v/>
      </c>
      <c r="AH262" s="484" t="str">
        <f t="array" aca="1" ref="AH262" ca="1">IFERROR(INDEX($E261:$DA261,MATCH(0,COUNTIF($D262:AG262,$E261:$DA261),0)),"")</f>
        <v/>
      </c>
      <c r="AI262" s="484" t="str">
        <f t="array" aca="1" ref="AI262" ca="1">IFERROR(INDEX($E261:$DA261,MATCH(0,COUNTIF($D262:AH262,$E261:$DA261),0)),"")</f>
        <v/>
      </c>
      <c r="AJ262" s="484" t="str">
        <f t="array" aca="1" ref="AJ262" ca="1">IFERROR(INDEX($E261:$DA261,MATCH(0,COUNTIF($D262:AI262,$E261:$DA261),0)),"")</f>
        <v/>
      </c>
      <c r="AK262" s="484" t="str">
        <f t="array" aca="1" ref="AK262" ca="1">IFERROR(INDEX($E261:$DA261,MATCH(0,COUNTIF($D262:AJ262,$E261:$DA261),0)),"")</f>
        <v/>
      </c>
      <c r="AL262" s="484" t="str">
        <f t="array" aca="1" ref="AL262" ca="1">IFERROR(INDEX($E261:$DA261,MATCH(0,COUNTIF($D262:AK262,$E261:$DA261),0)),"")</f>
        <v/>
      </c>
      <c r="AM262" s="484" t="str">
        <f t="array" aca="1" ref="AM262" ca="1">IFERROR(INDEX($E261:$DA261,MATCH(0,COUNTIF($D262:AL262,$E261:$DA261),0)),"")</f>
        <v/>
      </c>
      <c r="AN262" s="484" t="str">
        <f t="array" aca="1" ref="AN262" ca="1">IFERROR(INDEX($E261:$DA261,MATCH(0,COUNTIF($D262:AM262,$E261:$DA261),0)),"")</f>
        <v/>
      </c>
      <c r="AO262" s="484" t="str">
        <f t="array" aca="1" ref="AO262" ca="1">IFERROR(INDEX($E261:$DA261,MATCH(0,COUNTIF($D262:AN262,$E261:$DA261),0)),"")</f>
        <v/>
      </c>
      <c r="AP262" s="484" t="str">
        <f t="array" aca="1" ref="AP262" ca="1">IFERROR(INDEX($E261:$DA261,MATCH(0,COUNTIF($D262:AO262,$E261:$DA261),0)),"")</f>
        <v/>
      </c>
      <c r="AQ262" s="484" t="str">
        <f t="array" aca="1" ref="AQ262" ca="1">IFERROR(INDEX($E261:$DA261,MATCH(0,COUNTIF($D262:AP262,$E261:$DA261),0)),"")</f>
        <v/>
      </c>
      <c r="AR262" s="484" t="str">
        <f t="array" aca="1" ref="AR262" ca="1">IFERROR(INDEX($E261:$DA261,MATCH(0,COUNTIF($D262:AQ262,$E261:$DA261),0)),"")</f>
        <v/>
      </c>
      <c r="AS262" s="484" t="str">
        <f t="array" aca="1" ref="AS262" ca="1">IFERROR(INDEX($E261:$DA261,MATCH(0,COUNTIF($D262:AR262,$E261:$DA261),0)),"")</f>
        <v/>
      </c>
      <c r="AT262" s="484" t="str">
        <f t="array" aca="1" ref="AT262" ca="1">IFERROR(INDEX($E261:$DA261,MATCH(0,COUNTIF($D262:AS262,$E261:$DA261),0)),"")</f>
        <v/>
      </c>
      <c r="AU262" s="484" t="str">
        <f t="array" aca="1" ref="AU262" ca="1">IFERROR(INDEX($E261:$DA261,MATCH(0,COUNTIF($D262:AT262,$E261:$DA261),0)),"")</f>
        <v/>
      </c>
      <c r="AV262" s="484" t="str">
        <f t="array" aca="1" ref="AV262" ca="1">IFERROR(INDEX($E261:$DA261,MATCH(0,COUNTIF($D262:AU262,$E261:$DA261),0)),"")</f>
        <v/>
      </c>
      <c r="AW262" s="484" t="str">
        <f t="array" aca="1" ref="AW262" ca="1">IFERROR(INDEX($E261:$DA261,MATCH(0,COUNTIF($D262:AV262,$E261:$DA261),0)),"")</f>
        <v/>
      </c>
      <c r="AX262" s="484" t="str">
        <f t="array" aca="1" ref="AX262" ca="1">IFERROR(INDEX($E261:$DA261,MATCH(0,COUNTIF($D262:AW262,$E261:$DA261),0)),"")</f>
        <v/>
      </c>
      <c r="AY262" s="484" t="str">
        <f t="array" aca="1" ref="AY262" ca="1">IFERROR(INDEX($E261:$DA261,MATCH(0,COUNTIF($D262:AX262,$E261:$DA261),0)),"")</f>
        <v/>
      </c>
      <c r="AZ262" s="484" t="str">
        <f t="array" aca="1" ref="AZ262" ca="1">IFERROR(INDEX($E261:$DA261,MATCH(0,COUNTIF($D262:AY262,$E261:$DA261),0)),"")</f>
        <v/>
      </c>
      <c r="BA262" s="449" t="str">
        <f t="array" aca="1" ref="BA262" ca="1">IFERROR(INDEX($E261:$DA261,MATCH(0,COUNTIF($D262:AZ262,$E261:$DA261),0)),"")</f>
        <v/>
      </c>
      <c r="BB262" s="447" t="str">
        <f t="array" aca="1" ref="BB262" ca="1">IFERROR(INDEX($E261:$DA261,MATCH(0,COUNTIF($D262:BA262,$E261:$DA261),0)),"")</f>
        <v/>
      </c>
      <c r="BC262" s="486"/>
      <c r="BD262" s="486" t="str">
        <f>""</f>
        <v/>
      </c>
      <c r="BE262" s="486"/>
      <c r="BF262" s="486"/>
      <c r="BG262" s="486"/>
      <c r="BH262" s="486"/>
      <c r="BI262" s="486"/>
      <c r="BJ262" s="486"/>
      <c r="BK262" s="486"/>
      <c r="BL262" s="486"/>
      <c r="BM262" s="486"/>
      <c r="BN262" s="486"/>
      <c r="BO262" s="486"/>
      <c r="BP262" s="486"/>
      <c r="BQ262" s="486"/>
      <c r="BR262" s="486"/>
      <c r="BS262" s="486"/>
      <c r="BT262" s="486"/>
      <c r="BU262" s="486"/>
      <c r="BV262" s="486"/>
      <c r="BW262" s="486"/>
      <c r="IE262" s="485"/>
      <c r="IF262" s="485"/>
      <c r="IG262" s="485"/>
      <c r="IH262" s="485"/>
    </row>
    <row r="263" spans="1:242" s="327" customFormat="1" hidden="1">
      <c r="A263" s="327">
        <v>17</v>
      </c>
      <c r="B263" s="1306"/>
      <c r="C263" s="482" t="s">
        <v>626</v>
      </c>
      <c r="D263" s="483" t="str">
        <f>""</f>
        <v/>
      </c>
      <c r="E263" s="484" t="str">
        <f t="shared" ref="E263:AJ263" ca="1" si="111">IF(OFFSET(貼付け_2024実績,2,12)="■",BD261,IFERROR(INDEX($BD261:$DA261,MATCH(E262,$BD261:$DA261,0)),""))</f>
        <v/>
      </c>
      <c r="F263" s="484" t="str">
        <f t="shared" ca="1" si="111"/>
        <v/>
      </c>
      <c r="G263" s="484" t="str">
        <f t="shared" ca="1" si="111"/>
        <v/>
      </c>
      <c r="H263" s="484" t="str">
        <f t="shared" ca="1" si="111"/>
        <v/>
      </c>
      <c r="I263" s="484" t="str">
        <f t="shared" ca="1" si="111"/>
        <v/>
      </c>
      <c r="J263" s="484" t="str">
        <f t="shared" ca="1" si="111"/>
        <v/>
      </c>
      <c r="K263" s="484" t="str">
        <f t="shared" ca="1" si="111"/>
        <v/>
      </c>
      <c r="L263" s="484" t="str">
        <f t="shared" ca="1" si="111"/>
        <v/>
      </c>
      <c r="M263" s="484" t="str">
        <f t="shared" ca="1" si="111"/>
        <v/>
      </c>
      <c r="N263" s="484" t="str">
        <f t="shared" ca="1" si="111"/>
        <v/>
      </c>
      <c r="O263" s="484" t="str">
        <f t="shared" ca="1" si="111"/>
        <v/>
      </c>
      <c r="P263" s="484" t="str">
        <f t="shared" ca="1" si="111"/>
        <v/>
      </c>
      <c r="Q263" s="484" t="str">
        <f t="shared" ca="1" si="111"/>
        <v/>
      </c>
      <c r="R263" s="484" t="str">
        <f t="shared" ca="1" si="111"/>
        <v/>
      </c>
      <c r="S263" s="484" t="str">
        <f t="shared" ca="1" si="111"/>
        <v/>
      </c>
      <c r="T263" s="484" t="str">
        <f t="shared" ca="1" si="111"/>
        <v/>
      </c>
      <c r="U263" s="484" t="str">
        <f t="shared" ca="1" si="111"/>
        <v/>
      </c>
      <c r="V263" s="484" t="str">
        <f t="shared" ca="1" si="111"/>
        <v/>
      </c>
      <c r="W263" s="484" t="str">
        <f t="shared" ca="1" si="111"/>
        <v/>
      </c>
      <c r="X263" s="484" t="str">
        <f t="shared" ca="1" si="111"/>
        <v/>
      </c>
      <c r="Y263" s="484" t="str">
        <f t="shared" ca="1" si="111"/>
        <v/>
      </c>
      <c r="Z263" s="484" t="str">
        <f t="shared" ca="1" si="111"/>
        <v/>
      </c>
      <c r="AA263" s="484" t="str">
        <f t="shared" ca="1" si="111"/>
        <v/>
      </c>
      <c r="AB263" s="484" t="str">
        <f t="shared" ca="1" si="111"/>
        <v/>
      </c>
      <c r="AC263" s="484" t="str">
        <f t="shared" ca="1" si="111"/>
        <v/>
      </c>
      <c r="AD263" s="484" t="str">
        <f t="shared" ca="1" si="111"/>
        <v/>
      </c>
      <c r="AE263" s="484" t="str">
        <f t="shared" ca="1" si="111"/>
        <v/>
      </c>
      <c r="AF263" s="484" t="str">
        <f t="shared" ca="1" si="111"/>
        <v/>
      </c>
      <c r="AG263" s="484" t="str">
        <f t="shared" ca="1" si="111"/>
        <v/>
      </c>
      <c r="AH263" s="484" t="str">
        <f t="shared" ca="1" si="111"/>
        <v/>
      </c>
      <c r="AI263" s="484" t="str">
        <f t="shared" ca="1" si="111"/>
        <v/>
      </c>
      <c r="AJ263" s="484" t="str">
        <f t="shared" ca="1" si="111"/>
        <v/>
      </c>
      <c r="AK263" s="484" t="str">
        <f t="shared" ref="AK263:BB263" ca="1" si="112">IF(OFFSET(貼付け_2024実績,2,12)="■",CJ261,IFERROR(INDEX($BD261:$DA261,MATCH(AK262,$BD261:$DA261,0)),""))</f>
        <v/>
      </c>
      <c r="AL263" s="484" t="str">
        <f t="shared" ca="1" si="112"/>
        <v/>
      </c>
      <c r="AM263" s="484" t="str">
        <f t="shared" ca="1" si="112"/>
        <v/>
      </c>
      <c r="AN263" s="484" t="str">
        <f t="shared" ca="1" si="112"/>
        <v/>
      </c>
      <c r="AO263" s="484" t="str">
        <f t="shared" ca="1" si="112"/>
        <v/>
      </c>
      <c r="AP263" s="484" t="str">
        <f t="shared" ca="1" si="112"/>
        <v/>
      </c>
      <c r="AQ263" s="484" t="str">
        <f t="shared" ca="1" si="112"/>
        <v/>
      </c>
      <c r="AR263" s="484" t="str">
        <f t="shared" ca="1" si="112"/>
        <v/>
      </c>
      <c r="AS263" s="484" t="str">
        <f t="shared" ca="1" si="112"/>
        <v/>
      </c>
      <c r="AT263" s="484" t="str">
        <f t="shared" ca="1" si="112"/>
        <v/>
      </c>
      <c r="AU263" s="484" t="str">
        <f t="shared" ca="1" si="112"/>
        <v/>
      </c>
      <c r="AV263" s="484" t="str">
        <f t="shared" ca="1" si="112"/>
        <v/>
      </c>
      <c r="AW263" s="484" t="str">
        <f t="shared" ca="1" si="112"/>
        <v/>
      </c>
      <c r="AX263" s="484" t="str">
        <f t="shared" ca="1" si="112"/>
        <v/>
      </c>
      <c r="AY263" s="484" t="str">
        <f t="shared" ca="1" si="112"/>
        <v/>
      </c>
      <c r="AZ263" s="484" t="str">
        <f t="shared" ca="1" si="112"/>
        <v/>
      </c>
      <c r="BA263" s="449" t="str">
        <f t="shared" ca="1" si="112"/>
        <v/>
      </c>
      <c r="BB263" s="447" t="str">
        <f t="shared" ca="1" si="112"/>
        <v/>
      </c>
      <c r="BD263" s="327" t="str">
        <f>""</f>
        <v/>
      </c>
      <c r="IE263" s="485"/>
      <c r="IF263" s="485"/>
      <c r="IG263" s="485"/>
      <c r="IH263" s="485"/>
    </row>
    <row r="264" spans="1:242" s="327" customFormat="1" hidden="1">
      <c r="A264" s="327">
        <v>18</v>
      </c>
      <c r="B264" s="1306"/>
      <c r="C264" s="487" t="s">
        <v>627</v>
      </c>
      <c r="D264" s="488">
        <v>6</v>
      </c>
      <c r="E264" s="489" t="str">
        <f t="shared" ref="E264:AJ264" ca="1" si="113">OFFSET(A1_名称2024,E$247+2,$D264)&amp;""</f>
        <v/>
      </c>
      <c r="F264" s="489" t="str">
        <f t="shared" ca="1" si="113"/>
        <v/>
      </c>
      <c r="G264" s="489" t="str">
        <f t="shared" ca="1" si="113"/>
        <v/>
      </c>
      <c r="H264" s="489" t="str">
        <f t="shared" ca="1" si="113"/>
        <v/>
      </c>
      <c r="I264" s="489" t="str">
        <f t="shared" ca="1" si="113"/>
        <v/>
      </c>
      <c r="J264" s="489" t="str">
        <f t="shared" ca="1" si="113"/>
        <v/>
      </c>
      <c r="K264" s="489" t="str">
        <f t="shared" ca="1" si="113"/>
        <v/>
      </c>
      <c r="L264" s="489" t="str">
        <f t="shared" ca="1" si="113"/>
        <v/>
      </c>
      <c r="M264" s="489" t="str">
        <f t="shared" ca="1" si="113"/>
        <v/>
      </c>
      <c r="N264" s="489" t="str">
        <f t="shared" ca="1" si="113"/>
        <v/>
      </c>
      <c r="O264" s="489" t="str">
        <f t="shared" ca="1" si="113"/>
        <v/>
      </c>
      <c r="P264" s="489" t="str">
        <f t="shared" ca="1" si="113"/>
        <v/>
      </c>
      <c r="Q264" s="489" t="str">
        <f t="shared" ca="1" si="113"/>
        <v/>
      </c>
      <c r="R264" s="489" t="str">
        <f t="shared" ca="1" si="113"/>
        <v/>
      </c>
      <c r="S264" s="489" t="str">
        <f t="shared" ca="1" si="113"/>
        <v/>
      </c>
      <c r="T264" s="489" t="str">
        <f t="shared" ca="1" si="113"/>
        <v/>
      </c>
      <c r="U264" s="489" t="str">
        <f t="shared" ca="1" si="113"/>
        <v/>
      </c>
      <c r="V264" s="489" t="str">
        <f t="shared" ca="1" si="113"/>
        <v/>
      </c>
      <c r="W264" s="489" t="str">
        <f t="shared" ca="1" si="113"/>
        <v/>
      </c>
      <c r="X264" s="489" t="str">
        <f t="shared" ca="1" si="113"/>
        <v/>
      </c>
      <c r="Y264" s="489" t="str">
        <f t="shared" ca="1" si="113"/>
        <v/>
      </c>
      <c r="Z264" s="489" t="str">
        <f t="shared" ca="1" si="113"/>
        <v/>
      </c>
      <c r="AA264" s="489" t="str">
        <f t="shared" ca="1" si="113"/>
        <v/>
      </c>
      <c r="AB264" s="489" t="str">
        <f t="shared" ca="1" si="113"/>
        <v/>
      </c>
      <c r="AC264" s="489" t="str">
        <f t="shared" ca="1" si="113"/>
        <v/>
      </c>
      <c r="AD264" s="489" t="str">
        <f t="shared" ca="1" si="113"/>
        <v/>
      </c>
      <c r="AE264" s="489" t="str">
        <f t="shared" ca="1" si="113"/>
        <v/>
      </c>
      <c r="AF264" s="489" t="str">
        <f t="shared" ca="1" si="113"/>
        <v/>
      </c>
      <c r="AG264" s="489" t="str">
        <f t="shared" ca="1" si="113"/>
        <v/>
      </c>
      <c r="AH264" s="489" t="str">
        <f t="shared" ca="1" si="113"/>
        <v/>
      </c>
      <c r="AI264" s="489" t="str">
        <f t="shared" ca="1" si="113"/>
        <v/>
      </c>
      <c r="AJ264" s="489" t="str">
        <f t="shared" ca="1" si="113"/>
        <v/>
      </c>
      <c r="AK264" s="489" t="str">
        <f t="shared" ref="AK264:BB264" ca="1" si="114">OFFSET(A1_名称2024,AK$247+2,$D264)&amp;""</f>
        <v/>
      </c>
      <c r="AL264" s="489" t="str">
        <f t="shared" ca="1" si="114"/>
        <v/>
      </c>
      <c r="AM264" s="489" t="str">
        <f t="shared" ca="1" si="114"/>
        <v/>
      </c>
      <c r="AN264" s="489" t="str">
        <f t="shared" ca="1" si="114"/>
        <v/>
      </c>
      <c r="AO264" s="489" t="str">
        <f t="shared" ca="1" si="114"/>
        <v/>
      </c>
      <c r="AP264" s="489" t="str">
        <f t="shared" ca="1" si="114"/>
        <v/>
      </c>
      <c r="AQ264" s="489" t="str">
        <f t="shared" ca="1" si="114"/>
        <v/>
      </c>
      <c r="AR264" s="489" t="str">
        <f t="shared" ca="1" si="114"/>
        <v/>
      </c>
      <c r="AS264" s="489" t="str">
        <f t="shared" ca="1" si="114"/>
        <v/>
      </c>
      <c r="AT264" s="489" t="str">
        <f t="shared" ca="1" si="114"/>
        <v/>
      </c>
      <c r="AU264" s="489" t="str">
        <f t="shared" ca="1" si="114"/>
        <v/>
      </c>
      <c r="AV264" s="489" t="str">
        <f t="shared" ca="1" si="114"/>
        <v/>
      </c>
      <c r="AW264" s="489" t="str">
        <f t="shared" ca="1" si="114"/>
        <v/>
      </c>
      <c r="AX264" s="489" t="str">
        <f t="shared" ca="1" si="114"/>
        <v/>
      </c>
      <c r="AY264" s="489" t="str">
        <f t="shared" ca="1" si="114"/>
        <v/>
      </c>
      <c r="AZ264" s="489" t="str">
        <f t="shared" ca="1" si="114"/>
        <v/>
      </c>
      <c r="BA264" s="490" t="str">
        <f t="shared" ca="1" si="114"/>
        <v/>
      </c>
      <c r="BB264" s="491" t="str">
        <f t="shared" ca="1" si="114"/>
        <v/>
      </c>
      <c r="IE264" s="485"/>
      <c r="IF264" s="485"/>
      <c r="IG264" s="485"/>
      <c r="IH264" s="485"/>
    </row>
    <row r="265" spans="1:242" s="327" customFormat="1" hidden="1">
      <c r="A265" s="327">
        <v>19</v>
      </c>
      <c r="B265" s="1306"/>
      <c r="C265" s="482" t="s">
        <v>628</v>
      </c>
      <c r="D265" s="483"/>
      <c r="E265" s="484" t="str">
        <f ca="1">IF(E264="","",IFERROR(INDEX($E260:$BB260,MATCH(E264,$BD261:$DA261,0)),""))</f>
        <v/>
      </c>
      <c r="F265" s="484" t="str">
        <f t="shared" ref="F265:BB265" ca="1" si="115">IF(F264="","",IFERROR(INDEX($E260:$BB260,MATCH(F264,$BD261:$DA261,0)),""))</f>
        <v/>
      </c>
      <c r="G265" s="484" t="str">
        <f t="shared" ca="1" si="115"/>
        <v/>
      </c>
      <c r="H265" s="484" t="str">
        <f t="shared" ca="1" si="115"/>
        <v/>
      </c>
      <c r="I265" s="484" t="str">
        <f t="shared" ca="1" si="115"/>
        <v/>
      </c>
      <c r="J265" s="484" t="str">
        <f t="shared" ca="1" si="115"/>
        <v/>
      </c>
      <c r="K265" s="484" t="str">
        <f t="shared" ca="1" si="115"/>
        <v/>
      </c>
      <c r="L265" s="484" t="str">
        <f t="shared" ca="1" si="115"/>
        <v/>
      </c>
      <c r="M265" s="484" t="str">
        <f t="shared" ca="1" si="115"/>
        <v/>
      </c>
      <c r="N265" s="484" t="str">
        <f t="shared" ca="1" si="115"/>
        <v/>
      </c>
      <c r="O265" s="484" t="str">
        <f t="shared" ca="1" si="115"/>
        <v/>
      </c>
      <c r="P265" s="484" t="str">
        <f t="shared" ca="1" si="115"/>
        <v/>
      </c>
      <c r="Q265" s="484" t="str">
        <f t="shared" ca="1" si="115"/>
        <v/>
      </c>
      <c r="R265" s="484" t="str">
        <f t="shared" ca="1" si="115"/>
        <v/>
      </c>
      <c r="S265" s="484" t="str">
        <f t="shared" ca="1" si="115"/>
        <v/>
      </c>
      <c r="T265" s="484" t="str">
        <f t="shared" ca="1" si="115"/>
        <v/>
      </c>
      <c r="U265" s="484" t="str">
        <f t="shared" ca="1" si="115"/>
        <v/>
      </c>
      <c r="V265" s="484" t="str">
        <f t="shared" ca="1" si="115"/>
        <v/>
      </c>
      <c r="W265" s="484" t="str">
        <f t="shared" ca="1" si="115"/>
        <v/>
      </c>
      <c r="X265" s="484" t="str">
        <f t="shared" ca="1" si="115"/>
        <v/>
      </c>
      <c r="Y265" s="484" t="str">
        <f t="shared" ca="1" si="115"/>
        <v/>
      </c>
      <c r="Z265" s="484" t="str">
        <f t="shared" ca="1" si="115"/>
        <v/>
      </c>
      <c r="AA265" s="484" t="str">
        <f t="shared" ca="1" si="115"/>
        <v/>
      </c>
      <c r="AB265" s="484" t="str">
        <f t="shared" ca="1" si="115"/>
        <v/>
      </c>
      <c r="AC265" s="484" t="str">
        <f t="shared" ca="1" si="115"/>
        <v/>
      </c>
      <c r="AD265" s="484" t="str">
        <f t="shared" ca="1" si="115"/>
        <v/>
      </c>
      <c r="AE265" s="484" t="str">
        <f t="shared" ca="1" si="115"/>
        <v/>
      </c>
      <c r="AF265" s="484" t="str">
        <f t="shared" ca="1" si="115"/>
        <v/>
      </c>
      <c r="AG265" s="484" t="str">
        <f t="shared" ca="1" si="115"/>
        <v/>
      </c>
      <c r="AH265" s="484" t="str">
        <f t="shared" ca="1" si="115"/>
        <v/>
      </c>
      <c r="AI265" s="484" t="str">
        <f t="shared" ca="1" si="115"/>
        <v/>
      </c>
      <c r="AJ265" s="484" t="str">
        <f t="shared" ca="1" si="115"/>
        <v/>
      </c>
      <c r="AK265" s="484" t="str">
        <f t="shared" ca="1" si="115"/>
        <v/>
      </c>
      <c r="AL265" s="484" t="str">
        <f t="shared" ca="1" si="115"/>
        <v/>
      </c>
      <c r="AM265" s="484" t="str">
        <f t="shared" ca="1" si="115"/>
        <v/>
      </c>
      <c r="AN265" s="484" t="str">
        <f t="shared" ca="1" si="115"/>
        <v/>
      </c>
      <c r="AO265" s="484" t="str">
        <f t="shared" ca="1" si="115"/>
        <v/>
      </c>
      <c r="AP265" s="484" t="str">
        <f t="shared" ca="1" si="115"/>
        <v/>
      </c>
      <c r="AQ265" s="484" t="str">
        <f t="shared" ca="1" si="115"/>
        <v/>
      </c>
      <c r="AR265" s="484" t="str">
        <f t="shared" ca="1" si="115"/>
        <v/>
      </c>
      <c r="AS265" s="484" t="str">
        <f t="shared" ca="1" si="115"/>
        <v/>
      </c>
      <c r="AT265" s="484" t="str">
        <f t="shared" ca="1" si="115"/>
        <v/>
      </c>
      <c r="AU265" s="484" t="str">
        <f t="shared" ca="1" si="115"/>
        <v/>
      </c>
      <c r="AV265" s="484" t="str">
        <f t="shared" ca="1" si="115"/>
        <v/>
      </c>
      <c r="AW265" s="484" t="str">
        <f t="shared" ca="1" si="115"/>
        <v/>
      </c>
      <c r="AX265" s="484" t="str">
        <f t="shared" ca="1" si="115"/>
        <v/>
      </c>
      <c r="AY265" s="484" t="str">
        <f t="shared" ca="1" si="115"/>
        <v/>
      </c>
      <c r="AZ265" s="484" t="str">
        <f t="shared" ca="1" si="115"/>
        <v/>
      </c>
      <c r="BA265" s="449" t="str">
        <f t="shared" ca="1" si="115"/>
        <v/>
      </c>
      <c r="BB265" s="447" t="str">
        <f t="shared" ca="1" si="115"/>
        <v/>
      </c>
      <c r="IE265" s="485"/>
      <c r="IF265" s="485"/>
      <c r="IG265" s="485"/>
      <c r="IH265" s="485"/>
    </row>
    <row r="266" spans="1:242" s="371" customFormat="1" ht="19.8" hidden="1">
      <c r="A266" s="327">
        <v>20</v>
      </c>
      <c r="B266" s="1306"/>
      <c r="C266" s="492" t="s">
        <v>629</v>
      </c>
      <c r="D266" s="493">
        <v>6</v>
      </c>
      <c r="E266" s="494" t="str">
        <f t="shared" ref="E266:AJ266" ca="1" si="116">IFERROR(OFFSET(貼付け_2024実績,$D266,E265+1)&amp;"","")</f>
        <v/>
      </c>
      <c r="F266" s="494" t="str">
        <f t="shared" ca="1" si="116"/>
        <v/>
      </c>
      <c r="G266" s="494" t="str">
        <f t="shared" ca="1" si="116"/>
        <v/>
      </c>
      <c r="H266" s="494" t="str">
        <f t="shared" ca="1" si="116"/>
        <v/>
      </c>
      <c r="I266" s="494" t="str">
        <f t="shared" ca="1" si="116"/>
        <v/>
      </c>
      <c r="J266" s="494" t="str">
        <f t="shared" ca="1" si="116"/>
        <v/>
      </c>
      <c r="K266" s="494" t="str">
        <f t="shared" ca="1" si="116"/>
        <v/>
      </c>
      <c r="L266" s="494" t="str">
        <f t="shared" ca="1" si="116"/>
        <v/>
      </c>
      <c r="M266" s="494" t="str">
        <f t="shared" ca="1" si="116"/>
        <v/>
      </c>
      <c r="N266" s="494" t="str">
        <f t="shared" ca="1" si="116"/>
        <v/>
      </c>
      <c r="O266" s="494" t="str">
        <f t="shared" ca="1" si="116"/>
        <v/>
      </c>
      <c r="P266" s="494" t="str">
        <f t="shared" ca="1" si="116"/>
        <v/>
      </c>
      <c r="Q266" s="494" t="str">
        <f t="shared" ca="1" si="116"/>
        <v/>
      </c>
      <c r="R266" s="494" t="str">
        <f t="shared" ca="1" si="116"/>
        <v/>
      </c>
      <c r="S266" s="494" t="str">
        <f t="shared" ca="1" si="116"/>
        <v/>
      </c>
      <c r="T266" s="494" t="str">
        <f t="shared" ca="1" si="116"/>
        <v/>
      </c>
      <c r="U266" s="494" t="str">
        <f t="shared" ca="1" si="116"/>
        <v/>
      </c>
      <c r="V266" s="494" t="str">
        <f t="shared" ca="1" si="116"/>
        <v/>
      </c>
      <c r="W266" s="494" t="str">
        <f t="shared" ca="1" si="116"/>
        <v/>
      </c>
      <c r="X266" s="494" t="str">
        <f t="shared" ca="1" si="116"/>
        <v/>
      </c>
      <c r="Y266" s="494" t="str">
        <f t="shared" ca="1" si="116"/>
        <v/>
      </c>
      <c r="Z266" s="494" t="str">
        <f t="shared" ca="1" si="116"/>
        <v/>
      </c>
      <c r="AA266" s="494" t="str">
        <f t="shared" ca="1" si="116"/>
        <v/>
      </c>
      <c r="AB266" s="494" t="str">
        <f t="shared" ca="1" si="116"/>
        <v/>
      </c>
      <c r="AC266" s="494" t="str">
        <f t="shared" ca="1" si="116"/>
        <v/>
      </c>
      <c r="AD266" s="494" t="str">
        <f t="shared" ca="1" si="116"/>
        <v/>
      </c>
      <c r="AE266" s="494" t="str">
        <f t="shared" ca="1" si="116"/>
        <v/>
      </c>
      <c r="AF266" s="494" t="str">
        <f t="shared" ca="1" si="116"/>
        <v/>
      </c>
      <c r="AG266" s="494" t="str">
        <f t="shared" ca="1" si="116"/>
        <v/>
      </c>
      <c r="AH266" s="494" t="str">
        <f t="shared" ca="1" si="116"/>
        <v/>
      </c>
      <c r="AI266" s="494" t="str">
        <f t="shared" ca="1" si="116"/>
        <v/>
      </c>
      <c r="AJ266" s="494" t="str">
        <f t="shared" ca="1" si="116"/>
        <v/>
      </c>
      <c r="AK266" s="494" t="str">
        <f t="shared" ref="AK266:BB266" ca="1" si="117">IFERROR(OFFSET(貼付け_2024実績,$D266,AK265+1)&amp;"","")</f>
        <v/>
      </c>
      <c r="AL266" s="494" t="str">
        <f t="shared" ca="1" si="117"/>
        <v/>
      </c>
      <c r="AM266" s="494" t="str">
        <f t="shared" ca="1" si="117"/>
        <v/>
      </c>
      <c r="AN266" s="494" t="str">
        <f t="shared" ca="1" si="117"/>
        <v/>
      </c>
      <c r="AO266" s="494" t="str">
        <f t="shared" ca="1" si="117"/>
        <v/>
      </c>
      <c r="AP266" s="494" t="str">
        <f t="shared" ca="1" si="117"/>
        <v/>
      </c>
      <c r="AQ266" s="494" t="str">
        <f t="shared" ca="1" si="117"/>
        <v/>
      </c>
      <c r="AR266" s="494" t="str">
        <f t="shared" ca="1" si="117"/>
        <v/>
      </c>
      <c r="AS266" s="494" t="str">
        <f t="shared" ca="1" si="117"/>
        <v/>
      </c>
      <c r="AT266" s="494" t="str">
        <f t="shared" ca="1" si="117"/>
        <v/>
      </c>
      <c r="AU266" s="494" t="str">
        <f t="shared" ca="1" si="117"/>
        <v/>
      </c>
      <c r="AV266" s="494" t="str">
        <f t="shared" ca="1" si="117"/>
        <v/>
      </c>
      <c r="AW266" s="494" t="str">
        <f t="shared" ca="1" si="117"/>
        <v/>
      </c>
      <c r="AX266" s="494" t="str">
        <f t="shared" ca="1" si="117"/>
        <v/>
      </c>
      <c r="AY266" s="494" t="str">
        <f t="shared" ca="1" si="117"/>
        <v/>
      </c>
      <c r="AZ266" s="494" t="str">
        <f t="shared" ca="1" si="117"/>
        <v/>
      </c>
      <c r="BA266" s="495" t="str">
        <f t="shared" ca="1" si="117"/>
        <v/>
      </c>
      <c r="BB266" s="496" t="str">
        <f t="shared" ca="1" si="117"/>
        <v/>
      </c>
      <c r="BC266" s="497"/>
      <c r="IE266" s="463"/>
      <c r="IF266" s="463"/>
      <c r="IG266" s="463"/>
      <c r="IH266" s="463"/>
    </row>
    <row r="267" spans="1:242" s="371" customFormat="1" ht="20.100000000000001" hidden="1" customHeight="1">
      <c r="A267" s="327">
        <v>21</v>
      </c>
      <c r="B267" s="1306"/>
      <c r="C267" s="498" t="s">
        <v>630</v>
      </c>
      <c r="D267" s="499">
        <v>99</v>
      </c>
      <c r="E267" s="500" t="str">
        <f t="shared" ref="E267:AJ267" ca="1" si="118">IFERROR(OFFSET(貼付け_2024実績,$D267,E265),"")&amp;""</f>
        <v/>
      </c>
      <c r="F267" s="500" t="str">
        <f t="shared" ca="1" si="118"/>
        <v/>
      </c>
      <c r="G267" s="500" t="str">
        <f t="shared" ca="1" si="118"/>
        <v/>
      </c>
      <c r="H267" s="500" t="str">
        <f t="shared" ca="1" si="118"/>
        <v/>
      </c>
      <c r="I267" s="500" t="str">
        <f t="shared" ca="1" si="118"/>
        <v/>
      </c>
      <c r="J267" s="500" t="str">
        <f t="shared" ca="1" si="118"/>
        <v/>
      </c>
      <c r="K267" s="500" t="str">
        <f t="shared" ca="1" si="118"/>
        <v/>
      </c>
      <c r="L267" s="500" t="str">
        <f t="shared" ca="1" si="118"/>
        <v/>
      </c>
      <c r="M267" s="500" t="str">
        <f t="shared" ca="1" si="118"/>
        <v/>
      </c>
      <c r="N267" s="500" t="str">
        <f t="shared" ca="1" si="118"/>
        <v/>
      </c>
      <c r="O267" s="500" t="str">
        <f t="shared" ca="1" si="118"/>
        <v/>
      </c>
      <c r="P267" s="500" t="str">
        <f t="shared" ca="1" si="118"/>
        <v/>
      </c>
      <c r="Q267" s="500" t="str">
        <f t="shared" ca="1" si="118"/>
        <v/>
      </c>
      <c r="R267" s="500" t="str">
        <f t="shared" ca="1" si="118"/>
        <v/>
      </c>
      <c r="S267" s="500" t="str">
        <f t="shared" ca="1" si="118"/>
        <v/>
      </c>
      <c r="T267" s="500" t="str">
        <f t="shared" ca="1" si="118"/>
        <v/>
      </c>
      <c r="U267" s="500" t="str">
        <f t="shared" ca="1" si="118"/>
        <v/>
      </c>
      <c r="V267" s="500" t="str">
        <f t="shared" ca="1" si="118"/>
        <v/>
      </c>
      <c r="W267" s="500" t="str">
        <f t="shared" ca="1" si="118"/>
        <v/>
      </c>
      <c r="X267" s="500" t="str">
        <f t="shared" ca="1" si="118"/>
        <v/>
      </c>
      <c r="Y267" s="500" t="str">
        <f t="shared" ca="1" si="118"/>
        <v/>
      </c>
      <c r="Z267" s="500" t="str">
        <f t="shared" ca="1" si="118"/>
        <v/>
      </c>
      <c r="AA267" s="500" t="str">
        <f t="shared" ca="1" si="118"/>
        <v/>
      </c>
      <c r="AB267" s="500" t="str">
        <f t="shared" ca="1" si="118"/>
        <v/>
      </c>
      <c r="AC267" s="500" t="str">
        <f t="shared" ca="1" si="118"/>
        <v/>
      </c>
      <c r="AD267" s="500" t="str">
        <f t="shared" ca="1" si="118"/>
        <v/>
      </c>
      <c r="AE267" s="500" t="str">
        <f t="shared" ca="1" si="118"/>
        <v/>
      </c>
      <c r="AF267" s="500" t="str">
        <f t="shared" ca="1" si="118"/>
        <v/>
      </c>
      <c r="AG267" s="500" t="str">
        <f t="shared" ca="1" si="118"/>
        <v/>
      </c>
      <c r="AH267" s="500" t="str">
        <f t="shared" ca="1" si="118"/>
        <v/>
      </c>
      <c r="AI267" s="500" t="str">
        <f t="shared" ca="1" si="118"/>
        <v/>
      </c>
      <c r="AJ267" s="500" t="str">
        <f t="shared" ca="1" si="118"/>
        <v/>
      </c>
      <c r="AK267" s="500" t="str">
        <f t="shared" ref="AK267:BB267" ca="1" si="119">IFERROR(OFFSET(貼付け_2024実績,$D267,AK265),"")&amp;""</f>
        <v/>
      </c>
      <c r="AL267" s="500" t="str">
        <f t="shared" ca="1" si="119"/>
        <v/>
      </c>
      <c r="AM267" s="500" t="str">
        <f t="shared" ca="1" si="119"/>
        <v/>
      </c>
      <c r="AN267" s="500" t="str">
        <f t="shared" ca="1" si="119"/>
        <v/>
      </c>
      <c r="AO267" s="500" t="str">
        <f t="shared" ca="1" si="119"/>
        <v/>
      </c>
      <c r="AP267" s="500" t="str">
        <f t="shared" ca="1" si="119"/>
        <v/>
      </c>
      <c r="AQ267" s="500" t="str">
        <f t="shared" ca="1" si="119"/>
        <v/>
      </c>
      <c r="AR267" s="500" t="str">
        <f t="shared" ca="1" si="119"/>
        <v/>
      </c>
      <c r="AS267" s="500" t="str">
        <f t="shared" ca="1" si="119"/>
        <v/>
      </c>
      <c r="AT267" s="500" t="str">
        <f t="shared" ca="1" si="119"/>
        <v/>
      </c>
      <c r="AU267" s="500" t="str">
        <f t="shared" ca="1" si="119"/>
        <v/>
      </c>
      <c r="AV267" s="500" t="str">
        <f t="shared" ca="1" si="119"/>
        <v/>
      </c>
      <c r="AW267" s="500" t="str">
        <f t="shared" ca="1" si="119"/>
        <v/>
      </c>
      <c r="AX267" s="500" t="str">
        <f t="shared" ca="1" si="119"/>
        <v/>
      </c>
      <c r="AY267" s="500" t="str">
        <f t="shared" ca="1" si="119"/>
        <v/>
      </c>
      <c r="AZ267" s="500" t="str">
        <f t="shared" ca="1" si="119"/>
        <v/>
      </c>
      <c r="BA267" s="500" t="str">
        <f t="shared" ca="1" si="119"/>
        <v/>
      </c>
      <c r="BB267" s="500" t="str">
        <f t="shared" ca="1" si="119"/>
        <v/>
      </c>
      <c r="IE267" s="463"/>
      <c r="IF267" s="463"/>
      <c r="IG267" s="463"/>
      <c r="IH267" s="463"/>
    </row>
    <row r="268" spans="1:242" s="371" customFormat="1" ht="20.100000000000001" hidden="1" customHeight="1">
      <c r="A268" s="327">
        <v>22</v>
      </c>
      <c r="B268" s="1306"/>
      <c r="C268" s="498" t="s">
        <v>631</v>
      </c>
      <c r="D268" s="499">
        <v>6</v>
      </c>
      <c r="E268" s="500" t="s">
        <v>1</v>
      </c>
      <c r="F268" s="500" t="s">
        <v>1</v>
      </c>
      <c r="G268" s="500" t="s">
        <v>1</v>
      </c>
      <c r="H268" s="500" t="s">
        <v>1</v>
      </c>
      <c r="I268" s="500" t="s">
        <v>1</v>
      </c>
      <c r="J268" s="500" t="s">
        <v>1</v>
      </c>
      <c r="K268" s="500" t="s">
        <v>1</v>
      </c>
      <c r="L268" s="500" t="s">
        <v>1</v>
      </c>
      <c r="M268" s="500" t="s">
        <v>1</v>
      </c>
      <c r="N268" s="500" t="s">
        <v>1</v>
      </c>
      <c r="O268" s="500" t="s">
        <v>1</v>
      </c>
      <c r="P268" s="500" t="s">
        <v>1</v>
      </c>
      <c r="Q268" s="500" t="s">
        <v>1</v>
      </c>
      <c r="R268" s="500" t="s">
        <v>1</v>
      </c>
      <c r="S268" s="500" t="s">
        <v>1</v>
      </c>
      <c r="T268" s="500" t="s">
        <v>1</v>
      </c>
      <c r="U268" s="500" t="s">
        <v>1</v>
      </c>
      <c r="V268" s="500" t="s">
        <v>1</v>
      </c>
      <c r="W268" s="500" t="s">
        <v>1</v>
      </c>
      <c r="X268" s="500" t="s">
        <v>1</v>
      </c>
      <c r="Y268" s="500" t="s">
        <v>1</v>
      </c>
      <c r="Z268" s="500" t="s">
        <v>1</v>
      </c>
      <c r="AA268" s="500" t="s">
        <v>1</v>
      </c>
      <c r="AB268" s="500" t="s">
        <v>1</v>
      </c>
      <c r="AC268" s="500" t="s">
        <v>1</v>
      </c>
      <c r="AD268" s="500" t="s">
        <v>1</v>
      </c>
      <c r="AE268" s="500" t="s">
        <v>1</v>
      </c>
      <c r="AF268" s="500" t="s">
        <v>1</v>
      </c>
      <c r="AG268" s="500" t="s">
        <v>1</v>
      </c>
      <c r="AH268" s="500" t="s">
        <v>1</v>
      </c>
      <c r="AI268" s="500" t="s">
        <v>1</v>
      </c>
      <c r="AJ268" s="500" t="s">
        <v>1</v>
      </c>
      <c r="AK268" s="500" t="s">
        <v>1</v>
      </c>
      <c r="AL268" s="500" t="s">
        <v>1</v>
      </c>
      <c r="AM268" s="500" t="s">
        <v>1</v>
      </c>
      <c r="AN268" s="500" t="s">
        <v>1</v>
      </c>
      <c r="AO268" s="500" t="s">
        <v>1</v>
      </c>
      <c r="AP268" s="500" t="s">
        <v>1</v>
      </c>
      <c r="AQ268" s="500" t="s">
        <v>1</v>
      </c>
      <c r="AR268" s="500" t="s">
        <v>1</v>
      </c>
      <c r="AS268" s="500" t="s">
        <v>1</v>
      </c>
      <c r="AT268" s="500" t="s">
        <v>1</v>
      </c>
      <c r="AU268" s="500" t="s">
        <v>1</v>
      </c>
      <c r="AV268" s="500" t="s">
        <v>1</v>
      </c>
      <c r="AW268" s="500" t="s">
        <v>1</v>
      </c>
      <c r="AX268" s="500" t="s">
        <v>1</v>
      </c>
      <c r="AY268" s="500" t="s">
        <v>1</v>
      </c>
      <c r="AZ268" s="500" t="s">
        <v>1</v>
      </c>
      <c r="BA268" s="469" t="s">
        <v>1</v>
      </c>
      <c r="BB268" s="501" t="s">
        <v>1</v>
      </c>
      <c r="IE268" s="463"/>
      <c r="IF268" s="463"/>
      <c r="IG268" s="463"/>
      <c r="IH268" s="463"/>
    </row>
    <row r="269" spans="1:242" s="371" customFormat="1" ht="20.100000000000001" hidden="1" customHeight="1">
      <c r="A269" s="327">
        <v>23</v>
      </c>
      <c r="B269" s="1306"/>
      <c r="C269" s="498" t="s">
        <v>632</v>
      </c>
      <c r="D269" s="499">
        <v>101</v>
      </c>
      <c r="E269" s="500" t="str">
        <f t="shared" ref="E269:AJ269" ca="1" si="120">IFERROR(OFFSET(貼付け_2024実績,$D269,E265),"")</f>
        <v/>
      </c>
      <c r="F269" s="500" t="str">
        <f t="shared" ca="1" si="120"/>
        <v/>
      </c>
      <c r="G269" s="500" t="str">
        <f t="shared" ca="1" si="120"/>
        <v/>
      </c>
      <c r="H269" s="500" t="str">
        <f t="shared" ca="1" si="120"/>
        <v/>
      </c>
      <c r="I269" s="500" t="str">
        <f t="shared" ca="1" si="120"/>
        <v/>
      </c>
      <c r="J269" s="500" t="str">
        <f t="shared" ca="1" si="120"/>
        <v/>
      </c>
      <c r="K269" s="500" t="str">
        <f t="shared" ca="1" si="120"/>
        <v/>
      </c>
      <c r="L269" s="500" t="str">
        <f t="shared" ca="1" si="120"/>
        <v/>
      </c>
      <c r="M269" s="500" t="str">
        <f t="shared" ca="1" si="120"/>
        <v/>
      </c>
      <c r="N269" s="500" t="str">
        <f t="shared" ca="1" si="120"/>
        <v/>
      </c>
      <c r="O269" s="500" t="str">
        <f t="shared" ca="1" si="120"/>
        <v/>
      </c>
      <c r="P269" s="500" t="str">
        <f t="shared" ca="1" si="120"/>
        <v/>
      </c>
      <c r="Q269" s="500" t="str">
        <f t="shared" ca="1" si="120"/>
        <v/>
      </c>
      <c r="R269" s="500" t="str">
        <f t="shared" ca="1" si="120"/>
        <v/>
      </c>
      <c r="S269" s="500" t="str">
        <f t="shared" ca="1" si="120"/>
        <v/>
      </c>
      <c r="T269" s="500" t="str">
        <f t="shared" ca="1" si="120"/>
        <v/>
      </c>
      <c r="U269" s="500" t="str">
        <f t="shared" ca="1" si="120"/>
        <v/>
      </c>
      <c r="V269" s="500" t="str">
        <f t="shared" ca="1" si="120"/>
        <v/>
      </c>
      <c r="W269" s="500" t="str">
        <f t="shared" ca="1" si="120"/>
        <v/>
      </c>
      <c r="X269" s="500" t="str">
        <f t="shared" ca="1" si="120"/>
        <v/>
      </c>
      <c r="Y269" s="500" t="str">
        <f t="shared" ca="1" si="120"/>
        <v/>
      </c>
      <c r="Z269" s="500" t="str">
        <f t="shared" ca="1" si="120"/>
        <v/>
      </c>
      <c r="AA269" s="500" t="str">
        <f t="shared" ca="1" si="120"/>
        <v/>
      </c>
      <c r="AB269" s="500" t="str">
        <f t="shared" ca="1" si="120"/>
        <v/>
      </c>
      <c r="AC269" s="500" t="str">
        <f t="shared" ca="1" si="120"/>
        <v/>
      </c>
      <c r="AD269" s="500" t="str">
        <f t="shared" ca="1" si="120"/>
        <v/>
      </c>
      <c r="AE269" s="500" t="str">
        <f t="shared" ca="1" si="120"/>
        <v/>
      </c>
      <c r="AF269" s="500" t="str">
        <f t="shared" ca="1" si="120"/>
        <v/>
      </c>
      <c r="AG269" s="500" t="str">
        <f t="shared" ca="1" si="120"/>
        <v/>
      </c>
      <c r="AH269" s="500" t="str">
        <f t="shared" ca="1" si="120"/>
        <v/>
      </c>
      <c r="AI269" s="500" t="str">
        <f t="shared" ca="1" si="120"/>
        <v/>
      </c>
      <c r="AJ269" s="500" t="str">
        <f t="shared" ca="1" si="120"/>
        <v/>
      </c>
      <c r="AK269" s="500" t="str">
        <f t="shared" ref="AK269:BB269" ca="1" si="121">IFERROR(OFFSET(貼付け_2024実績,$D269,AK265),"")</f>
        <v/>
      </c>
      <c r="AL269" s="500" t="str">
        <f t="shared" ca="1" si="121"/>
        <v/>
      </c>
      <c r="AM269" s="500" t="str">
        <f t="shared" ca="1" si="121"/>
        <v/>
      </c>
      <c r="AN269" s="500" t="str">
        <f t="shared" ca="1" si="121"/>
        <v/>
      </c>
      <c r="AO269" s="500" t="str">
        <f t="shared" ca="1" si="121"/>
        <v/>
      </c>
      <c r="AP269" s="500" t="str">
        <f t="shared" ca="1" si="121"/>
        <v/>
      </c>
      <c r="AQ269" s="500" t="str">
        <f t="shared" ca="1" si="121"/>
        <v/>
      </c>
      <c r="AR269" s="500" t="str">
        <f t="shared" ca="1" si="121"/>
        <v/>
      </c>
      <c r="AS269" s="500" t="str">
        <f t="shared" ca="1" si="121"/>
        <v/>
      </c>
      <c r="AT269" s="500" t="str">
        <f t="shared" ca="1" si="121"/>
        <v/>
      </c>
      <c r="AU269" s="500" t="str">
        <f t="shared" ca="1" si="121"/>
        <v/>
      </c>
      <c r="AV269" s="500" t="str">
        <f t="shared" ca="1" si="121"/>
        <v/>
      </c>
      <c r="AW269" s="500" t="str">
        <f t="shared" ca="1" si="121"/>
        <v/>
      </c>
      <c r="AX269" s="500" t="str">
        <f t="shared" ca="1" si="121"/>
        <v/>
      </c>
      <c r="AY269" s="500" t="str">
        <f t="shared" ca="1" si="121"/>
        <v/>
      </c>
      <c r="AZ269" s="500" t="str">
        <f t="shared" ca="1" si="121"/>
        <v/>
      </c>
      <c r="BA269" s="469" t="str">
        <f t="shared" ca="1" si="121"/>
        <v/>
      </c>
      <c r="BB269" s="501" t="str">
        <f t="shared" ca="1" si="121"/>
        <v/>
      </c>
      <c r="IE269" s="463"/>
      <c r="IF269" s="463"/>
      <c r="IG269" s="463"/>
      <c r="IH269" s="463"/>
    </row>
    <row r="270" spans="1:242" s="371" customFormat="1" ht="20.100000000000001" hidden="1" customHeight="1">
      <c r="A270" s="327">
        <v>24</v>
      </c>
      <c r="B270" s="1306"/>
      <c r="C270" s="498" t="s">
        <v>633</v>
      </c>
      <c r="D270" s="499"/>
      <c r="E270" s="500" t="str">
        <f ca="1">IFERROR(E268/E269,"")</f>
        <v/>
      </c>
      <c r="F270" s="500" t="str">
        <f t="shared" ref="F270:BB270" ca="1" si="122">IFERROR(F268/F269,"")</f>
        <v/>
      </c>
      <c r="G270" s="500" t="str">
        <f t="shared" ca="1" si="122"/>
        <v/>
      </c>
      <c r="H270" s="500" t="str">
        <f t="shared" ca="1" si="122"/>
        <v/>
      </c>
      <c r="I270" s="500" t="str">
        <f t="shared" ca="1" si="122"/>
        <v/>
      </c>
      <c r="J270" s="500" t="str">
        <f t="shared" ca="1" si="122"/>
        <v/>
      </c>
      <c r="K270" s="500" t="str">
        <f t="shared" ca="1" si="122"/>
        <v/>
      </c>
      <c r="L270" s="500" t="str">
        <f t="shared" ca="1" si="122"/>
        <v/>
      </c>
      <c r="M270" s="500" t="str">
        <f t="shared" ca="1" si="122"/>
        <v/>
      </c>
      <c r="N270" s="500" t="str">
        <f t="shared" ca="1" si="122"/>
        <v/>
      </c>
      <c r="O270" s="500" t="str">
        <f t="shared" ca="1" si="122"/>
        <v/>
      </c>
      <c r="P270" s="500" t="str">
        <f t="shared" ca="1" si="122"/>
        <v/>
      </c>
      <c r="Q270" s="500" t="str">
        <f t="shared" ca="1" si="122"/>
        <v/>
      </c>
      <c r="R270" s="500" t="str">
        <f t="shared" ca="1" si="122"/>
        <v/>
      </c>
      <c r="S270" s="500" t="str">
        <f t="shared" ca="1" si="122"/>
        <v/>
      </c>
      <c r="T270" s="500" t="str">
        <f t="shared" ca="1" si="122"/>
        <v/>
      </c>
      <c r="U270" s="500" t="str">
        <f t="shared" ca="1" si="122"/>
        <v/>
      </c>
      <c r="V270" s="500" t="str">
        <f t="shared" ca="1" si="122"/>
        <v/>
      </c>
      <c r="W270" s="500" t="str">
        <f t="shared" ca="1" si="122"/>
        <v/>
      </c>
      <c r="X270" s="500" t="str">
        <f t="shared" ca="1" si="122"/>
        <v/>
      </c>
      <c r="Y270" s="500" t="str">
        <f t="shared" ca="1" si="122"/>
        <v/>
      </c>
      <c r="Z270" s="500" t="str">
        <f t="shared" ca="1" si="122"/>
        <v/>
      </c>
      <c r="AA270" s="500" t="str">
        <f t="shared" ca="1" si="122"/>
        <v/>
      </c>
      <c r="AB270" s="500" t="str">
        <f t="shared" ca="1" si="122"/>
        <v/>
      </c>
      <c r="AC270" s="500" t="str">
        <f t="shared" ca="1" si="122"/>
        <v/>
      </c>
      <c r="AD270" s="500" t="str">
        <f t="shared" ca="1" si="122"/>
        <v/>
      </c>
      <c r="AE270" s="500" t="str">
        <f t="shared" ca="1" si="122"/>
        <v/>
      </c>
      <c r="AF270" s="500" t="str">
        <f t="shared" ca="1" si="122"/>
        <v/>
      </c>
      <c r="AG270" s="500" t="str">
        <f t="shared" ca="1" si="122"/>
        <v/>
      </c>
      <c r="AH270" s="500" t="str">
        <f t="shared" ca="1" si="122"/>
        <v/>
      </c>
      <c r="AI270" s="500" t="str">
        <f t="shared" ca="1" si="122"/>
        <v/>
      </c>
      <c r="AJ270" s="500" t="str">
        <f t="shared" ca="1" si="122"/>
        <v/>
      </c>
      <c r="AK270" s="500" t="str">
        <f t="shared" ca="1" si="122"/>
        <v/>
      </c>
      <c r="AL270" s="500" t="str">
        <f t="shared" ca="1" si="122"/>
        <v/>
      </c>
      <c r="AM270" s="500" t="str">
        <f t="shared" ca="1" si="122"/>
        <v/>
      </c>
      <c r="AN270" s="500" t="str">
        <f t="shared" ca="1" si="122"/>
        <v/>
      </c>
      <c r="AO270" s="500" t="str">
        <f t="shared" ca="1" si="122"/>
        <v/>
      </c>
      <c r="AP270" s="500" t="str">
        <f t="shared" ca="1" si="122"/>
        <v/>
      </c>
      <c r="AQ270" s="500" t="str">
        <f t="shared" ca="1" si="122"/>
        <v/>
      </c>
      <c r="AR270" s="500" t="str">
        <f t="shared" ca="1" si="122"/>
        <v/>
      </c>
      <c r="AS270" s="500" t="str">
        <f t="shared" ca="1" si="122"/>
        <v/>
      </c>
      <c r="AT270" s="500" t="str">
        <f t="shared" ca="1" si="122"/>
        <v/>
      </c>
      <c r="AU270" s="500" t="str">
        <f t="shared" ca="1" si="122"/>
        <v/>
      </c>
      <c r="AV270" s="500" t="str">
        <f t="shared" ca="1" si="122"/>
        <v/>
      </c>
      <c r="AW270" s="500" t="str">
        <f t="shared" ca="1" si="122"/>
        <v/>
      </c>
      <c r="AX270" s="500" t="str">
        <f t="shared" ca="1" si="122"/>
        <v/>
      </c>
      <c r="AY270" s="500" t="str">
        <f t="shared" ca="1" si="122"/>
        <v/>
      </c>
      <c r="AZ270" s="500" t="str">
        <f t="shared" ca="1" si="122"/>
        <v/>
      </c>
      <c r="BA270" s="469" t="str">
        <f t="shared" ca="1" si="122"/>
        <v/>
      </c>
      <c r="BB270" s="501" t="str">
        <f t="shared" ca="1" si="122"/>
        <v/>
      </c>
      <c r="IE270" s="463"/>
      <c r="IF270" s="463"/>
      <c r="IG270" s="463"/>
      <c r="IH270" s="463"/>
    </row>
    <row r="271" spans="1:242" s="371" customFormat="1" ht="20.100000000000001" hidden="1" customHeight="1" thickBot="1">
      <c r="A271" s="327">
        <v>25</v>
      </c>
      <c r="B271" s="1307"/>
      <c r="C271" s="502" t="s">
        <v>634</v>
      </c>
      <c r="D271" s="503">
        <v>24</v>
      </c>
      <c r="E271" s="504"/>
      <c r="F271" s="505"/>
      <c r="G271" s="505"/>
      <c r="H271" s="505"/>
      <c r="I271" s="505"/>
      <c r="J271" s="505"/>
      <c r="K271" s="505"/>
      <c r="L271" s="505"/>
      <c r="M271" s="505"/>
      <c r="N271" s="505"/>
      <c r="O271" s="505"/>
      <c r="P271" s="505"/>
      <c r="Q271" s="505"/>
      <c r="R271" s="505"/>
      <c r="S271" s="505"/>
      <c r="T271" s="505"/>
      <c r="U271" s="505"/>
      <c r="V271" s="505"/>
      <c r="W271" s="505"/>
      <c r="X271" s="505"/>
      <c r="Y271" s="505"/>
      <c r="Z271" s="505"/>
      <c r="AA271" s="505"/>
      <c r="AB271" s="505"/>
      <c r="AC271" s="505"/>
      <c r="AD271" s="505"/>
      <c r="AE271" s="505"/>
      <c r="AF271" s="505"/>
      <c r="AG271" s="505"/>
      <c r="AH271" s="505"/>
      <c r="AI271" s="505"/>
      <c r="AJ271" s="505"/>
      <c r="AK271" s="505"/>
      <c r="AL271" s="505"/>
      <c r="AM271" s="505"/>
      <c r="AN271" s="505"/>
      <c r="AO271" s="505"/>
      <c r="AP271" s="505"/>
      <c r="AQ271" s="505"/>
      <c r="AR271" s="505"/>
      <c r="AS271" s="505"/>
      <c r="AT271" s="505"/>
      <c r="AU271" s="505"/>
      <c r="AV271" s="505"/>
      <c r="AW271" s="505"/>
      <c r="AX271" s="505"/>
      <c r="AY271" s="505"/>
      <c r="AZ271" s="505"/>
      <c r="BA271" s="505"/>
      <c r="BB271" s="503"/>
      <c r="IE271" s="463"/>
      <c r="IF271" s="463"/>
      <c r="IG271" s="463"/>
      <c r="IH271" s="463"/>
    </row>
    <row r="272" spans="1:242" ht="19.5" hidden="1" customHeight="1">
      <c r="A272" s="327">
        <v>26</v>
      </c>
      <c r="B272" s="1305" t="s">
        <v>635</v>
      </c>
      <c r="C272" s="478" t="s">
        <v>625</v>
      </c>
      <c r="D272" s="479">
        <v>2024</v>
      </c>
      <c r="E272" s="480">
        <f ca="1">IFERROR(MATCH($B272&amp;E$247,OFFSET(INDIRECT("貼付け_"&amp;$D272&amp;"実績"),4,0,1,209),0)-1,"")</f>
        <v>9</v>
      </c>
      <c r="F272" s="480">
        <f t="shared" ref="F272:BB272" ca="1" si="123">IFERROR(MATCH($B272&amp;F$247,OFFSET(INDIRECT("貼付け_"&amp;$D272&amp;"実績"),4,0,1,209),0)-1,"")</f>
        <v>13</v>
      </c>
      <c r="G272" s="480">
        <f t="shared" ca="1" si="123"/>
        <v>17</v>
      </c>
      <c r="H272" s="480">
        <f t="shared" ca="1" si="123"/>
        <v>109</v>
      </c>
      <c r="I272" s="480">
        <f t="shared" ca="1" si="123"/>
        <v>113</v>
      </c>
      <c r="J272" s="480">
        <f t="shared" ca="1" si="123"/>
        <v>117</v>
      </c>
      <c r="K272" s="480">
        <f t="shared" ca="1" si="123"/>
        <v>121</v>
      </c>
      <c r="L272" s="480">
        <f t="shared" ca="1" si="123"/>
        <v>125</v>
      </c>
      <c r="M272" s="480">
        <f t="shared" ca="1" si="123"/>
        <v>129</v>
      </c>
      <c r="N272" s="480">
        <f t="shared" ca="1" si="123"/>
        <v>133</v>
      </c>
      <c r="O272" s="480" t="str">
        <f t="shared" ca="1" si="123"/>
        <v/>
      </c>
      <c r="P272" s="480" t="str">
        <f t="shared" ca="1" si="123"/>
        <v/>
      </c>
      <c r="Q272" s="480" t="str">
        <f t="shared" ca="1" si="123"/>
        <v/>
      </c>
      <c r="R272" s="480" t="str">
        <f t="shared" ca="1" si="123"/>
        <v/>
      </c>
      <c r="S272" s="480" t="str">
        <f t="shared" ca="1" si="123"/>
        <v/>
      </c>
      <c r="T272" s="480" t="str">
        <f t="shared" ca="1" si="123"/>
        <v/>
      </c>
      <c r="U272" s="480" t="str">
        <f t="shared" ca="1" si="123"/>
        <v/>
      </c>
      <c r="V272" s="480" t="str">
        <f t="shared" ca="1" si="123"/>
        <v/>
      </c>
      <c r="W272" s="480" t="str">
        <f t="shared" ca="1" si="123"/>
        <v/>
      </c>
      <c r="X272" s="480" t="str">
        <f t="shared" ca="1" si="123"/>
        <v/>
      </c>
      <c r="Y272" s="480" t="str">
        <f t="shared" ca="1" si="123"/>
        <v/>
      </c>
      <c r="Z272" s="480" t="str">
        <f t="shared" ca="1" si="123"/>
        <v/>
      </c>
      <c r="AA272" s="480" t="str">
        <f t="shared" ca="1" si="123"/>
        <v/>
      </c>
      <c r="AB272" s="480" t="str">
        <f t="shared" ca="1" si="123"/>
        <v/>
      </c>
      <c r="AC272" s="480" t="str">
        <f t="shared" ca="1" si="123"/>
        <v/>
      </c>
      <c r="AD272" s="480" t="str">
        <f t="shared" ca="1" si="123"/>
        <v/>
      </c>
      <c r="AE272" s="480" t="str">
        <f t="shared" ca="1" si="123"/>
        <v/>
      </c>
      <c r="AF272" s="480" t="str">
        <f t="shared" ca="1" si="123"/>
        <v/>
      </c>
      <c r="AG272" s="480" t="str">
        <f t="shared" ca="1" si="123"/>
        <v/>
      </c>
      <c r="AH272" s="480" t="str">
        <f t="shared" ca="1" si="123"/>
        <v/>
      </c>
      <c r="AI272" s="480" t="str">
        <f t="shared" ca="1" si="123"/>
        <v/>
      </c>
      <c r="AJ272" s="480" t="str">
        <f t="shared" ca="1" si="123"/>
        <v/>
      </c>
      <c r="AK272" s="480" t="str">
        <f t="shared" ca="1" si="123"/>
        <v/>
      </c>
      <c r="AL272" s="480" t="str">
        <f t="shared" ca="1" si="123"/>
        <v/>
      </c>
      <c r="AM272" s="480" t="str">
        <f t="shared" ca="1" si="123"/>
        <v/>
      </c>
      <c r="AN272" s="480" t="str">
        <f t="shared" ca="1" si="123"/>
        <v/>
      </c>
      <c r="AO272" s="480" t="str">
        <f t="shared" ca="1" si="123"/>
        <v/>
      </c>
      <c r="AP272" s="480" t="str">
        <f t="shared" ca="1" si="123"/>
        <v/>
      </c>
      <c r="AQ272" s="480" t="str">
        <f t="shared" ca="1" si="123"/>
        <v/>
      </c>
      <c r="AR272" s="480" t="str">
        <f t="shared" ca="1" si="123"/>
        <v/>
      </c>
      <c r="AS272" s="480" t="str">
        <f t="shared" ca="1" si="123"/>
        <v/>
      </c>
      <c r="AT272" s="480" t="str">
        <f t="shared" ca="1" si="123"/>
        <v/>
      </c>
      <c r="AU272" s="480" t="str">
        <f t="shared" ca="1" si="123"/>
        <v/>
      </c>
      <c r="AV272" s="480" t="str">
        <f t="shared" ca="1" si="123"/>
        <v/>
      </c>
      <c r="AW272" s="480" t="str">
        <f t="shared" ca="1" si="123"/>
        <v/>
      </c>
      <c r="AX272" s="480" t="str">
        <f t="shared" ca="1" si="123"/>
        <v/>
      </c>
      <c r="AY272" s="480" t="str">
        <f t="shared" ca="1" si="123"/>
        <v/>
      </c>
      <c r="AZ272" s="480" t="str">
        <f t="shared" ca="1" si="123"/>
        <v/>
      </c>
      <c r="BA272" s="480" t="str">
        <f t="shared" ca="1" si="123"/>
        <v/>
      </c>
      <c r="BB272" s="481" t="str">
        <f t="shared" ca="1" si="123"/>
        <v/>
      </c>
      <c r="BC272" s="363" t="str">
        <f>D272&amp;"年度"</f>
        <v>2024年度</v>
      </c>
      <c r="BD272" s="363">
        <v>1</v>
      </c>
      <c r="BE272" s="363">
        <v>2</v>
      </c>
      <c r="BF272" s="363">
        <v>3</v>
      </c>
      <c r="BG272" s="363">
        <v>4</v>
      </c>
      <c r="BH272" s="363">
        <v>5</v>
      </c>
      <c r="BI272" s="363">
        <v>6</v>
      </c>
      <c r="BJ272" s="363">
        <v>7</v>
      </c>
      <c r="BK272" s="363">
        <v>8</v>
      </c>
      <c r="BL272" s="363">
        <v>9</v>
      </c>
      <c r="BM272" s="363">
        <v>10</v>
      </c>
      <c r="BN272" s="363">
        <v>11</v>
      </c>
      <c r="BO272" s="363">
        <v>12</v>
      </c>
      <c r="BP272" s="363">
        <v>13</v>
      </c>
      <c r="BQ272" s="363">
        <v>14</v>
      </c>
      <c r="BR272" s="363">
        <v>15</v>
      </c>
      <c r="BS272" s="363">
        <v>16</v>
      </c>
      <c r="BT272" s="363">
        <v>17</v>
      </c>
      <c r="BU272" s="363">
        <v>18</v>
      </c>
      <c r="BV272" s="363">
        <v>19</v>
      </c>
      <c r="BW272" s="363">
        <v>20</v>
      </c>
      <c r="BX272" s="363">
        <v>21</v>
      </c>
      <c r="BY272" s="363">
        <v>22</v>
      </c>
      <c r="BZ272" s="363">
        <v>23</v>
      </c>
      <c r="CA272" s="363">
        <v>24</v>
      </c>
      <c r="CB272" s="363">
        <v>25</v>
      </c>
      <c r="CC272" s="363">
        <v>26</v>
      </c>
      <c r="CD272" s="363">
        <v>27</v>
      </c>
      <c r="CE272" s="363">
        <v>28</v>
      </c>
      <c r="CF272" s="363">
        <v>29</v>
      </c>
      <c r="CG272" s="363">
        <v>30</v>
      </c>
      <c r="CH272" s="363">
        <v>31</v>
      </c>
      <c r="CI272" s="363">
        <v>32</v>
      </c>
      <c r="CJ272" s="363">
        <v>33</v>
      </c>
      <c r="CK272" s="363">
        <v>34</v>
      </c>
      <c r="CL272" s="363">
        <v>35</v>
      </c>
      <c r="CM272" s="363">
        <v>36</v>
      </c>
      <c r="CN272" s="363">
        <v>37</v>
      </c>
      <c r="CO272" s="363">
        <v>38</v>
      </c>
      <c r="CP272" s="363">
        <v>39</v>
      </c>
      <c r="CQ272" s="363">
        <v>40</v>
      </c>
      <c r="CR272" s="363">
        <v>41</v>
      </c>
      <c r="CS272" s="363">
        <v>42</v>
      </c>
      <c r="CT272" s="363">
        <v>43</v>
      </c>
      <c r="CU272" s="363">
        <v>44</v>
      </c>
      <c r="CV272" s="363">
        <v>45</v>
      </c>
      <c r="CW272" s="363">
        <v>46</v>
      </c>
      <c r="CX272" s="363">
        <v>47</v>
      </c>
      <c r="CY272" s="363">
        <v>48</v>
      </c>
      <c r="CZ272" s="363">
        <v>49</v>
      </c>
      <c r="DA272" s="363">
        <v>50</v>
      </c>
    </row>
    <row r="273" spans="1:242" s="327" customFormat="1" ht="18.75" hidden="1" customHeight="1">
      <c r="A273" s="327">
        <v>27</v>
      </c>
      <c r="B273" s="1306"/>
      <c r="C273" s="482" t="str">
        <f>D272-1&amp;"/"&amp;D272</f>
        <v>2023/2024</v>
      </c>
      <c r="D273" s="483" t="str">
        <f>""</f>
        <v/>
      </c>
      <c r="E273" s="484" t="str">
        <f>""</f>
        <v/>
      </c>
      <c r="F273" s="484" t="str">
        <f>""</f>
        <v/>
      </c>
      <c r="G273" s="484" t="str">
        <f>""</f>
        <v/>
      </c>
      <c r="H273" s="484" t="str">
        <f>""</f>
        <v/>
      </c>
      <c r="I273" s="484" t="str">
        <f>""</f>
        <v/>
      </c>
      <c r="J273" s="484" t="str">
        <f>""</f>
        <v/>
      </c>
      <c r="K273" s="484" t="str">
        <f>""</f>
        <v/>
      </c>
      <c r="L273" s="484" t="str">
        <f>""</f>
        <v/>
      </c>
      <c r="M273" s="484" t="str">
        <f>""</f>
        <v/>
      </c>
      <c r="N273" s="484" t="str">
        <f>""</f>
        <v/>
      </c>
      <c r="O273" s="484" t="str">
        <f>""</f>
        <v/>
      </c>
      <c r="P273" s="484" t="str">
        <f>""</f>
        <v/>
      </c>
      <c r="Q273" s="484" t="str">
        <f>""</f>
        <v/>
      </c>
      <c r="R273" s="484" t="str">
        <f>""</f>
        <v/>
      </c>
      <c r="S273" s="484" t="str">
        <f>""</f>
        <v/>
      </c>
      <c r="T273" s="484" t="str">
        <f>""</f>
        <v/>
      </c>
      <c r="U273" s="484" t="str">
        <f>""</f>
        <v/>
      </c>
      <c r="V273" s="484" t="str">
        <f>""</f>
        <v/>
      </c>
      <c r="W273" s="484" t="str">
        <f>""</f>
        <v/>
      </c>
      <c r="X273" s="484" t="str">
        <f>""</f>
        <v/>
      </c>
      <c r="Y273" s="484" t="str">
        <f>""</f>
        <v/>
      </c>
      <c r="Z273" s="484" t="str">
        <f>""</f>
        <v/>
      </c>
      <c r="AA273" s="484" t="str">
        <f>""</f>
        <v/>
      </c>
      <c r="AB273" s="484" t="str">
        <f>""</f>
        <v/>
      </c>
      <c r="AC273" s="484" t="str">
        <f>""</f>
        <v/>
      </c>
      <c r="AD273" s="484" t="str">
        <f>""</f>
        <v/>
      </c>
      <c r="AE273" s="484" t="str">
        <f>""</f>
        <v/>
      </c>
      <c r="AF273" s="484" t="str">
        <f>""</f>
        <v/>
      </c>
      <c r="AG273" s="484" t="str">
        <f>""</f>
        <v/>
      </c>
      <c r="AH273" s="484" t="str">
        <f>""</f>
        <v/>
      </c>
      <c r="AI273" s="484" t="str">
        <f>""</f>
        <v/>
      </c>
      <c r="AJ273" s="484" t="str">
        <f>""</f>
        <v/>
      </c>
      <c r="AK273" s="484" t="str">
        <f>""</f>
        <v/>
      </c>
      <c r="AL273" s="484" t="str">
        <f>""</f>
        <v/>
      </c>
      <c r="AM273" s="484" t="str">
        <f>""</f>
        <v/>
      </c>
      <c r="AN273" s="484" t="str">
        <f>""</f>
        <v/>
      </c>
      <c r="AO273" s="484" t="str">
        <f>""</f>
        <v/>
      </c>
      <c r="AP273" s="484" t="str">
        <f>""</f>
        <v/>
      </c>
      <c r="AQ273" s="484" t="str">
        <f>""</f>
        <v/>
      </c>
      <c r="AR273" s="484" t="str">
        <f>""</f>
        <v/>
      </c>
      <c r="AS273" s="484" t="str">
        <f>""</f>
        <v/>
      </c>
      <c r="AT273" s="484" t="str">
        <f>""</f>
        <v/>
      </c>
      <c r="AU273" s="484" t="str">
        <f>""</f>
        <v/>
      </c>
      <c r="AV273" s="484" t="str">
        <f>""</f>
        <v/>
      </c>
      <c r="AW273" s="484" t="str">
        <f>""</f>
        <v/>
      </c>
      <c r="AX273" s="484" t="str">
        <f>""</f>
        <v/>
      </c>
      <c r="AY273" s="484" t="str">
        <f>""</f>
        <v/>
      </c>
      <c r="AZ273" s="484" t="str">
        <f>""</f>
        <v/>
      </c>
      <c r="BA273" s="449" t="str">
        <f>""</f>
        <v/>
      </c>
      <c r="BB273" s="447" t="str">
        <f>""</f>
        <v/>
      </c>
      <c r="BC273" s="484" t="str">
        <f>""</f>
        <v/>
      </c>
      <c r="BD273" s="484" t="str">
        <f t="shared" ref="BD273:CI273" ca="1" si="124">IFERROR(OFFSET(貼付け_2024実績,5,E272+1),"")&amp;""</f>
        <v/>
      </c>
      <c r="BE273" s="484" t="str">
        <f t="shared" ca="1" si="124"/>
        <v/>
      </c>
      <c r="BF273" s="484" t="str">
        <f t="shared" ca="1" si="124"/>
        <v/>
      </c>
      <c r="BG273" s="484" t="str">
        <f t="shared" ca="1" si="124"/>
        <v/>
      </c>
      <c r="BH273" s="484" t="str">
        <f t="shared" ca="1" si="124"/>
        <v/>
      </c>
      <c r="BI273" s="484" t="str">
        <f t="shared" ca="1" si="124"/>
        <v/>
      </c>
      <c r="BJ273" s="484" t="str">
        <f t="shared" ca="1" si="124"/>
        <v/>
      </c>
      <c r="BK273" s="484" t="str">
        <f t="shared" ca="1" si="124"/>
        <v/>
      </c>
      <c r="BL273" s="484" t="str">
        <f t="shared" ca="1" si="124"/>
        <v/>
      </c>
      <c r="BM273" s="484" t="str">
        <f t="shared" ca="1" si="124"/>
        <v/>
      </c>
      <c r="BN273" s="484" t="str">
        <f t="shared" ca="1" si="124"/>
        <v/>
      </c>
      <c r="BO273" s="484" t="str">
        <f t="shared" ca="1" si="124"/>
        <v/>
      </c>
      <c r="BP273" s="484" t="str">
        <f t="shared" ca="1" si="124"/>
        <v/>
      </c>
      <c r="BQ273" s="484" t="str">
        <f t="shared" ca="1" si="124"/>
        <v/>
      </c>
      <c r="BR273" s="484" t="str">
        <f t="shared" ca="1" si="124"/>
        <v/>
      </c>
      <c r="BS273" s="484" t="str">
        <f t="shared" ca="1" si="124"/>
        <v/>
      </c>
      <c r="BT273" s="484" t="str">
        <f t="shared" ca="1" si="124"/>
        <v/>
      </c>
      <c r="BU273" s="484" t="str">
        <f t="shared" ca="1" si="124"/>
        <v/>
      </c>
      <c r="BV273" s="484" t="str">
        <f t="shared" ca="1" si="124"/>
        <v/>
      </c>
      <c r="BW273" s="484" t="str">
        <f t="shared" ca="1" si="124"/>
        <v/>
      </c>
      <c r="BX273" s="484" t="str">
        <f t="shared" ca="1" si="124"/>
        <v/>
      </c>
      <c r="BY273" s="484" t="str">
        <f t="shared" ca="1" si="124"/>
        <v/>
      </c>
      <c r="BZ273" s="484" t="str">
        <f t="shared" ca="1" si="124"/>
        <v/>
      </c>
      <c r="CA273" s="484" t="str">
        <f t="shared" ca="1" si="124"/>
        <v/>
      </c>
      <c r="CB273" s="484" t="str">
        <f t="shared" ca="1" si="124"/>
        <v/>
      </c>
      <c r="CC273" s="484" t="str">
        <f t="shared" ca="1" si="124"/>
        <v/>
      </c>
      <c r="CD273" s="484" t="str">
        <f t="shared" ca="1" si="124"/>
        <v/>
      </c>
      <c r="CE273" s="484" t="str">
        <f t="shared" ca="1" si="124"/>
        <v/>
      </c>
      <c r="CF273" s="484" t="str">
        <f t="shared" ca="1" si="124"/>
        <v/>
      </c>
      <c r="CG273" s="484" t="str">
        <f t="shared" ca="1" si="124"/>
        <v/>
      </c>
      <c r="CH273" s="484" t="str">
        <f t="shared" ca="1" si="124"/>
        <v/>
      </c>
      <c r="CI273" s="484" t="str">
        <f t="shared" ca="1" si="124"/>
        <v/>
      </c>
      <c r="CJ273" s="484" t="str">
        <f t="shared" ref="CJ273:DA273" ca="1" si="125">IFERROR(OFFSET(貼付け_2024実績,5,AK272+1),"")&amp;""</f>
        <v/>
      </c>
      <c r="CK273" s="484" t="str">
        <f t="shared" ca="1" si="125"/>
        <v/>
      </c>
      <c r="CL273" s="484" t="str">
        <f t="shared" ca="1" si="125"/>
        <v/>
      </c>
      <c r="CM273" s="484" t="str">
        <f t="shared" ca="1" si="125"/>
        <v/>
      </c>
      <c r="CN273" s="484" t="str">
        <f t="shared" ca="1" si="125"/>
        <v/>
      </c>
      <c r="CO273" s="484" t="str">
        <f t="shared" ca="1" si="125"/>
        <v/>
      </c>
      <c r="CP273" s="484" t="str">
        <f t="shared" ca="1" si="125"/>
        <v/>
      </c>
      <c r="CQ273" s="484" t="str">
        <f t="shared" ca="1" si="125"/>
        <v/>
      </c>
      <c r="CR273" s="484" t="str">
        <f t="shared" ca="1" si="125"/>
        <v/>
      </c>
      <c r="CS273" s="484" t="str">
        <f t="shared" ca="1" si="125"/>
        <v/>
      </c>
      <c r="CT273" s="484" t="str">
        <f t="shared" ca="1" si="125"/>
        <v/>
      </c>
      <c r="CU273" s="484" t="str">
        <f t="shared" ca="1" si="125"/>
        <v/>
      </c>
      <c r="CV273" s="484" t="str">
        <f t="shared" ca="1" si="125"/>
        <v/>
      </c>
      <c r="CW273" s="484" t="str">
        <f t="shared" ca="1" si="125"/>
        <v/>
      </c>
      <c r="CX273" s="484" t="str">
        <f t="shared" ca="1" si="125"/>
        <v/>
      </c>
      <c r="CY273" s="484" t="str">
        <f t="shared" ca="1" si="125"/>
        <v/>
      </c>
      <c r="CZ273" s="484" t="str">
        <f t="shared" ca="1" si="125"/>
        <v/>
      </c>
      <c r="DA273" s="484" t="str">
        <f t="shared" ca="1" si="125"/>
        <v/>
      </c>
      <c r="IE273" s="485"/>
      <c r="IF273" s="485"/>
      <c r="IG273" s="485"/>
      <c r="IH273" s="485"/>
    </row>
    <row r="274" spans="1:242" s="327" customFormat="1" ht="19.5" hidden="1" customHeight="1">
      <c r="A274" s="327">
        <v>28</v>
      </c>
      <c r="B274" s="1306"/>
      <c r="C274" s="482" t="str">
        <f>D272-1&amp;"&amp;"&amp;D272</f>
        <v>2023&amp;2024</v>
      </c>
      <c r="D274" s="483" t="str">
        <f>""</f>
        <v/>
      </c>
      <c r="E274" s="484" t="str">
        <f t="array" aca="1" ref="E274" ca="1">IFERROR(INDEX($E273:$DA273,MATCH(0,COUNTIF($D274:D274,$E273:$DA273),0)),"")</f>
        <v/>
      </c>
      <c r="F274" s="484" t="str">
        <f t="array" aca="1" ref="F274" ca="1">IFERROR(INDEX($E273:$DA273,MATCH(0,COUNTIF($D274:E274,$E273:$DA273),0)),"")</f>
        <v/>
      </c>
      <c r="G274" s="484" t="str">
        <f t="array" aca="1" ref="G274" ca="1">IFERROR(INDEX($E273:$DA273,MATCH(0,COUNTIF($D274:F274,$E273:$DA273),0)),"")</f>
        <v/>
      </c>
      <c r="H274" s="484" t="str">
        <f t="array" aca="1" ref="H274" ca="1">IFERROR(INDEX($E273:$DA273,MATCH(0,COUNTIF($D274:G274,$E273:$DA273),0)),"")</f>
        <v/>
      </c>
      <c r="I274" s="484" t="str">
        <f t="array" aca="1" ref="I274" ca="1">IFERROR(INDEX($E273:$DA273,MATCH(0,COUNTIF($D274:H274,$E273:$DA273),0)),"")</f>
        <v/>
      </c>
      <c r="J274" s="484" t="str">
        <f t="array" aca="1" ref="J274" ca="1">IFERROR(INDEX($E273:$DA273,MATCH(0,COUNTIF($D274:I274,$E273:$DA273),0)),"")</f>
        <v/>
      </c>
      <c r="K274" s="484" t="str">
        <f t="array" aca="1" ref="K274" ca="1">IFERROR(INDEX($E273:$DA273,MATCH(0,COUNTIF($D274:J274,$E273:$DA273),0)),"")</f>
        <v/>
      </c>
      <c r="L274" s="484" t="str">
        <f t="array" aca="1" ref="L274" ca="1">IFERROR(INDEX($E273:$DA273,MATCH(0,COUNTIF($D274:K274,$E273:$DA273),0)),"")</f>
        <v/>
      </c>
      <c r="M274" s="484" t="str">
        <f t="array" aca="1" ref="M274" ca="1">IFERROR(INDEX($E273:$DA273,MATCH(0,COUNTIF($D274:L274,$E273:$DA273),0)),"")</f>
        <v/>
      </c>
      <c r="N274" s="484" t="str">
        <f t="array" aca="1" ref="N274" ca="1">IFERROR(INDEX($E273:$DA273,MATCH(0,COUNTIF($D274:M274,$E273:$DA273),0)),"")</f>
        <v/>
      </c>
      <c r="O274" s="484" t="str">
        <f t="array" aca="1" ref="O274" ca="1">IFERROR(INDEX($E273:$DA273,MATCH(0,COUNTIF($D274:N274,$E273:$DA273),0)),"")</f>
        <v/>
      </c>
      <c r="P274" s="484" t="str">
        <f t="array" aca="1" ref="P274" ca="1">IFERROR(INDEX($E273:$DA273,MATCH(0,COUNTIF($D274:O274,$E273:$DA273),0)),"")</f>
        <v/>
      </c>
      <c r="Q274" s="484" t="str">
        <f t="array" aca="1" ref="Q274" ca="1">IFERROR(INDEX($E273:$DA273,MATCH(0,COUNTIF($D274:P274,$E273:$DA273),0)),"")</f>
        <v/>
      </c>
      <c r="R274" s="484" t="str">
        <f t="array" aca="1" ref="R274" ca="1">IFERROR(INDEX($E273:$DA273,MATCH(0,COUNTIF($D274:Q274,$E273:$DA273),0)),"")</f>
        <v/>
      </c>
      <c r="S274" s="484" t="str">
        <f t="array" aca="1" ref="S274" ca="1">IFERROR(INDEX($E273:$DA273,MATCH(0,COUNTIF($D274:R274,$E273:$DA273),0)),"")</f>
        <v/>
      </c>
      <c r="T274" s="484" t="str">
        <f t="array" aca="1" ref="T274" ca="1">IFERROR(INDEX($E273:$DA273,MATCH(0,COUNTIF($D274:S274,$E273:$DA273),0)),"")</f>
        <v/>
      </c>
      <c r="U274" s="484" t="str">
        <f t="array" aca="1" ref="U274" ca="1">IFERROR(INDEX($E273:$DA273,MATCH(0,COUNTIF($D274:T274,$E273:$DA273),0)),"")</f>
        <v/>
      </c>
      <c r="V274" s="484" t="str">
        <f t="array" aca="1" ref="V274" ca="1">IFERROR(INDEX($E273:$DA273,MATCH(0,COUNTIF($D274:U274,$E273:$DA273),0)),"")</f>
        <v/>
      </c>
      <c r="W274" s="484" t="str">
        <f t="array" aca="1" ref="W274" ca="1">IFERROR(INDEX($E273:$DA273,MATCH(0,COUNTIF($D274:V274,$E273:$DA273),0)),"")</f>
        <v/>
      </c>
      <c r="X274" s="484" t="str">
        <f t="array" aca="1" ref="X274" ca="1">IFERROR(INDEX($E273:$DA273,MATCH(0,COUNTIF($D274:W274,$E273:$DA273),0)),"")</f>
        <v/>
      </c>
      <c r="Y274" s="484" t="str">
        <f t="array" aca="1" ref="Y274" ca="1">IFERROR(INDEX($E273:$DA273,MATCH(0,COUNTIF($D274:X274,$E273:$DA273),0)),"")</f>
        <v/>
      </c>
      <c r="Z274" s="484" t="str">
        <f t="array" aca="1" ref="Z274" ca="1">IFERROR(INDEX($E273:$DA273,MATCH(0,COUNTIF($D274:Y274,$E273:$DA273),0)),"")</f>
        <v/>
      </c>
      <c r="AA274" s="484" t="str">
        <f t="array" aca="1" ref="AA274" ca="1">IFERROR(INDEX($E273:$DA273,MATCH(0,COUNTIF($D274:Z274,$E273:$DA273),0)),"")</f>
        <v/>
      </c>
      <c r="AB274" s="484" t="str">
        <f t="array" aca="1" ref="AB274" ca="1">IFERROR(INDEX($E273:$DA273,MATCH(0,COUNTIF($D274:AA274,$E273:$DA273),0)),"")</f>
        <v/>
      </c>
      <c r="AC274" s="484" t="str">
        <f t="array" aca="1" ref="AC274" ca="1">IFERROR(INDEX($E273:$DA273,MATCH(0,COUNTIF($D274:AB274,$E273:$DA273),0)),"")</f>
        <v/>
      </c>
      <c r="AD274" s="484" t="str">
        <f t="array" aca="1" ref="AD274" ca="1">IFERROR(INDEX($E273:$DA273,MATCH(0,COUNTIF($D274:AC274,$E273:$DA273),0)),"")</f>
        <v/>
      </c>
      <c r="AE274" s="484" t="str">
        <f t="array" aca="1" ref="AE274" ca="1">IFERROR(INDEX($E273:$DA273,MATCH(0,COUNTIF($D274:AD274,$E273:$DA273),0)),"")</f>
        <v/>
      </c>
      <c r="AF274" s="484" t="str">
        <f t="array" aca="1" ref="AF274" ca="1">IFERROR(INDEX($E273:$DA273,MATCH(0,COUNTIF($D274:AE274,$E273:$DA273),0)),"")</f>
        <v/>
      </c>
      <c r="AG274" s="484" t="str">
        <f t="array" aca="1" ref="AG274" ca="1">IFERROR(INDEX($E273:$DA273,MATCH(0,COUNTIF($D274:AF274,$E273:$DA273),0)),"")</f>
        <v/>
      </c>
      <c r="AH274" s="484" t="str">
        <f t="array" aca="1" ref="AH274" ca="1">IFERROR(INDEX($E273:$DA273,MATCH(0,COUNTIF($D274:AG274,$E273:$DA273),0)),"")</f>
        <v/>
      </c>
      <c r="AI274" s="484" t="str">
        <f t="array" aca="1" ref="AI274" ca="1">IFERROR(INDEX($E273:$DA273,MATCH(0,COUNTIF($D274:AH274,$E273:$DA273),0)),"")</f>
        <v/>
      </c>
      <c r="AJ274" s="484" t="str">
        <f t="array" aca="1" ref="AJ274" ca="1">IFERROR(INDEX($E273:$DA273,MATCH(0,COUNTIF($D274:AI274,$E273:$DA273),0)),"")</f>
        <v/>
      </c>
      <c r="AK274" s="484" t="str">
        <f t="array" aca="1" ref="AK274" ca="1">IFERROR(INDEX($E273:$DA273,MATCH(0,COUNTIF($D274:AJ274,$E273:$DA273),0)),"")</f>
        <v/>
      </c>
      <c r="AL274" s="484" t="str">
        <f t="array" aca="1" ref="AL274" ca="1">IFERROR(INDEX($E273:$DA273,MATCH(0,COUNTIF($D274:AK274,$E273:$DA273),0)),"")</f>
        <v/>
      </c>
      <c r="AM274" s="484" t="str">
        <f t="array" aca="1" ref="AM274" ca="1">IFERROR(INDEX($E273:$DA273,MATCH(0,COUNTIF($D274:AL274,$E273:$DA273),0)),"")</f>
        <v/>
      </c>
      <c r="AN274" s="484" t="str">
        <f t="array" aca="1" ref="AN274" ca="1">IFERROR(INDEX($E273:$DA273,MATCH(0,COUNTIF($D274:AM274,$E273:$DA273),0)),"")</f>
        <v/>
      </c>
      <c r="AO274" s="484" t="str">
        <f t="array" aca="1" ref="AO274" ca="1">IFERROR(INDEX($E273:$DA273,MATCH(0,COUNTIF($D274:AN274,$E273:$DA273),0)),"")</f>
        <v/>
      </c>
      <c r="AP274" s="484" t="str">
        <f t="array" aca="1" ref="AP274" ca="1">IFERROR(INDEX($E273:$DA273,MATCH(0,COUNTIF($D274:AO274,$E273:$DA273),0)),"")</f>
        <v/>
      </c>
      <c r="AQ274" s="484" t="str">
        <f t="array" aca="1" ref="AQ274" ca="1">IFERROR(INDEX($E273:$DA273,MATCH(0,COUNTIF($D274:AP274,$E273:$DA273),0)),"")</f>
        <v/>
      </c>
      <c r="AR274" s="484" t="str">
        <f t="array" aca="1" ref="AR274" ca="1">IFERROR(INDEX($E273:$DA273,MATCH(0,COUNTIF($D274:AQ274,$E273:$DA273),0)),"")</f>
        <v/>
      </c>
      <c r="AS274" s="484" t="str">
        <f t="array" aca="1" ref="AS274" ca="1">IFERROR(INDEX($E273:$DA273,MATCH(0,COUNTIF($D274:AR274,$E273:$DA273),0)),"")</f>
        <v/>
      </c>
      <c r="AT274" s="484" t="str">
        <f t="array" aca="1" ref="AT274" ca="1">IFERROR(INDEX($E273:$DA273,MATCH(0,COUNTIF($D274:AS274,$E273:$DA273),0)),"")</f>
        <v/>
      </c>
      <c r="AU274" s="484" t="str">
        <f t="array" aca="1" ref="AU274" ca="1">IFERROR(INDEX($E273:$DA273,MATCH(0,COUNTIF($D274:AT274,$E273:$DA273),0)),"")</f>
        <v/>
      </c>
      <c r="AV274" s="484" t="str">
        <f t="array" aca="1" ref="AV274" ca="1">IFERROR(INDEX($E273:$DA273,MATCH(0,COUNTIF($D274:AU274,$E273:$DA273),0)),"")</f>
        <v/>
      </c>
      <c r="AW274" s="484" t="str">
        <f t="array" aca="1" ref="AW274" ca="1">IFERROR(INDEX($E273:$DA273,MATCH(0,COUNTIF($D274:AV274,$E273:$DA273),0)),"")</f>
        <v/>
      </c>
      <c r="AX274" s="484" t="str">
        <f t="array" aca="1" ref="AX274" ca="1">IFERROR(INDEX($E273:$DA273,MATCH(0,COUNTIF($D274:AW274,$E273:$DA273),0)),"")</f>
        <v/>
      </c>
      <c r="AY274" s="484" t="str">
        <f t="array" aca="1" ref="AY274" ca="1">IFERROR(INDEX($E273:$DA273,MATCH(0,COUNTIF($D274:AX274,$E273:$DA273),0)),"")</f>
        <v/>
      </c>
      <c r="AZ274" s="484" t="str">
        <f t="array" aca="1" ref="AZ274" ca="1">IFERROR(INDEX($E273:$DA273,MATCH(0,COUNTIF($D274:AY274,$E273:$DA273),0)),"")</f>
        <v/>
      </c>
      <c r="BA274" s="449" t="str">
        <f t="array" aca="1" ref="BA274" ca="1">IFERROR(INDEX($E273:$DA273,MATCH(0,COUNTIF($D274:AZ274,$E273:$DA273),0)),"")</f>
        <v/>
      </c>
      <c r="BB274" s="447" t="str">
        <f t="array" aca="1" ref="BB274" ca="1">IFERROR(INDEX($E273:$DA273,MATCH(0,COUNTIF($D274:BA274,$E273:$DA273),0)),"")</f>
        <v/>
      </c>
      <c r="BC274" s="486"/>
      <c r="BD274" s="486" t="str">
        <f>""</f>
        <v/>
      </c>
      <c r="BE274" s="486"/>
      <c r="BF274" s="486"/>
      <c r="BG274" s="486"/>
      <c r="BH274" s="486"/>
      <c r="BI274" s="486"/>
      <c r="BJ274" s="486"/>
      <c r="BK274" s="486"/>
      <c r="BL274" s="486"/>
      <c r="BM274" s="486"/>
      <c r="BN274" s="486"/>
      <c r="BO274" s="486"/>
      <c r="BP274" s="486"/>
      <c r="BQ274" s="486"/>
      <c r="BR274" s="486"/>
      <c r="BS274" s="486"/>
      <c r="BT274" s="486"/>
      <c r="BU274" s="486"/>
      <c r="BV274" s="486"/>
      <c r="BW274" s="486"/>
      <c r="IE274" s="485"/>
      <c r="IF274" s="485"/>
      <c r="IG274" s="485"/>
      <c r="IH274" s="485"/>
    </row>
    <row r="275" spans="1:242" s="327" customFormat="1" hidden="1">
      <c r="A275" s="327">
        <v>29</v>
      </c>
      <c r="B275" s="1306"/>
      <c r="C275" s="482" t="s">
        <v>626</v>
      </c>
      <c r="D275" s="483" t="str">
        <f>""</f>
        <v/>
      </c>
      <c r="E275" s="484" t="str">
        <f t="shared" ref="E275:AJ275" ca="1" si="126">IF(OFFSET(貼付け_2024実績,2,12)="■",BD273,IFERROR(INDEX($BD273:$DA273,MATCH(E274,$BD273:$DA273,0)),""))</f>
        <v/>
      </c>
      <c r="F275" s="484" t="str">
        <f t="shared" ca="1" si="126"/>
        <v/>
      </c>
      <c r="G275" s="484" t="str">
        <f t="shared" ca="1" si="126"/>
        <v/>
      </c>
      <c r="H275" s="484" t="str">
        <f t="shared" ca="1" si="126"/>
        <v/>
      </c>
      <c r="I275" s="484" t="str">
        <f t="shared" ca="1" si="126"/>
        <v/>
      </c>
      <c r="J275" s="484" t="str">
        <f t="shared" ca="1" si="126"/>
        <v/>
      </c>
      <c r="K275" s="484" t="str">
        <f t="shared" ca="1" si="126"/>
        <v/>
      </c>
      <c r="L275" s="484" t="str">
        <f t="shared" ca="1" si="126"/>
        <v/>
      </c>
      <c r="M275" s="484" t="str">
        <f t="shared" ca="1" si="126"/>
        <v/>
      </c>
      <c r="N275" s="484" t="str">
        <f t="shared" ca="1" si="126"/>
        <v/>
      </c>
      <c r="O275" s="484" t="str">
        <f t="shared" ca="1" si="126"/>
        <v/>
      </c>
      <c r="P275" s="484" t="str">
        <f t="shared" ca="1" si="126"/>
        <v/>
      </c>
      <c r="Q275" s="484" t="str">
        <f t="shared" ca="1" si="126"/>
        <v/>
      </c>
      <c r="R275" s="484" t="str">
        <f t="shared" ca="1" si="126"/>
        <v/>
      </c>
      <c r="S275" s="484" t="str">
        <f t="shared" ca="1" si="126"/>
        <v/>
      </c>
      <c r="T275" s="484" t="str">
        <f t="shared" ca="1" si="126"/>
        <v/>
      </c>
      <c r="U275" s="484" t="str">
        <f t="shared" ca="1" si="126"/>
        <v/>
      </c>
      <c r="V275" s="484" t="str">
        <f t="shared" ca="1" si="126"/>
        <v/>
      </c>
      <c r="W275" s="484" t="str">
        <f t="shared" ca="1" si="126"/>
        <v/>
      </c>
      <c r="X275" s="484" t="str">
        <f t="shared" ca="1" si="126"/>
        <v/>
      </c>
      <c r="Y275" s="484" t="str">
        <f t="shared" ca="1" si="126"/>
        <v/>
      </c>
      <c r="Z275" s="484" t="str">
        <f t="shared" ca="1" si="126"/>
        <v/>
      </c>
      <c r="AA275" s="484" t="str">
        <f t="shared" ca="1" si="126"/>
        <v/>
      </c>
      <c r="AB275" s="484" t="str">
        <f t="shared" ca="1" si="126"/>
        <v/>
      </c>
      <c r="AC275" s="484" t="str">
        <f t="shared" ca="1" si="126"/>
        <v/>
      </c>
      <c r="AD275" s="484" t="str">
        <f t="shared" ca="1" si="126"/>
        <v/>
      </c>
      <c r="AE275" s="484" t="str">
        <f t="shared" ca="1" si="126"/>
        <v/>
      </c>
      <c r="AF275" s="484" t="str">
        <f t="shared" ca="1" si="126"/>
        <v/>
      </c>
      <c r="AG275" s="484" t="str">
        <f t="shared" ca="1" si="126"/>
        <v/>
      </c>
      <c r="AH275" s="484" t="str">
        <f t="shared" ca="1" si="126"/>
        <v/>
      </c>
      <c r="AI275" s="484" t="str">
        <f t="shared" ca="1" si="126"/>
        <v/>
      </c>
      <c r="AJ275" s="484" t="str">
        <f t="shared" ca="1" si="126"/>
        <v/>
      </c>
      <c r="AK275" s="484" t="str">
        <f t="shared" ref="AK275:BB275" ca="1" si="127">IF(OFFSET(貼付け_2024実績,2,12)="■",CJ273,IFERROR(INDEX($BD273:$DA273,MATCH(AK274,$BD273:$DA273,0)),""))</f>
        <v/>
      </c>
      <c r="AL275" s="484" t="str">
        <f t="shared" ca="1" si="127"/>
        <v/>
      </c>
      <c r="AM275" s="484" t="str">
        <f t="shared" ca="1" si="127"/>
        <v/>
      </c>
      <c r="AN275" s="484" t="str">
        <f t="shared" ca="1" si="127"/>
        <v/>
      </c>
      <c r="AO275" s="484" t="str">
        <f t="shared" ca="1" si="127"/>
        <v/>
      </c>
      <c r="AP275" s="484" t="str">
        <f t="shared" ca="1" si="127"/>
        <v/>
      </c>
      <c r="AQ275" s="484" t="str">
        <f t="shared" ca="1" si="127"/>
        <v/>
      </c>
      <c r="AR275" s="484" t="str">
        <f t="shared" ca="1" si="127"/>
        <v/>
      </c>
      <c r="AS275" s="484" t="str">
        <f t="shared" ca="1" si="127"/>
        <v/>
      </c>
      <c r="AT275" s="484" t="str">
        <f t="shared" ca="1" si="127"/>
        <v/>
      </c>
      <c r="AU275" s="484" t="str">
        <f t="shared" ca="1" si="127"/>
        <v/>
      </c>
      <c r="AV275" s="484" t="str">
        <f t="shared" ca="1" si="127"/>
        <v/>
      </c>
      <c r="AW275" s="484" t="str">
        <f t="shared" ca="1" si="127"/>
        <v/>
      </c>
      <c r="AX275" s="484" t="str">
        <f t="shared" ca="1" si="127"/>
        <v/>
      </c>
      <c r="AY275" s="484" t="str">
        <f t="shared" ca="1" si="127"/>
        <v/>
      </c>
      <c r="AZ275" s="484" t="str">
        <f t="shared" ca="1" si="127"/>
        <v/>
      </c>
      <c r="BA275" s="449" t="str">
        <f t="shared" ca="1" si="127"/>
        <v/>
      </c>
      <c r="BB275" s="447" t="str">
        <f t="shared" ca="1" si="127"/>
        <v/>
      </c>
      <c r="BD275" s="327" t="str">
        <f>""</f>
        <v/>
      </c>
      <c r="IE275" s="485"/>
      <c r="IF275" s="485"/>
      <c r="IG275" s="485"/>
      <c r="IH275" s="485"/>
    </row>
    <row r="276" spans="1:242" s="327" customFormat="1" hidden="1">
      <c r="A276" s="327">
        <v>30</v>
      </c>
      <c r="B276" s="1306"/>
      <c r="C276" s="487" t="s">
        <v>627</v>
      </c>
      <c r="D276" s="488">
        <v>10</v>
      </c>
      <c r="E276" s="489" t="str">
        <f t="shared" ref="E276:AJ276" ca="1" si="128">OFFSET(A1_名称2024,E$247+2,$D276)&amp;""</f>
        <v/>
      </c>
      <c r="F276" s="489" t="str">
        <f t="shared" ca="1" si="128"/>
        <v/>
      </c>
      <c r="G276" s="489" t="str">
        <f t="shared" ca="1" si="128"/>
        <v/>
      </c>
      <c r="H276" s="489" t="str">
        <f t="shared" ca="1" si="128"/>
        <v/>
      </c>
      <c r="I276" s="489" t="str">
        <f t="shared" ca="1" si="128"/>
        <v/>
      </c>
      <c r="J276" s="489" t="str">
        <f t="shared" ca="1" si="128"/>
        <v/>
      </c>
      <c r="K276" s="489" t="str">
        <f t="shared" ca="1" si="128"/>
        <v/>
      </c>
      <c r="L276" s="489" t="str">
        <f t="shared" ca="1" si="128"/>
        <v/>
      </c>
      <c r="M276" s="489" t="str">
        <f t="shared" ca="1" si="128"/>
        <v/>
      </c>
      <c r="N276" s="489" t="str">
        <f t="shared" ca="1" si="128"/>
        <v/>
      </c>
      <c r="O276" s="489" t="str">
        <f t="shared" ca="1" si="128"/>
        <v/>
      </c>
      <c r="P276" s="489" t="str">
        <f t="shared" ca="1" si="128"/>
        <v/>
      </c>
      <c r="Q276" s="489" t="str">
        <f t="shared" ca="1" si="128"/>
        <v/>
      </c>
      <c r="R276" s="489" t="str">
        <f t="shared" ca="1" si="128"/>
        <v/>
      </c>
      <c r="S276" s="489" t="str">
        <f t="shared" ca="1" si="128"/>
        <v/>
      </c>
      <c r="T276" s="489" t="str">
        <f t="shared" ca="1" si="128"/>
        <v/>
      </c>
      <c r="U276" s="489" t="str">
        <f t="shared" ca="1" si="128"/>
        <v/>
      </c>
      <c r="V276" s="489" t="str">
        <f t="shared" ca="1" si="128"/>
        <v/>
      </c>
      <c r="W276" s="489" t="str">
        <f t="shared" ca="1" si="128"/>
        <v/>
      </c>
      <c r="X276" s="489" t="str">
        <f t="shared" ca="1" si="128"/>
        <v/>
      </c>
      <c r="Y276" s="489" t="str">
        <f t="shared" ca="1" si="128"/>
        <v/>
      </c>
      <c r="Z276" s="489" t="str">
        <f t="shared" ca="1" si="128"/>
        <v/>
      </c>
      <c r="AA276" s="489" t="str">
        <f t="shared" ca="1" si="128"/>
        <v/>
      </c>
      <c r="AB276" s="489" t="str">
        <f t="shared" ca="1" si="128"/>
        <v/>
      </c>
      <c r="AC276" s="489" t="str">
        <f t="shared" ca="1" si="128"/>
        <v/>
      </c>
      <c r="AD276" s="489" t="str">
        <f t="shared" ca="1" si="128"/>
        <v/>
      </c>
      <c r="AE276" s="489" t="str">
        <f t="shared" ca="1" si="128"/>
        <v/>
      </c>
      <c r="AF276" s="489" t="str">
        <f t="shared" ca="1" si="128"/>
        <v/>
      </c>
      <c r="AG276" s="489" t="str">
        <f t="shared" ca="1" si="128"/>
        <v/>
      </c>
      <c r="AH276" s="489" t="str">
        <f t="shared" ca="1" si="128"/>
        <v/>
      </c>
      <c r="AI276" s="489" t="str">
        <f t="shared" ca="1" si="128"/>
        <v/>
      </c>
      <c r="AJ276" s="489" t="str">
        <f t="shared" ca="1" si="128"/>
        <v/>
      </c>
      <c r="AK276" s="489" t="str">
        <f t="shared" ref="AK276:BB276" ca="1" si="129">OFFSET(A1_名称2024,AK$247+2,$D276)&amp;""</f>
        <v/>
      </c>
      <c r="AL276" s="489" t="str">
        <f t="shared" ca="1" si="129"/>
        <v/>
      </c>
      <c r="AM276" s="489" t="str">
        <f t="shared" ca="1" si="129"/>
        <v/>
      </c>
      <c r="AN276" s="489" t="str">
        <f t="shared" ca="1" si="129"/>
        <v/>
      </c>
      <c r="AO276" s="489" t="str">
        <f t="shared" ca="1" si="129"/>
        <v/>
      </c>
      <c r="AP276" s="489" t="str">
        <f t="shared" ca="1" si="129"/>
        <v/>
      </c>
      <c r="AQ276" s="489" t="str">
        <f t="shared" ca="1" si="129"/>
        <v/>
      </c>
      <c r="AR276" s="489" t="str">
        <f t="shared" ca="1" si="129"/>
        <v/>
      </c>
      <c r="AS276" s="489" t="str">
        <f t="shared" ca="1" si="129"/>
        <v/>
      </c>
      <c r="AT276" s="489" t="str">
        <f t="shared" ca="1" si="129"/>
        <v/>
      </c>
      <c r="AU276" s="489" t="str">
        <f t="shared" ca="1" si="129"/>
        <v/>
      </c>
      <c r="AV276" s="489" t="str">
        <f t="shared" ca="1" si="129"/>
        <v/>
      </c>
      <c r="AW276" s="489" t="str">
        <f t="shared" ca="1" si="129"/>
        <v/>
      </c>
      <c r="AX276" s="489" t="str">
        <f t="shared" ca="1" si="129"/>
        <v/>
      </c>
      <c r="AY276" s="489" t="str">
        <f t="shared" ca="1" si="129"/>
        <v/>
      </c>
      <c r="AZ276" s="489" t="str">
        <f t="shared" ca="1" si="129"/>
        <v/>
      </c>
      <c r="BA276" s="490" t="str">
        <f t="shared" ca="1" si="129"/>
        <v/>
      </c>
      <c r="BB276" s="491" t="str">
        <f t="shared" ca="1" si="129"/>
        <v/>
      </c>
      <c r="IE276" s="485"/>
      <c r="IF276" s="485"/>
      <c r="IG276" s="485"/>
      <c r="IH276" s="485"/>
    </row>
    <row r="277" spans="1:242" s="327" customFormat="1" hidden="1">
      <c r="A277" s="327">
        <v>31</v>
      </c>
      <c r="B277" s="1306"/>
      <c r="C277" s="482" t="s">
        <v>628</v>
      </c>
      <c r="D277" s="483"/>
      <c r="E277" s="484" t="str">
        <f ca="1">IF(E276="","",IFERROR(INDEX($E272:$BB272,MATCH(E276,$BD273:$DA273,0)),""))</f>
        <v/>
      </c>
      <c r="F277" s="484" t="str">
        <f t="shared" ref="F277:BB277" ca="1" si="130">IF(F276="","",IFERROR(INDEX($E272:$BB272,MATCH(F276,$BD273:$DA273,0)),""))</f>
        <v/>
      </c>
      <c r="G277" s="484" t="str">
        <f t="shared" ca="1" si="130"/>
        <v/>
      </c>
      <c r="H277" s="484" t="str">
        <f t="shared" ca="1" si="130"/>
        <v/>
      </c>
      <c r="I277" s="484" t="str">
        <f t="shared" ca="1" si="130"/>
        <v/>
      </c>
      <c r="J277" s="484" t="str">
        <f t="shared" ca="1" si="130"/>
        <v/>
      </c>
      <c r="K277" s="484" t="str">
        <f t="shared" ca="1" si="130"/>
        <v/>
      </c>
      <c r="L277" s="484" t="str">
        <f t="shared" ca="1" si="130"/>
        <v/>
      </c>
      <c r="M277" s="484" t="str">
        <f t="shared" ca="1" si="130"/>
        <v/>
      </c>
      <c r="N277" s="484" t="str">
        <f t="shared" ca="1" si="130"/>
        <v/>
      </c>
      <c r="O277" s="484" t="str">
        <f t="shared" ca="1" si="130"/>
        <v/>
      </c>
      <c r="P277" s="484" t="str">
        <f t="shared" ca="1" si="130"/>
        <v/>
      </c>
      <c r="Q277" s="484" t="str">
        <f t="shared" ca="1" si="130"/>
        <v/>
      </c>
      <c r="R277" s="484" t="str">
        <f t="shared" ca="1" si="130"/>
        <v/>
      </c>
      <c r="S277" s="484" t="str">
        <f t="shared" ca="1" si="130"/>
        <v/>
      </c>
      <c r="T277" s="484" t="str">
        <f t="shared" ca="1" si="130"/>
        <v/>
      </c>
      <c r="U277" s="484" t="str">
        <f t="shared" ca="1" si="130"/>
        <v/>
      </c>
      <c r="V277" s="484" t="str">
        <f t="shared" ca="1" si="130"/>
        <v/>
      </c>
      <c r="W277" s="484" t="str">
        <f t="shared" ca="1" si="130"/>
        <v/>
      </c>
      <c r="X277" s="484" t="str">
        <f t="shared" ca="1" si="130"/>
        <v/>
      </c>
      <c r="Y277" s="484" t="str">
        <f t="shared" ca="1" si="130"/>
        <v/>
      </c>
      <c r="Z277" s="484" t="str">
        <f t="shared" ca="1" si="130"/>
        <v/>
      </c>
      <c r="AA277" s="484" t="str">
        <f t="shared" ca="1" si="130"/>
        <v/>
      </c>
      <c r="AB277" s="484" t="str">
        <f t="shared" ca="1" si="130"/>
        <v/>
      </c>
      <c r="AC277" s="484" t="str">
        <f t="shared" ca="1" si="130"/>
        <v/>
      </c>
      <c r="AD277" s="484" t="str">
        <f t="shared" ca="1" si="130"/>
        <v/>
      </c>
      <c r="AE277" s="484" t="str">
        <f t="shared" ca="1" si="130"/>
        <v/>
      </c>
      <c r="AF277" s="484" t="str">
        <f t="shared" ca="1" si="130"/>
        <v/>
      </c>
      <c r="AG277" s="484" t="str">
        <f t="shared" ca="1" si="130"/>
        <v/>
      </c>
      <c r="AH277" s="484" t="str">
        <f t="shared" ca="1" si="130"/>
        <v/>
      </c>
      <c r="AI277" s="484" t="str">
        <f t="shared" ca="1" si="130"/>
        <v/>
      </c>
      <c r="AJ277" s="484" t="str">
        <f t="shared" ca="1" si="130"/>
        <v/>
      </c>
      <c r="AK277" s="484" t="str">
        <f t="shared" ca="1" si="130"/>
        <v/>
      </c>
      <c r="AL277" s="484" t="str">
        <f t="shared" ca="1" si="130"/>
        <v/>
      </c>
      <c r="AM277" s="484" t="str">
        <f t="shared" ca="1" si="130"/>
        <v/>
      </c>
      <c r="AN277" s="484" t="str">
        <f t="shared" ca="1" si="130"/>
        <v/>
      </c>
      <c r="AO277" s="484" t="str">
        <f t="shared" ca="1" si="130"/>
        <v/>
      </c>
      <c r="AP277" s="484" t="str">
        <f t="shared" ca="1" si="130"/>
        <v/>
      </c>
      <c r="AQ277" s="484" t="str">
        <f t="shared" ca="1" si="130"/>
        <v/>
      </c>
      <c r="AR277" s="484" t="str">
        <f t="shared" ca="1" si="130"/>
        <v/>
      </c>
      <c r="AS277" s="484" t="str">
        <f t="shared" ca="1" si="130"/>
        <v/>
      </c>
      <c r="AT277" s="484" t="str">
        <f t="shared" ca="1" si="130"/>
        <v/>
      </c>
      <c r="AU277" s="484" t="str">
        <f t="shared" ca="1" si="130"/>
        <v/>
      </c>
      <c r="AV277" s="484" t="str">
        <f t="shared" ca="1" si="130"/>
        <v/>
      </c>
      <c r="AW277" s="484" t="str">
        <f t="shared" ca="1" si="130"/>
        <v/>
      </c>
      <c r="AX277" s="484" t="str">
        <f t="shared" ca="1" si="130"/>
        <v/>
      </c>
      <c r="AY277" s="484" t="str">
        <f t="shared" ca="1" si="130"/>
        <v/>
      </c>
      <c r="AZ277" s="484" t="str">
        <f t="shared" ca="1" si="130"/>
        <v/>
      </c>
      <c r="BA277" s="449" t="str">
        <f t="shared" ca="1" si="130"/>
        <v/>
      </c>
      <c r="BB277" s="447" t="str">
        <f t="shared" ca="1" si="130"/>
        <v/>
      </c>
      <c r="IE277" s="485"/>
      <c r="IF277" s="485"/>
      <c r="IG277" s="485"/>
      <c r="IH277" s="485"/>
    </row>
    <row r="278" spans="1:242" s="371" customFormat="1" ht="19.8" hidden="1">
      <c r="A278" s="327">
        <v>32</v>
      </c>
      <c r="B278" s="1306"/>
      <c r="C278" s="492" t="s">
        <v>629</v>
      </c>
      <c r="D278" s="493">
        <v>6</v>
      </c>
      <c r="E278" s="494" t="str">
        <f t="shared" ref="E278:AJ278" ca="1" si="131">IFERROR(OFFSET(貼付け_2024実績,$D278,E277+1)&amp;"","")</f>
        <v/>
      </c>
      <c r="F278" s="494" t="str">
        <f t="shared" ca="1" si="131"/>
        <v/>
      </c>
      <c r="G278" s="494" t="str">
        <f t="shared" ca="1" si="131"/>
        <v/>
      </c>
      <c r="H278" s="494" t="str">
        <f t="shared" ca="1" si="131"/>
        <v/>
      </c>
      <c r="I278" s="494" t="str">
        <f t="shared" ca="1" si="131"/>
        <v/>
      </c>
      <c r="J278" s="494" t="str">
        <f t="shared" ca="1" si="131"/>
        <v/>
      </c>
      <c r="K278" s="494" t="str">
        <f t="shared" ca="1" si="131"/>
        <v/>
      </c>
      <c r="L278" s="494" t="str">
        <f t="shared" ca="1" si="131"/>
        <v/>
      </c>
      <c r="M278" s="494" t="str">
        <f t="shared" ca="1" si="131"/>
        <v/>
      </c>
      <c r="N278" s="494" t="str">
        <f t="shared" ca="1" si="131"/>
        <v/>
      </c>
      <c r="O278" s="494" t="str">
        <f t="shared" ca="1" si="131"/>
        <v/>
      </c>
      <c r="P278" s="494" t="str">
        <f t="shared" ca="1" si="131"/>
        <v/>
      </c>
      <c r="Q278" s="494" t="str">
        <f t="shared" ca="1" si="131"/>
        <v/>
      </c>
      <c r="R278" s="494" t="str">
        <f t="shared" ca="1" si="131"/>
        <v/>
      </c>
      <c r="S278" s="494" t="str">
        <f t="shared" ca="1" si="131"/>
        <v/>
      </c>
      <c r="T278" s="494" t="str">
        <f t="shared" ca="1" si="131"/>
        <v/>
      </c>
      <c r="U278" s="494" t="str">
        <f t="shared" ca="1" si="131"/>
        <v/>
      </c>
      <c r="V278" s="494" t="str">
        <f t="shared" ca="1" si="131"/>
        <v/>
      </c>
      <c r="W278" s="494" t="str">
        <f t="shared" ca="1" si="131"/>
        <v/>
      </c>
      <c r="X278" s="494" t="str">
        <f t="shared" ca="1" si="131"/>
        <v/>
      </c>
      <c r="Y278" s="494" t="str">
        <f t="shared" ca="1" si="131"/>
        <v/>
      </c>
      <c r="Z278" s="494" t="str">
        <f t="shared" ca="1" si="131"/>
        <v/>
      </c>
      <c r="AA278" s="494" t="str">
        <f t="shared" ca="1" si="131"/>
        <v/>
      </c>
      <c r="AB278" s="494" t="str">
        <f t="shared" ca="1" si="131"/>
        <v/>
      </c>
      <c r="AC278" s="494" t="str">
        <f t="shared" ca="1" si="131"/>
        <v/>
      </c>
      <c r="AD278" s="494" t="str">
        <f t="shared" ca="1" si="131"/>
        <v/>
      </c>
      <c r="AE278" s="494" t="str">
        <f t="shared" ca="1" si="131"/>
        <v/>
      </c>
      <c r="AF278" s="494" t="str">
        <f t="shared" ca="1" si="131"/>
        <v/>
      </c>
      <c r="AG278" s="494" t="str">
        <f t="shared" ca="1" si="131"/>
        <v/>
      </c>
      <c r="AH278" s="494" t="str">
        <f t="shared" ca="1" si="131"/>
        <v/>
      </c>
      <c r="AI278" s="494" t="str">
        <f t="shared" ca="1" si="131"/>
        <v/>
      </c>
      <c r="AJ278" s="494" t="str">
        <f t="shared" ca="1" si="131"/>
        <v/>
      </c>
      <c r="AK278" s="494" t="str">
        <f t="shared" ref="AK278:BB278" ca="1" si="132">IFERROR(OFFSET(貼付け_2024実績,$D278,AK277+1)&amp;"","")</f>
        <v/>
      </c>
      <c r="AL278" s="494" t="str">
        <f t="shared" ca="1" si="132"/>
        <v/>
      </c>
      <c r="AM278" s="494" t="str">
        <f t="shared" ca="1" si="132"/>
        <v/>
      </c>
      <c r="AN278" s="494" t="str">
        <f t="shared" ca="1" si="132"/>
        <v/>
      </c>
      <c r="AO278" s="494" t="str">
        <f t="shared" ca="1" si="132"/>
        <v/>
      </c>
      <c r="AP278" s="494" t="str">
        <f t="shared" ca="1" si="132"/>
        <v/>
      </c>
      <c r="AQ278" s="494" t="str">
        <f t="shared" ca="1" si="132"/>
        <v/>
      </c>
      <c r="AR278" s="494" t="str">
        <f t="shared" ca="1" si="132"/>
        <v/>
      </c>
      <c r="AS278" s="494" t="str">
        <f t="shared" ca="1" si="132"/>
        <v/>
      </c>
      <c r="AT278" s="494" t="str">
        <f t="shared" ca="1" si="132"/>
        <v/>
      </c>
      <c r="AU278" s="494" t="str">
        <f t="shared" ca="1" si="132"/>
        <v/>
      </c>
      <c r="AV278" s="494" t="str">
        <f t="shared" ca="1" si="132"/>
        <v/>
      </c>
      <c r="AW278" s="494" t="str">
        <f t="shared" ca="1" si="132"/>
        <v/>
      </c>
      <c r="AX278" s="494" t="str">
        <f t="shared" ca="1" si="132"/>
        <v/>
      </c>
      <c r="AY278" s="494" t="str">
        <f t="shared" ca="1" si="132"/>
        <v/>
      </c>
      <c r="AZ278" s="494" t="str">
        <f t="shared" ca="1" si="132"/>
        <v/>
      </c>
      <c r="BA278" s="495" t="str">
        <f t="shared" ca="1" si="132"/>
        <v/>
      </c>
      <c r="BB278" s="496" t="str">
        <f t="shared" ca="1" si="132"/>
        <v/>
      </c>
      <c r="BC278" s="497"/>
      <c r="IE278" s="463"/>
      <c r="IF278" s="463"/>
      <c r="IG278" s="463"/>
      <c r="IH278" s="463"/>
    </row>
    <row r="279" spans="1:242" s="371" customFormat="1" ht="20.100000000000001" hidden="1" customHeight="1">
      <c r="A279" s="327">
        <v>33</v>
      </c>
      <c r="B279" s="1306"/>
      <c r="C279" s="498" t="s">
        <v>630</v>
      </c>
      <c r="D279" s="499">
        <v>99</v>
      </c>
      <c r="E279" s="500" t="str">
        <f t="shared" ref="E279:AJ279" ca="1" si="133">IFERROR(OFFSET(貼付け_2024実績,$D279,E277),"")&amp;""</f>
        <v/>
      </c>
      <c r="F279" s="500" t="str">
        <f t="shared" ca="1" si="133"/>
        <v/>
      </c>
      <c r="G279" s="500" t="str">
        <f t="shared" ca="1" si="133"/>
        <v/>
      </c>
      <c r="H279" s="500" t="str">
        <f t="shared" ca="1" si="133"/>
        <v/>
      </c>
      <c r="I279" s="500" t="str">
        <f t="shared" ca="1" si="133"/>
        <v/>
      </c>
      <c r="J279" s="500" t="str">
        <f t="shared" ca="1" si="133"/>
        <v/>
      </c>
      <c r="K279" s="500" t="str">
        <f t="shared" ca="1" si="133"/>
        <v/>
      </c>
      <c r="L279" s="500" t="str">
        <f t="shared" ca="1" si="133"/>
        <v/>
      </c>
      <c r="M279" s="500" t="str">
        <f t="shared" ca="1" si="133"/>
        <v/>
      </c>
      <c r="N279" s="500" t="str">
        <f t="shared" ca="1" si="133"/>
        <v/>
      </c>
      <c r="O279" s="500" t="str">
        <f t="shared" ca="1" si="133"/>
        <v/>
      </c>
      <c r="P279" s="500" t="str">
        <f t="shared" ca="1" si="133"/>
        <v/>
      </c>
      <c r="Q279" s="500" t="str">
        <f t="shared" ca="1" si="133"/>
        <v/>
      </c>
      <c r="R279" s="500" t="str">
        <f t="shared" ca="1" si="133"/>
        <v/>
      </c>
      <c r="S279" s="500" t="str">
        <f t="shared" ca="1" si="133"/>
        <v/>
      </c>
      <c r="T279" s="500" t="str">
        <f t="shared" ca="1" si="133"/>
        <v/>
      </c>
      <c r="U279" s="500" t="str">
        <f t="shared" ca="1" si="133"/>
        <v/>
      </c>
      <c r="V279" s="500" t="str">
        <f t="shared" ca="1" si="133"/>
        <v/>
      </c>
      <c r="W279" s="500" t="str">
        <f t="shared" ca="1" si="133"/>
        <v/>
      </c>
      <c r="X279" s="500" t="str">
        <f t="shared" ca="1" si="133"/>
        <v/>
      </c>
      <c r="Y279" s="500" t="str">
        <f t="shared" ca="1" si="133"/>
        <v/>
      </c>
      <c r="Z279" s="500" t="str">
        <f t="shared" ca="1" si="133"/>
        <v/>
      </c>
      <c r="AA279" s="500" t="str">
        <f t="shared" ca="1" si="133"/>
        <v/>
      </c>
      <c r="AB279" s="500" t="str">
        <f t="shared" ca="1" si="133"/>
        <v/>
      </c>
      <c r="AC279" s="500" t="str">
        <f t="shared" ca="1" si="133"/>
        <v/>
      </c>
      <c r="AD279" s="500" t="str">
        <f t="shared" ca="1" si="133"/>
        <v/>
      </c>
      <c r="AE279" s="500" t="str">
        <f t="shared" ca="1" si="133"/>
        <v/>
      </c>
      <c r="AF279" s="500" t="str">
        <f t="shared" ca="1" si="133"/>
        <v/>
      </c>
      <c r="AG279" s="500" t="str">
        <f t="shared" ca="1" si="133"/>
        <v/>
      </c>
      <c r="AH279" s="500" t="str">
        <f t="shared" ca="1" si="133"/>
        <v/>
      </c>
      <c r="AI279" s="500" t="str">
        <f t="shared" ca="1" si="133"/>
        <v/>
      </c>
      <c r="AJ279" s="500" t="str">
        <f t="shared" ca="1" si="133"/>
        <v/>
      </c>
      <c r="AK279" s="500" t="str">
        <f t="shared" ref="AK279:BB279" ca="1" si="134">IFERROR(OFFSET(貼付け_2024実績,$D279,AK277),"")&amp;""</f>
        <v/>
      </c>
      <c r="AL279" s="500" t="str">
        <f t="shared" ca="1" si="134"/>
        <v/>
      </c>
      <c r="AM279" s="500" t="str">
        <f t="shared" ca="1" si="134"/>
        <v/>
      </c>
      <c r="AN279" s="500" t="str">
        <f t="shared" ca="1" si="134"/>
        <v/>
      </c>
      <c r="AO279" s="500" t="str">
        <f t="shared" ca="1" si="134"/>
        <v/>
      </c>
      <c r="AP279" s="500" t="str">
        <f t="shared" ca="1" si="134"/>
        <v/>
      </c>
      <c r="AQ279" s="500" t="str">
        <f t="shared" ca="1" si="134"/>
        <v/>
      </c>
      <c r="AR279" s="500" t="str">
        <f t="shared" ca="1" si="134"/>
        <v/>
      </c>
      <c r="AS279" s="500" t="str">
        <f t="shared" ca="1" si="134"/>
        <v/>
      </c>
      <c r="AT279" s="500" t="str">
        <f t="shared" ca="1" si="134"/>
        <v/>
      </c>
      <c r="AU279" s="500" t="str">
        <f t="shared" ca="1" si="134"/>
        <v/>
      </c>
      <c r="AV279" s="500" t="str">
        <f t="shared" ca="1" si="134"/>
        <v/>
      </c>
      <c r="AW279" s="500" t="str">
        <f t="shared" ca="1" si="134"/>
        <v/>
      </c>
      <c r="AX279" s="500" t="str">
        <f t="shared" ca="1" si="134"/>
        <v/>
      </c>
      <c r="AY279" s="500" t="str">
        <f t="shared" ca="1" si="134"/>
        <v/>
      </c>
      <c r="AZ279" s="500" t="str">
        <f t="shared" ca="1" si="134"/>
        <v/>
      </c>
      <c r="BA279" s="500" t="str">
        <f t="shared" ca="1" si="134"/>
        <v/>
      </c>
      <c r="BB279" s="500" t="str">
        <f t="shared" ca="1" si="134"/>
        <v/>
      </c>
      <c r="IE279" s="463"/>
      <c r="IF279" s="463"/>
      <c r="IG279" s="463"/>
      <c r="IH279" s="463"/>
    </row>
    <row r="280" spans="1:242" s="371" customFormat="1" ht="20.100000000000001" hidden="1" customHeight="1">
      <c r="A280" s="327">
        <v>34</v>
      </c>
      <c r="B280" s="1306"/>
      <c r="C280" s="498" t="s">
        <v>631</v>
      </c>
      <c r="D280" s="499">
        <v>6</v>
      </c>
      <c r="E280" s="500" t="s">
        <v>1</v>
      </c>
      <c r="F280" s="500" t="s">
        <v>1</v>
      </c>
      <c r="G280" s="500" t="s">
        <v>1</v>
      </c>
      <c r="H280" s="500" t="s">
        <v>1</v>
      </c>
      <c r="I280" s="500" t="s">
        <v>1</v>
      </c>
      <c r="J280" s="500" t="s">
        <v>1</v>
      </c>
      <c r="K280" s="500" t="s">
        <v>1</v>
      </c>
      <c r="L280" s="500" t="s">
        <v>1</v>
      </c>
      <c r="M280" s="500" t="s">
        <v>1</v>
      </c>
      <c r="N280" s="500" t="s">
        <v>1</v>
      </c>
      <c r="O280" s="500" t="s">
        <v>1</v>
      </c>
      <c r="P280" s="500" t="s">
        <v>1</v>
      </c>
      <c r="Q280" s="500" t="s">
        <v>1</v>
      </c>
      <c r="R280" s="500" t="s">
        <v>1</v>
      </c>
      <c r="S280" s="500" t="s">
        <v>1</v>
      </c>
      <c r="T280" s="500" t="s">
        <v>1</v>
      </c>
      <c r="U280" s="500" t="s">
        <v>1</v>
      </c>
      <c r="V280" s="500" t="s">
        <v>1</v>
      </c>
      <c r="W280" s="500" t="s">
        <v>1</v>
      </c>
      <c r="X280" s="500" t="s">
        <v>1</v>
      </c>
      <c r="Y280" s="500" t="s">
        <v>1</v>
      </c>
      <c r="Z280" s="500" t="s">
        <v>1</v>
      </c>
      <c r="AA280" s="500" t="s">
        <v>1</v>
      </c>
      <c r="AB280" s="500" t="s">
        <v>1</v>
      </c>
      <c r="AC280" s="500" t="s">
        <v>1</v>
      </c>
      <c r="AD280" s="500" t="s">
        <v>1</v>
      </c>
      <c r="AE280" s="500" t="s">
        <v>1</v>
      </c>
      <c r="AF280" s="500" t="s">
        <v>1</v>
      </c>
      <c r="AG280" s="500" t="s">
        <v>1</v>
      </c>
      <c r="AH280" s="500" t="s">
        <v>1</v>
      </c>
      <c r="AI280" s="500" t="s">
        <v>1</v>
      </c>
      <c r="AJ280" s="500" t="s">
        <v>1</v>
      </c>
      <c r="AK280" s="500" t="s">
        <v>1</v>
      </c>
      <c r="AL280" s="500" t="s">
        <v>1</v>
      </c>
      <c r="AM280" s="500" t="s">
        <v>1</v>
      </c>
      <c r="AN280" s="500" t="s">
        <v>1</v>
      </c>
      <c r="AO280" s="500" t="s">
        <v>1</v>
      </c>
      <c r="AP280" s="500" t="s">
        <v>1</v>
      </c>
      <c r="AQ280" s="500" t="s">
        <v>1</v>
      </c>
      <c r="AR280" s="500" t="s">
        <v>1</v>
      </c>
      <c r="AS280" s="500" t="s">
        <v>1</v>
      </c>
      <c r="AT280" s="500" t="s">
        <v>1</v>
      </c>
      <c r="AU280" s="500" t="s">
        <v>1</v>
      </c>
      <c r="AV280" s="500" t="s">
        <v>1</v>
      </c>
      <c r="AW280" s="500" t="s">
        <v>1</v>
      </c>
      <c r="AX280" s="500" t="s">
        <v>1</v>
      </c>
      <c r="AY280" s="500" t="s">
        <v>1</v>
      </c>
      <c r="AZ280" s="500" t="s">
        <v>1</v>
      </c>
      <c r="BA280" s="469" t="s">
        <v>1</v>
      </c>
      <c r="BB280" s="501" t="s">
        <v>1</v>
      </c>
      <c r="IE280" s="463"/>
      <c r="IF280" s="463"/>
      <c r="IG280" s="463"/>
      <c r="IH280" s="463"/>
    </row>
    <row r="281" spans="1:242" s="371" customFormat="1" ht="20.100000000000001" hidden="1" customHeight="1">
      <c r="A281" s="327">
        <v>35</v>
      </c>
      <c r="B281" s="1306"/>
      <c r="C281" s="498" t="s">
        <v>632</v>
      </c>
      <c r="D281" s="499">
        <v>101</v>
      </c>
      <c r="E281" s="500" t="str">
        <f t="shared" ref="E281:AJ281" ca="1" si="135">IFERROR(OFFSET(貼付け_2024実績,$D281,E277),"")</f>
        <v/>
      </c>
      <c r="F281" s="500" t="str">
        <f t="shared" ca="1" si="135"/>
        <v/>
      </c>
      <c r="G281" s="500" t="str">
        <f t="shared" ca="1" si="135"/>
        <v/>
      </c>
      <c r="H281" s="500" t="str">
        <f t="shared" ca="1" si="135"/>
        <v/>
      </c>
      <c r="I281" s="500" t="str">
        <f t="shared" ca="1" si="135"/>
        <v/>
      </c>
      <c r="J281" s="500" t="str">
        <f t="shared" ca="1" si="135"/>
        <v/>
      </c>
      <c r="K281" s="500" t="str">
        <f t="shared" ca="1" si="135"/>
        <v/>
      </c>
      <c r="L281" s="500" t="str">
        <f t="shared" ca="1" si="135"/>
        <v/>
      </c>
      <c r="M281" s="500" t="str">
        <f t="shared" ca="1" si="135"/>
        <v/>
      </c>
      <c r="N281" s="500" t="str">
        <f t="shared" ca="1" si="135"/>
        <v/>
      </c>
      <c r="O281" s="500" t="str">
        <f t="shared" ca="1" si="135"/>
        <v/>
      </c>
      <c r="P281" s="500" t="str">
        <f t="shared" ca="1" si="135"/>
        <v/>
      </c>
      <c r="Q281" s="500" t="str">
        <f t="shared" ca="1" si="135"/>
        <v/>
      </c>
      <c r="R281" s="500" t="str">
        <f t="shared" ca="1" si="135"/>
        <v/>
      </c>
      <c r="S281" s="500" t="str">
        <f t="shared" ca="1" si="135"/>
        <v/>
      </c>
      <c r="T281" s="500" t="str">
        <f t="shared" ca="1" si="135"/>
        <v/>
      </c>
      <c r="U281" s="500" t="str">
        <f t="shared" ca="1" si="135"/>
        <v/>
      </c>
      <c r="V281" s="500" t="str">
        <f t="shared" ca="1" si="135"/>
        <v/>
      </c>
      <c r="W281" s="500" t="str">
        <f t="shared" ca="1" si="135"/>
        <v/>
      </c>
      <c r="X281" s="500" t="str">
        <f t="shared" ca="1" si="135"/>
        <v/>
      </c>
      <c r="Y281" s="500" t="str">
        <f t="shared" ca="1" si="135"/>
        <v/>
      </c>
      <c r="Z281" s="500" t="str">
        <f t="shared" ca="1" si="135"/>
        <v/>
      </c>
      <c r="AA281" s="500" t="str">
        <f t="shared" ca="1" si="135"/>
        <v/>
      </c>
      <c r="AB281" s="500" t="str">
        <f t="shared" ca="1" si="135"/>
        <v/>
      </c>
      <c r="AC281" s="500" t="str">
        <f t="shared" ca="1" si="135"/>
        <v/>
      </c>
      <c r="AD281" s="500" t="str">
        <f t="shared" ca="1" si="135"/>
        <v/>
      </c>
      <c r="AE281" s="500" t="str">
        <f t="shared" ca="1" si="135"/>
        <v/>
      </c>
      <c r="AF281" s="500" t="str">
        <f t="shared" ca="1" si="135"/>
        <v/>
      </c>
      <c r="AG281" s="500" t="str">
        <f t="shared" ca="1" si="135"/>
        <v/>
      </c>
      <c r="AH281" s="500" t="str">
        <f t="shared" ca="1" si="135"/>
        <v/>
      </c>
      <c r="AI281" s="500" t="str">
        <f t="shared" ca="1" si="135"/>
        <v/>
      </c>
      <c r="AJ281" s="500" t="str">
        <f t="shared" ca="1" si="135"/>
        <v/>
      </c>
      <c r="AK281" s="500" t="str">
        <f t="shared" ref="AK281:BB281" ca="1" si="136">IFERROR(OFFSET(貼付け_2024実績,$D281,AK277),"")</f>
        <v/>
      </c>
      <c r="AL281" s="500" t="str">
        <f t="shared" ca="1" si="136"/>
        <v/>
      </c>
      <c r="AM281" s="500" t="str">
        <f t="shared" ca="1" si="136"/>
        <v/>
      </c>
      <c r="AN281" s="500" t="str">
        <f t="shared" ca="1" si="136"/>
        <v/>
      </c>
      <c r="AO281" s="500" t="str">
        <f t="shared" ca="1" si="136"/>
        <v/>
      </c>
      <c r="AP281" s="500" t="str">
        <f t="shared" ca="1" si="136"/>
        <v/>
      </c>
      <c r="AQ281" s="500" t="str">
        <f t="shared" ca="1" si="136"/>
        <v/>
      </c>
      <c r="AR281" s="500" t="str">
        <f t="shared" ca="1" si="136"/>
        <v/>
      </c>
      <c r="AS281" s="500" t="str">
        <f t="shared" ca="1" si="136"/>
        <v/>
      </c>
      <c r="AT281" s="500" t="str">
        <f t="shared" ca="1" si="136"/>
        <v/>
      </c>
      <c r="AU281" s="500" t="str">
        <f t="shared" ca="1" si="136"/>
        <v/>
      </c>
      <c r="AV281" s="500" t="str">
        <f t="shared" ca="1" si="136"/>
        <v/>
      </c>
      <c r="AW281" s="500" t="str">
        <f t="shared" ca="1" si="136"/>
        <v/>
      </c>
      <c r="AX281" s="500" t="str">
        <f t="shared" ca="1" si="136"/>
        <v/>
      </c>
      <c r="AY281" s="500" t="str">
        <f t="shared" ca="1" si="136"/>
        <v/>
      </c>
      <c r="AZ281" s="500" t="str">
        <f t="shared" ca="1" si="136"/>
        <v/>
      </c>
      <c r="BA281" s="469" t="str">
        <f t="shared" ca="1" si="136"/>
        <v/>
      </c>
      <c r="BB281" s="501" t="str">
        <f t="shared" ca="1" si="136"/>
        <v/>
      </c>
      <c r="IE281" s="463"/>
      <c r="IF281" s="463"/>
      <c r="IG281" s="463"/>
      <c r="IH281" s="463"/>
    </row>
    <row r="282" spans="1:242" s="371" customFormat="1" ht="20.100000000000001" hidden="1" customHeight="1">
      <c r="A282" s="327">
        <v>36</v>
      </c>
      <c r="B282" s="1306"/>
      <c r="C282" s="498" t="s">
        <v>633</v>
      </c>
      <c r="D282" s="499"/>
      <c r="E282" s="500" t="str">
        <f ca="1">IFERROR(E280/E281,"")</f>
        <v/>
      </c>
      <c r="F282" s="500" t="str">
        <f t="shared" ref="F282:BB282" ca="1" si="137">IFERROR(F280/F281,"")</f>
        <v/>
      </c>
      <c r="G282" s="500" t="str">
        <f t="shared" ca="1" si="137"/>
        <v/>
      </c>
      <c r="H282" s="500" t="str">
        <f t="shared" ca="1" si="137"/>
        <v/>
      </c>
      <c r="I282" s="500" t="str">
        <f t="shared" ca="1" si="137"/>
        <v/>
      </c>
      <c r="J282" s="500" t="str">
        <f t="shared" ca="1" si="137"/>
        <v/>
      </c>
      <c r="K282" s="500" t="str">
        <f t="shared" ca="1" si="137"/>
        <v/>
      </c>
      <c r="L282" s="500" t="str">
        <f t="shared" ca="1" si="137"/>
        <v/>
      </c>
      <c r="M282" s="500" t="str">
        <f t="shared" ca="1" si="137"/>
        <v/>
      </c>
      <c r="N282" s="500" t="str">
        <f t="shared" ca="1" si="137"/>
        <v/>
      </c>
      <c r="O282" s="500" t="str">
        <f t="shared" ca="1" si="137"/>
        <v/>
      </c>
      <c r="P282" s="500" t="str">
        <f t="shared" ca="1" si="137"/>
        <v/>
      </c>
      <c r="Q282" s="500" t="str">
        <f t="shared" ca="1" si="137"/>
        <v/>
      </c>
      <c r="R282" s="500" t="str">
        <f t="shared" ca="1" si="137"/>
        <v/>
      </c>
      <c r="S282" s="500" t="str">
        <f t="shared" ca="1" si="137"/>
        <v/>
      </c>
      <c r="T282" s="500" t="str">
        <f t="shared" ca="1" si="137"/>
        <v/>
      </c>
      <c r="U282" s="500" t="str">
        <f t="shared" ca="1" si="137"/>
        <v/>
      </c>
      <c r="V282" s="500" t="str">
        <f t="shared" ca="1" si="137"/>
        <v/>
      </c>
      <c r="W282" s="500" t="str">
        <f t="shared" ca="1" si="137"/>
        <v/>
      </c>
      <c r="X282" s="500" t="str">
        <f t="shared" ca="1" si="137"/>
        <v/>
      </c>
      <c r="Y282" s="500" t="str">
        <f t="shared" ca="1" si="137"/>
        <v/>
      </c>
      <c r="Z282" s="500" t="str">
        <f t="shared" ca="1" si="137"/>
        <v/>
      </c>
      <c r="AA282" s="500" t="str">
        <f t="shared" ca="1" si="137"/>
        <v/>
      </c>
      <c r="AB282" s="500" t="str">
        <f t="shared" ca="1" si="137"/>
        <v/>
      </c>
      <c r="AC282" s="500" t="str">
        <f t="shared" ca="1" si="137"/>
        <v/>
      </c>
      <c r="AD282" s="500" t="str">
        <f t="shared" ca="1" si="137"/>
        <v/>
      </c>
      <c r="AE282" s="500" t="str">
        <f t="shared" ca="1" si="137"/>
        <v/>
      </c>
      <c r="AF282" s="500" t="str">
        <f t="shared" ca="1" si="137"/>
        <v/>
      </c>
      <c r="AG282" s="500" t="str">
        <f t="shared" ca="1" si="137"/>
        <v/>
      </c>
      <c r="AH282" s="500" t="str">
        <f t="shared" ca="1" si="137"/>
        <v/>
      </c>
      <c r="AI282" s="500" t="str">
        <f t="shared" ca="1" si="137"/>
        <v/>
      </c>
      <c r="AJ282" s="500" t="str">
        <f t="shared" ca="1" si="137"/>
        <v/>
      </c>
      <c r="AK282" s="500" t="str">
        <f t="shared" ca="1" si="137"/>
        <v/>
      </c>
      <c r="AL282" s="500" t="str">
        <f t="shared" ca="1" si="137"/>
        <v/>
      </c>
      <c r="AM282" s="500" t="str">
        <f t="shared" ca="1" si="137"/>
        <v/>
      </c>
      <c r="AN282" s="500" t="str">
        <f t="shared" ca="1" si="137"/>
        <v/>
      </c>
      <c r="AO282" s="500" t="str">
        <f t="shared" ca="1" si="137"/>
        <v/>
      </c>
      <c r="AP282" s="500" t="str">
        <f t="shared" ca="1" si="137"/>
        <v/>
      </c>
      <c r="AQ282" s="500" t="str">
        <f t="shared" ca="1" si="137"/>
        <v/>
      </c>
      <c r="AR282" s="500" t="str">
        <f t="shared" ca="1" si="137"/>
        <v/>
      </c>
      <c r="AS282" s="500" t="str">
        <f t="shared" ca="1" si="137"/>
        <v/>
      </c>
      <c r="AT282" s="500" t="str">
        <f t="shared" ca="1" si="137"/>
        <v/>
      </c>
      <c r="AU282" s="500" t="str">
        <f t="shared" ca="1" si="137"/>
        <v/>
      </c>
      <c r="AV282" s="500" t="str">
        <f t="shared" ca="1" si="137"/>
        <v/>
      </c>
      <c r="AW282" s="500" t="str">
        <f t="shared" ca="1" si="137"/>
        <v/>
      </c>
      <c r="AX282" s="500" t="str">
        <f t="shared" ca="1" si="137"/>
        <v/>
      </c>
      <c r="AY282" s="500" t="str">
        <f t="shared" ca="1" si="137"/>
        <v/>
      </c>
      <c r="AZ282" s="500" t="str">
        <f t="shared" ca="1" si="137"/>
        <v/>
      </c>
      <c r="BA282" s="469" t="str">
        <f t="shared" ca="1" si="137"/>
        <v/>
      </c>
      <c r="BB282" s="501" t="str">
        <f t="shared" ca="1" si="137"/>
        <v/>
      </c>
      <c r="IE282" s="463"/>
      <c r="IF282" s="463"/>
      <c r="IG282" s="463"/>
      <c r="IH282" s="463"/>
    </row>
    <row r="283" spans="1:242" s="371" customFormat="1" ht="20.100000000000001" hidden="1" customHeight="1" thickBot="1">
      <c r="A283" s="327">
        <v>37</v>
      </c>
      <c r="B283" s="1307"/>
      <c r="C283" s="502" t="s">
        <v>634</v>
      </c>
      <c r="D283" s="503">
        <v>36</v>
      </c>
      <c r="E283" s="504"/>
      <c r="F283" s="505"/>
      <c r="G283" s="505"/>
      <c r="H283" s="505"/>
      <c r="I283" s="505"/>
      <c r="J283" s="505"/>
      <c r="K283" s="505"/>
      <c r="L283" s="505"/>
      <c r="M283" s="505"/>
      <c r="N283" s="505"/>
      <c r="O283" s="505"/>
      <c r="P283" s="505"/>
      <c r="Q283" s="505"/>
      <c r="R283" s="505"/>
      <c r="S283" s="505"/>
      <c r="T283" s="505"/>
      <c r="U283" s="505"/>
      <c r="V283" s="505"/>
      <c r="W283" s="505"/>
      <c r="X283" s="505"/>
      <c r="Y283" s="505"/>
      <c r="Z283" s="505"/>
      <c r="AA283" s="505"/>
      <c r="AB283" s="505"/>
      <c r="AC283" s="505"/>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5"/>
      <c r="AY283" s="505"/>
      <c r="AZ283" s="505"/>
      <c r="BA283" s="505"/>
      <c r="BB283" s="503"/>
      <c r="IE283" s="463"/>
      <c r="IF283" s="463"/>
      <c r="IG283" s="463"/>
      <c r="IH283" s="463"/>
    </row>
    <row r="284" spans="1:242" ht="19.5" hidden="1" customHeight="1">
      <c r="A284" s="327">
        <v>38</v>
      </c>
      <c r="B284" s="1305" t="s">
        <v>636</v>
      </c>
      <c r="C284" s="478" t="s">
        <v>625</v>
      </c>
      <c r="D284" s="479">
        <v>2024</v>
      </c>
      <c r="E284" s="480">
        <f ca="1">IFERROR(MATCH($B284&amp;E$247,OFFSET(INDIRECT("貼付け_"&amp;$D284&amp;"実績"),4,0,1,209),0)-1,"")</f>
        <v>137</v>
      </c>
      <c r="F284" s="480">
        <f t="shared" ref="F284:BB284" ca="1" si="138">IFERROR(MATCH($B284&amp;F$247,OFFSET(INDIRECT("貼付け_"&amp;$D284&amp;"実績"),4,0,1,209),0)-1,"")</f>
        <v>141</v>
      </c>
      <c r="G284" s="480">
        <f t="shared" ca="1" si="138"/>
        <v>145</v>
      </c>
      <c r="H284" s="480" t="str">
        <f t="shared" ca="1" si="138"/>
        <v/>
      </c>
      <c r="I284" s="480" t="str">
        <f t="shared" ca="1" si="138"/>
        <v/>
      </c>
      <c r="J284" s="480">
        <f t="shared" ca="1" si="138"/>
        <v>149</v>
      </c>
      <c r="K284" s="480">
        <f t="shared" ca="1" si="138"/>
        <v>153</v>
      </c>
      <c r="L284" s="480">
        <f t="shared" ca="1" si="138"/>
        <v>157</v>
      </c>
      <c r="M284" s="480">
        <f t="shared" ca="1" si="138"/>
        <v>161</v>
      </c>
      <c r="N284" s="480">
        <f t="shared" ca="1" si="138"/>
        <v>165</v>
      </c>
      <c r="O284" s="480">
        <f t="shared" ca="1" si="138"/>
        <v>169</v>
      </c>
      <c r="P284" s="480">
        <f t="shared" ca="1" si="138"/>
        <v>173</v>
      </c>
      <c r="Q284" s="480">
        <f t="shared" ca="1" si="138"/>
        <v>177</v>
      </c>
      <c r="R284" s="480">
        <f t="shared" ca="1" si="138"/>
        <v>181</v>
      </c>
      <c r="S284" s="480">
        <f t="shared" ca="1" si="138"/>
        <v>185</v>
      </c>
      <c r="T284" s="480">
        <f t="shared" ca="1" si="138"/>
        <v>189</v>
      </c>
      <c r="U284" s="480">
        <f t="shared" ca="1" si="138"/>
        <v>193</v>
      </c>
      <c r="V284" s="480">
        <f t="shared" ca="1" si="138"/>
        <v>197</v>
      </c>
      <c r="W284" s="480">
        <f t="shared" ca="1" si="138"/>
        <v>201</v>
      </c>
      <c r="X284" s="480">
        <f t="shared" ca="1" si="138"/>
        <v>205</v>
      </c>
      <c r="Y284" s="480" t="str">
        <f t="shared" ca="1" si="138"/>
        <v/>
      </c>
      <c r="Z284" s="480" t="str">
        <f t="shared" ca="1" si="138"/>
        <v/>
      </c>
      <c r="AA284" s="480" t="str">
        <f t="shared" ca="1" si="138"/>
        <v/>
      </c>
      <c r="AB284" s="480" t="str">
        <f t="shared" ca="1" si="138"/>
        <v/>
      </c>
      <c r="AC284" s="480" t="str">
        <f t="shared" ca="1" si="138"/>
        <v/>
      </c>
      <c r="AD284" s="480" t="str">
        <f t="shared" ca="1" si="138"/>
        <v/>
      </c>
      <c r="AE284" s="480" t="str">
        <f t="shared" ca="1" si="138"/>
        <v/>
      </c>
      <c r="AF284" s="480" t="str">
        <f t="shared" ca="1" si="138"/>
        <v/>
      </c>
      <c r="AG284" s="480" t="str">
        <f t="shared" ca="1" si="138"/>
        <v/>
      </c>
      <c r="AH284" s="480" t="str">
        <f t="shared" ca="1" si="138"/>
        <v/>
      </c>
      <c r="AI284" s="480" t="str">
        <f t="shared" ca="1" si="138"/>
        <v/>
      </c>
      <c r="AJ284" s="480" t="str">
        <f t="shared" ca="1" si="138"/>
        <v/>
      </c>
      <c r="AK284" s="480" t="str">
        <f t="shared" ca="1" si="138"/>
        <v/>
      </c>
      <c r="AL284" s="480" t="str">
        <f t="shared" ca="1" si="138"/>
        <v/>
      </c>
      <c r="AM284" s="480" t="str">
        <f t="shared" ca="1" si="138"/>
        <v/>
      </c>
      <c r="AN284" s="480" t="str">
        <f t="shared" ca="1" si="138"/>
        <v/>
      </c>
      <c r="AO284" s="480" t="str">
        <f t="shared" ca="1" si="138"/>
        <v/>
      </c>
      <c r="AP284" s="480" t="str">
        <f t="shared" ca="1" si="138"/>
        <v/>
      </c>
      <c r="AQ284" s="480" t="str">
        <f t="shared" ca="1" si="138"/>
        <v/>
      </c>
      <c r="AR284" s="480" t="str">
        <f t="shared" ca="1" si="138"/>
        <v/>
      </c>
      <c r="AS284" s="480" t="str">
        <f t="shared" ca="1" si="138"/>
        <v/>
      </c>
      <c r="AT284" s="480" t="str">
        <f t="shared" ca="1" si="138"/>
        <v/>
      </c>
      <c r="AU284" s="480" t="str">
        <f t="shared" ca="1" si="138"/>
        <v/>
      </c>
      <c r="AV284" s="480" t="str">
        <f t="shared" ca="1" si="138"/>
        <v/>
      </c>
      <c r="AW284" s="480" t="str">
        <f t="shared" ca="1" si="138"/>
        <v/>
      </c>
      <c r="AX284" s="480" t="str">
        <f t="shared" ca="1" si="138"/>
        <v/>
      </c>
      <c r="AY284" s="480" t="str">
        <f t="shared" ca="1" si="138"/>
        <v/>
      </c>
      <c r="AZ284" s="480" t="str">
        <f t="shared" ca="1" si="138"/>
        <v/>
      </c>
      <c r="BA284" s="480" t="str">
        <f t="shared" ca="1" si="138"/>
        <v/>
      </c>
      <c r="BB284" s="481" t="str">
        <f t="shared" ca="1" si="138"/>
        <v/>
      </c>
      <c r="BC284" s="363" t="str">
        <f>D284&amp;"年度"</f>
        <v>2024年度</v>
      </c>
      <c r="BD284" s="363">
        <v>1</v>
      </c>
      <c r="BE284" s="363">
        <v>2</v>
      </c>
      <c r="BF284" s="363">
        <v>3</v>
      </c>
      <c r="BG284" s="363">
        <v>4</v>
      </c>
      <c r="BH284" s="363">
        <v>5</v>
      </c>
      <c r="BI284" s="363">
        <v>6</v>
      </c>
      <c r="BJ284" s="363">
        <v>7</v>
      </c>
      <c r="BK284" s="363">
        <v>8</v>
      </c>
      <c r="BL284" s="363">
        <v>9</v>
      </c>
      <c r="BM284" s="363">
        <v>10</v>
      </c>
      <c r="BN284" s="363">
        <v>11</v>
      </c>
      <c r="BO284" s="363">
        <v>12</v>
      </c>
      <c r="BP284" s="363">
        <v>13</v>
      </c>
      <c r="BQ284" s="363">
        <v>14</v>
      </c>
      <c r="BR284" s="363">
        <v>15</v>
      </c>
      <c r="BS284" s="363">
        <v>16</v>
      </c>
      <c r="BT284" s="363">
        <v>17</v>
      </c>
      <c r="BU284" s="363">
        <v>18</v>
      </c>
      <c r="BV284" s="363">
        <v>19</v>
      </c>
      <c r="BW284" s="363">
        <v>20</v>
      </c>
      <c r="BX284" s="363">
        <v>21</v>
      </c>
      <c r="BY284" s="363">
        <v>22</v>
      </c>
      <c r="BZ284" s="363">
        <v>23</v>
      </c>
      <c r="CA284" s="363">
        <v>24</v>
      </c>
      <c r="CB284" s="363">
        <v>25</v>
      </c>
      <c r="CC284" s="363">
        <v>26</v>
      </c>
      <c r="CD284" s="363">
        <v>27</v>
      </c>
      <c r="CE284" s="363">
        <v>28</v>
      </c>
      <c r="CF284" s="363">
        <v>29</v>
      </c>
      <c r="CG284" s="363">
        <v>30</v>
      </c>
      <c r="CH284" s="363">
        <v>31</v>
      </c>
      <c r="CI284" s="363">
        <v>32</v>
      </c>
      <c r="CJ284" s="363">
        <v>33</v>
      </c>
      <c r="CK284" s="363">
        <v>34</v>
      </c>
      <c r="CL284" s="363">
        <v>35</v>
      </c>
      <c r="CM284" s="363">
        <v>36</v>
      </c>
      <c r="CN284" s="363">
        <v>37</v>
      </c>
      <c r="CO284" s="363">
        <v>38</v>
      </c>
      <c r="CP284" s="363">
        <v>39</v>
      </c>
      <c r="CQ284" s="363">
        <v>40</v>
      </c>
      <c r="CR284" s="363">
        <v>41</v>
      </c>
      <c r="CS284" s="363">
        <v>42</v>
      </c>
      <c r="CT284" s="363">
        <v>43</v>
      </c>
      <c r="CU284" s="363">
        <v>44</v>
      </c>
      <c r="CV284" s="363">
        <v>45</v>
      </c>
      <c r="CW284" s="363">
        <v>46</v>
      </c>
      <c r="CX284" s="363">
        <v>47</v>
      </c>
      <c r="CY284" s="363">
        <v>48</v>
      </c>
      <c r="CZ284" s="363">
        <v>49</v>
      </c>
      <c r="DA284" s="363">
        <v>50</v>
      </c>
    </row>
    <row r="285" spans="1:242" s="327" customFormat="1" ht="18.75" hidden="1" customHeight="1">
      <c r="A285" s="327">
        <v>39</v>
      </c>
      <c r="B285" s="1306"/>
      <c r="C285" s="482" t="str">
        <f>D284-1&amp;"/"&amp;D284</f>
        <v>2023/2024</v>
      </c>
      <c r="D285" s="483" t="str">
        <f>""</f>
        <v/>
      </c>
      <c r="E285" s="484" t="str">
        <f>""</f>
        <v/>
      </c>
      <c r="F285" s="484" t="str">
        <f>""</f>
        <v/>
      </c>
      <c r="G285" s="484" t="str">
        <f>""</f>
        <v/>
      </c>
      <c r="H285" s="484" t="str">
        <f>""</f>
        <v/>
      </c>
      <c r="I285" s="484" t="str">
        <f>""</f>
        <v/>
      </c>
      <c r="J285" s="484" t="str">
        <f>""</f>
        <v/>
      </c>
      <c r="K285" s="484" t="str">
        <f>""</f>
        <v/>
      </c>
      <c r="L285" s="484" t="str">
        <f>""</f>
        <v/>
      </c>
      <c r="M285" s="484" t="str">
        <f>""</f>
        <v/>
      </c>
      <c r="N285" s="484" t="str">
        <f>""</f>
        <v/>
      </c>
      <c r="O285" s="484" t="str">
        <f>""</f>
        <v/>
      </c>
      <c r="P285" s="484" t="str">
        <f>""</f>
        <v/>
      </c>
      <c r="Q285" s="484" t="str">
        <f>""</f>
        <v/>
      </c>
      <c r="R285" s="484" t="str">
        <f>""</f>
        <v/>
      </c>
      <c r="S285" s="484" t="str">
        <f>""</f>
        <v/>
      </c>
      <c r="T285" s="484" t="str">
        <f>""</f>
        <v/>
      </c>
      <c r="U285" s="484" t="str">
        <f>""</f>
        <v/>
      </c>
      <c r="V285" s="484" t="str">
        <f>""</f>
        <v/>
      </c>
      <c r="W285" s="484" t="str">
        <f>""</f>
        <v/>
      </c>
      <c r="X285" s="484" t="str">
        <f>""</f>
        <v/>
      </c>
      <c r="Y285" s="484" t="str">
        <f>""</f>
        <v/>
      </c>
      <c r="Z285" s="484" t="str">
        <f>""</f>
        <v/>
      </c>
      <c r="AA285" s="484" t="str">
        <f>""</f>
        <v/>
      </c>
      <c r="AB285" s="484" t="str">
        <f>""</f>
        <v/>
      </c>
      <c r="AC285" s="484" t="str">
        <f>""</f>
        <v/>
      </c>
      <c r="AD285" s="484" t="str">
        <f>""</f>
        <v/>
      </c>
      <c r="AE285" s="484" t="str">
        <f>""</f>
        <v/>
      </c>
      <c r="AF285" s="484" t="str">
        <f>""</f>
        <v/>
      </c>
      <c r="AG285" s="484" t="str">
        <f>""</f>
        <v/>
      </c>
      <c r="AH285" s="484" t="str">
        <f>""</f>
        <v/>
      </c>
      <c r="AI285" s="484" t="str">
        <f>""</f>
        <v/>
      </c>
      <c r="AJ285" s="484" t="str">
        <f>""</f>
        <v/>
      </c>
      <c r="AK285" s="484" t="str">
        <f>""</f>
        <v/>
      </c>
      <c r="AL285" s="484" t="str">
        <f>""</f>
        <v/>
      </c>
      <c r="AM285" s="484" t="str">
        <f>""</f>
        <v/>
      </c>
      <c r="AN285" s="484" t="str">
        <f>""</f>
        <v/>
      </c>
      <c r="AO285" s="484" t="str">
        <f>""</f>
        <v/>
      </c>
      <c r="AP285" s="484" t="str">
        <f>""</f>
        <v/>
      </c>
      <c r="AQ285" s="484" t="str">
        <f>""</f>
        <v/>
      </c>
      <c r="AR285" s="484" t="str">
        <f>""</f>
        <v/>
      </c>
      <c r="AS285" s="484" t="str">
        <f>""</f>
        <v/>
      </c>
      <c r="AT285" s="484" t="str">
        <f>""</f>
        <v/>
      </c>
      <c r="AU285" s="484" t="str">
        <f>""</f>
        <v/>
      </c>
      <c r="AV285" s="484" t="str">
        <f>""</f>
        <v/>
      </c>
      <c r="AW285" s="484" t="str">
        <f>""</f>
        <v/>
      </c>
      <c r="AX285" s="484" t="str">
        <f>""</f>
        <v/>
      </c>
      <c r="AY285" s="484" t="str">
        <f>""</f>
        <v/>
      </c>
      <c r="AZ285" s="484" t="str">
        <f>""</f>
        <v/>
      </c>
      <c r="BA285" s="449" t="str">
        <f>""</f>
        <v/>
      </c>
      <c r="BB285" s="447" t="str">
        <f>""</f>
        <v/>
      </c>
      <c r="BC285" s="484" t="str">
        <f>""</f>
        <v/>
      </c>
      <c r="BD285" s="484" t="str">
        <f t="shared" ref="BD285:CI285" ca="1" si="139">IFERROR(OFFSET(貼付け_2024実績,5,E284+1),"")&amp;""</f>
        <v/>
      </c>
      <c r="BE285" s="484" t="str">
        <f t="shared" ca="1" si="139"/>
        <v/>
      </c>
      <c r="BF285" s="484" t="str">
        <f t="shared" ca="1" si="139"/>
        <v/>
      </c>
      <c r="BG285" s="484" t="str">
        <f t="shared" ca="1" si="139"/>
        <v/>
      </c>
      <c r="BH285" s="484" t="str">
        <f t="shared" ca="1" si="139"/>
        <v/>
      </c>
      <c r="BI285" s="484" t="str">
        <f t="shared" ca="1" si="139"/>
        <v/>
      </c>
      <c r="BJ285" s="484" t="str">
        <f t="shared" ca="1" si="139"/>
        <v/>
      </c>
      <c r="BK285" s="484" t="str">
        <f t="shared" ca="1" si="139"/>
        <v/>
      </c>
      <c r="BL285" s="484" t="str">
        <f t="shared" ca="1" si="139"/>
        <v/>
      </c>
      <c r="BM285" s="484" t="str">
        <f t="shared" ca="1" si="139"/>
        <v/>
      </c>
      <c r="BN285" s="484" t="str">
        <f t="shared" ca="1" si="139"/>
        <v/>
      </c>
      <c r="BO285" s="484" t="str">
        <f t="shared" ca="1" si="139"/>
        <v/>
      </c>
      <c r="BP285" s="484" t="str">
        <f t="shared" ca="1" si="139"/>
        <v/>
      </c>
      <c r="BQ285" s="484" t="str">
        <f t="shared" ca="1" si="139"/>
        <v/>
      </c>
      <c r="BR285" s="484" t="str">
        <f t="shared" ca="1" si="139"/>
        <v/>
      </c>
      <c r="BS285" s="484" t="str">
        <f t="shared" ca="1" si="139"/>
        <v/>
      </c>
      <c r="BT285" s="484" t="str">
        <f t="shared" ca="1" si="139"/>
        <v/>
      </c>
      <c r="BU285" s="484" t="str">
        <f t="shared" ca="1" si="139"/>
        <v/>
      </c>
      <c r="BV285" s="484" t="str">
        <f t="shared" ca="1" si="139"/>
        <v/>
      </c>
      <c r="BW285" s="484" t="str">
        <f t="shared" ca="1" si="139"/>
        <v/>
      </c>
      <c r="BX285" s="484" t="str">
        <f t="shared" ca="1" si="139"/>
        <v/>
      </c>
      <c r="BY285" s="484" t="str">
        <f t="shared" ca="1" si="139"/>
        <v/>
      </c>
      <c r="BZ285" s="484" t="str">
        <f t="shared" ca="1" si="139"/>
        <v/>
      </c>
      <c r="CA285" s="484" t="str">
        <f t="shared" ca="1" si="139"/>
        <v/>
      </c>
      <c r="CB285" s="484" t="str">
        <f t="shared" ca="1" si="139"/>
        <v/>
      </c>
      <c r="CC285" s="484" t="str">
        <f t="shared" ca="1" si="139"/>
        <v/>
      </c>
      <c r="CD285" s="484" t="str">
        <f t="shared" ca="1" si="139"/>
        <v/>
      </c>
      <c r="CE285" s="484" t="str">
        <f t="shared" ca="1" si="139"/>
        <v/>
      </c>
      <c r="CF285" s="484" t="str">
        <f t="shared" ca="1" si="139"/>
        <v/>
      </c>
      <c r="CG285" s="484" t="str">
        <f t="shared" ca="1" si="139"/>
        <v/>
      </c>
      <c r="CH285" s="484" t="str">
        <f t="shared" ca="1" si="139"/>
        <v/>
      </c>
      <c r="CI285" s="484" t="str">
        <f t="shared" ca="1" si="139"/>
        <v/>
      </c>
      <c r="CJ285" s="484" t="str">
        <f t="shared" ref="CJ285:DA285" ca="1" si="140">IFERROR(OFFSET(貼付け_2024実績,5,AK284+1),"")&amp;""</f>
        <v/>
      </c>
      <c r="CK285" s="484" t="str">
        <f t="shared" ca="1" si="140"/>
        <v/>
      </c>
      <c r="CL285" s="484" t="str">
        <f t="shared" ca="1" si="140"/>
        <v/>
      </c>
      <c r="CM285" s="484" t="str">
        <f t="shared" ca="1" si="140"/>
        <v/>
      </c>
      <c r="CN285" s="484" t="str">
        <f t="shared" ca="1" si="140"/>
        <v/>
      </c>
      <c r="CO285" s="484" t="str">
        <f t="shared" ca="1" si="140"/>
        <v/>
      </c>
      <c r="CP285" s="484" t="str">
        <f t="shared" ca="1" si="140"/>
        <v/>
      </c>
      <c r="CQ285" s="484" t="str">
        <f t="shared" ca="1" si="140"/>
        <v/>
      </c>
      <c r="CR285" s="484" t="str">
        <f t="shared" ca="1" si="140"/>
        <v/>
      </c>
      <c r="CS285" s="484" t="str">
        <f t="shared" ca="1" si="140"/>
        <v/>
      </c>
      <c r="CT285" s="484" t="str">
        <f t="shared" ca="1" si="140"/>
        <v/>
      </c>
      <c r="CU285" s="484" t="str">
        <f t="shared" ca="1" si="140"/>
        <v/>
      </c>
      <c r="CV285" s="484" t="str">
        <f t="shared" ca="1" si="140"/>
        <v/>
      </c>
      <c r="CW285" s="484" t="str">
        <f t="shared" ca="1" si="140"/>
        <v/>
      </c>
      <c r="CX285" s="484" t="str">
        <f t="shared" ca="1" si="140"/>
        <v/>
      </c>
      <c r="CY285" s="484" t="str">
        <f t="shared" ca="1" si="140"/>
        <v/>
      </c>
      <c r="CZ285" s="484" t="str">
        <f t="shared" ca="1" si="140"/>
        <v/>
      </c>
      <c r="DA285" s="484" t="str">
        <f t="shared" ca="1" si="140"/>
        <v/>
      </c>
      <c r="IE285" s="485"/>
      <c r="IF285" s="485"/>
      <c r="IG285" s="485"/>
      <c r="IH285" s="485"/>
    </row>
    <row r="286" spans="1:242" s="327" customFormat="1" ht="19.5" hidden="1" customHeight="1">
      <c r="A286" s="327">
        <v>40</v>
      </c>
      <c r="B286" s="1306"/>
      <c r="C286" s="482" t="str">
        <f>D284-1&amp;"&amp;"&amp;D284</f>
        <v>2023&amp;2024</v>
      </c>
      <c r="D286" s="483" t="str">
        <f>""</f>
        <v/>
      </c>
      <c r="E286" s="484" t="str">
        <f t="array" aca="1" ref="E286" ca="1">IFERROR(INDEX($E285:$DA285,MATCH(0,COUNTIF($D286:D286,$E285:$DA285),0)),"")</f>
        <v/>
      </c>
      <c r="F286" s="484" t="str">
        <f t="array" aca="1" ref="F286" ca="1">IFERROR(INDEX($E285:$DA285,MATCH(0,COUNTIF($D286:E286,$E285:$DA285),0)),"")</f>
        <v/>
      </c>
      <c r="G286" s="484" t="str">
        <f t="array" aca="1" ref="G286" ca="1">IFERROR(INDEX($E285:$DA285,MATCH(0,COUNTIF($D286:F286,$E285:$DA285),0)),"")</f>
        <v/>
      </c>
      <c r="H286" s="484" t="str">
        <f t="array" aca="1" ref="H286" ca="1">IFERROR(INDEX($E285:$DA285,MATCH(0,COUNTIF($D286:G286,$E285:$DA285),0)),"")</f>
        <v/>
      </c>
      <c r="I286" s="484" t="str">
        <f t="array" aca="1" ref="I286" ca="1">IFERROR(INDEX($E285:$DA285,MATCH(0,COUNTIF($D286:H286,$E285:$DA285),0)),"")</f>
        <v/>
      </c>
      <c r="J286" s="484" t="str">
        <f t="array" aca="1" ref="J286" ca="1">IFERROR(INDEX($E285:$DA285,MATCH(0,COUNTIF($D286:I286,$E285:$DA285),0)),"")</f>
        <v/>
      </c>
      <c r="K286" s="484" t="str">
        <f t="array" aca="1" ref="K286" ca="1">IFERROR(INDEX($E285:$DA285,MATCH(0,COUNTIF($D286:J286,$E285:$DA285),0)),"")</f>
        <v/>
      </c>
      <c r="L286" s="484" t="str">
        <f t="array" aca="1" ref="L286" ca="1">IFERROR(INDEX($E285:$DA285,MATCH(0,COUNTIF($D286:K286,$E285:$DA285),0)),"")</f>
        <v/>
      </c>
      <c r="M286" s="484" t="str">
        <f t="array" aca="1" ref="M286" ca="1">IFERROR(INDEX($E285:$DA285,MATCH(0,COUNTIF($D286:L286,$E285:$DA285),0)),"")</f>
        <v/>
      </c>
      <c r="N286" s="484" t="str">
        <f t="array" aca="1" ref="N286" ca="1">IFERROR(INDEX($E285:$DA285,MATCH(0,COUNTIF($D286:M286,$E285:$DA285),0)),"")</f>
        <v/>
      </c>
      <c r="O286" s="484" t="str">
        <f t="array" aca="1" ref="O286" ca="1">IFERROR(INDEX($E285:$DA285,MATCH(0,COUNTIF($D286:N286,$E285:$DA285),0)),"")</f>
        <v/>
      </c>
      <c r="P286" s="484" t="str">
        <f t="array" aca="1" ref="P286" ca="1">IFERROR(INDEX($E285:$DA285,MATCH(0,COUNTIF($D286:O286,$E285:$DA285),0)),"")</f>
        <v/>
      </c>
      <c r="Q286" s="484" t="str">
        <f t="array" aca="1" ref="Q286" ca="1">IFERROR(INDEX($E285:$DA285,MATCH(0,COUNTIF($D286:P286,$E285:$DA285),0)),"")</f>
        <v/>
      </c>
      <c r="R286" s="484" t="str">
        <f t="array" aca="1" ref="R286" ca="1">IFERROR(INDEX($E285:$DA285,MATCH(0,COUNTIF($D286:Q286,$E285:$DA285),0)),"")</f>
        <v/>
      </c>
      <c r="S286" s="484" t="str">
        <f t="array" aca="1" ref="S286" ca="1">IFERROR(INDEX($E285:$DA285,MATCH(0,COUNTIF($D286:R286,$E285:$DA285),0)),"")</f>
        <v/>
      </c>
      <c r="T286" s="484" t="str">
        <f t="array" aca="1" ref="T286" ca="1">IFERROR(INDEX($E285:$DA285,MATCH(0,COUNTIF($D286:S286,$E285:$DA285),0)),"")</f>
        <v/>
      </c>
      <c r="U286" s="484" t="str">
        <f t="array" aca="1" ref="U286" ca="1">IFERROR(INDEX($E285:$DA285,MATCH(0,COUNTIF($D286:T286,$E285:$DA285),0)),"")</f>
        <v/>
      </c>
      <c r="V286" s="484" t="str">
        <f t="array" aca="1" ref="V286" ca="1">IFERROR(INDEX($E285:$DA285,MATCH(0,COUNTIF($D286:U286,$E285:$DA285),0)),"")</f>
        <v/>
      </c>
      <c r="W286" s="484" t="str">
        <f t="array" aca="1" ref="W286" ca="1">IFERROR(INDEX($E285:$DA285,MATCH(0,COUNTIF($D286:V286,$E285:$DA285),0)),"")</f>
        <v/>
      </c>
      <c r="X286" s="484" t="str">
        <f t="array" aca="1" ref="X286" ca="1">IFERROR(INDEX($E285:$DA285,MATCH(0,COUNTIF($D286:W286,$E285:$DA285),0)),"")</f>
        <v/>
      </c>
      <c r="Y286" s="484" t="str">
        <f t="array" aca="1" ref="Y286" ca="1">IFERROR(INDEX($E285:$DA285,MATCH(0,COUNTIF($D286:X286,$E285:$DA285),0)),"")</f>
        <v/>
      </c>
      <c r="Z286" s="484" t="str">
        <f t="array" aca="1" ref="Z286" ca="1">IFERROR(INDEX($E285:$DA285,MATCH(0,COUNTIF($D286:Y286,$E285:$DA285),0)),"")</f>
        <v/>
      </c>
      <c r="AA286" s="484" t="str">
        <f t="array" aca="1" ref="AA286" ca="1">IFERROR(INDEX($E285:$DA285,MATCH(0,COUNTIF($D286:Z286,$E285:$DA285),0)),"")</f>
        <v/>
      </c>
      <c r="AB286" s="484" t="str">
        <f t="array" aca="1" ref="AB286" ca="1">IFERROR(INDEX($E285:$DA285,MATCH(0,COUNTIF($D286:AA286,$E285:$DA285),0)),"")</f>
        <v/>
      </c>
      <c r="AC286" s="484" t="str">
        <f t="array" aca="1" ref="AC286" ca="1">IFERROR(INDEX($E285:$DA285,MATCH(0,COUNTIF($D286:AB286,$E285:$DA285),0)),"")</f>
        <v/>
      </c>
      <c r="AD286" s="484" t="str">
        <f t="array" aca="1" ref="AD286" ca="1">IFERROR(INDEX($E285:$DA285,MATCH(0,COUNTIF($D286:AC286,$E285:$DA285),0)),"")</f>
        <v/>
      </c>
      <c r="AE286" s="484" t="str">
        <f t="array" aca="1" ref="AE286" ca="1">IFERROR(INDEX($E285:$DA285,MATCH(0,COUNTIF($D286:AD286,$E285:$DA285),0)),"")</f>
        <v/>
      </c>
      <c r="AF286" s="484" t="str">
        <f t="array" aca="1" ref="AF286" ca="1">IFERROR(INDEX($E285:$DA285,MATCH(0,COUNTIF($D286:AE286,$E285:$DA285),0)),"")</f>
        <v/>
      </c>
      <c r="AG286" s="484" t="str">
        <f t="array" aca="1" ref="AG286" ca="1">IFERROR(INDEX($E285:$DA285,MATCH(0,COUNTIF($D286:AF286,$E285:$DA285),0)),"")</f>
        <v/>
      </c>
      <c r="AH286" s="484" t="str">
        <f t="array" aca="1" ref="AH286" ca="1">IFERROR(INDEX($E285:$DA285,MATCH(0,COUNTIF($D286:AG286,$E285:$DA285),0)),"")</f>
        <v/>
      </c>
      <c r="AI286" s="484" t="str">
        <f t="array" aca="1" ref="AI286" ca="1">IFERROR(INDEX($E285:$DA285,MATCH(0,COUNTIF($D286:AH286,$E285:$DA285),0)),"")</f>
        <v/>
      </c>
      <c r="AJ286" s="484" t="str">
        <f t="array" aca="1" ref="AJ286" ca="1">IFERROR(INDEX($E285:$DA285,MATCH(0,COUNTIF($D286:AI286,$E285:$DA285),0)),"")</f>
        <v/>
      </c>
      <c r="AK286" s="484" t="str">
        <f t="array" aca="1" ref="AK286" ca="1">IFERROR(INDEX($E285:$DA285,MATCH(0,COUNTIF($D286:AJ286,$E285:$DA285),0)),"")</f>
        <v/>
      </c>
      <c r="AL286" s="484" t="str">
        <f t="array" aca="1" ref="AL286" ca="1">IFERROR(INDEX($E285:$DA285,MATCH(0,COUNTIF($D286:AK286,$E285:$DA285),0)),"")</f>
        <v/>
      </c>
      <c r="AM286" s="484" t="str">
        <f t="array" aca="1" ref="AM286" ca="1">IFERROR(INDEX($E285:$DA285,MATCH(0,COUNTIF($D286:AL286,$E285:$DA285),0)),"")</f>
        <v/>
      </c>
      <c r="AN286" s="484" t="str">
        <f t="array" aca="1" ref="AN286" ca="1">IFERROR(INDEX($E285:$DA285,MATCH(0,COUNTIF($D286:AM286,$E285:$DA285),0)),"")</f>
        <v/>
      </c>
      <c r="AO286" s="484" t="str">
        <f t="array" aca="1" ref="AO286" ca="1">IFERROR(INDEX($E285:$DA285,MATCH(0,COUNTIF($D286:AN286,$E285:$DA285),0)),"")</f>
        <v/>
      </c>
      <c r="AP286" s="484" t="str">
        <f t="array" aca="1" ref="AP286" ca="1">IFERROR(INDEX($E285:$DA285,MATCH(0,COUNTIF($D286:AO286,$E285:$DA285),0)),"")</f>
        <v/>
      </c>
      <c r="AQ286" s="484" t="str">
        <f t="array" aca="1" ref="AQ286" ca="1">IFERROR(INDEX($E285:$DA285,MATCH(0,COUNTIF($D286:AP286,$E285:$DA285),0)),"")</f>
        <v/>
      </c>
      <c r="AR286" s="484" t="str">
        <f t="array" aca="1" ref="AR286" ca="1">IFERROR(INDEX($E285:$DA285,MATCH(0,COUNTIF($D286:AQ286,$E285:$DA285),0)),"")</f>
        <v/>
      </c>
      <c r="AS286" s="484" t="str">
        <f t="array" aca="1" ref="AS286" ca="1">IFERROR(INDEX($E285:$DA285,MATCH(0,COUNTIF($D286:AR286,$E285:$DA285),0)),"")</f>
        <v/>
      </c>
      <c r="AT286" s="484" t="str">
        <f t="array" aca="1" ref="AT286" ca="1">IFERROR(INDEX($E285:$DA285,MATCH(0,COUNTIF($D286:AS286,$E285:$DA285),0)),"")</f>
        <v/>
      </c>
      <c r="AU286" s="484" t="str">
        <f t="array" aca="1" ref="AU286" ca="1">IFERROR(INDEX($E285:$DA285,MATCH(0,COUNTIF($D286:AT286,$E285:$DA285),0)),"")</f>
        <v/>
      </c>
      <c r="AV286" s="484" t="str">
        <f t="array" aca="1" ref="AV286" ca="1">IFERROR(INDEX($E285:$DA285,MATCH(0,COUNTIF($D286:AU286,$E285:$DA285),0)),"")</f>
        <v/>
      </c>
      <c r="AW286" s="484" t="str">
        <f t="array" aca="1" ref="AW286" ca="1">IFERROR(INDEX($E285:$DA285,MATCH(0,COUNTIF($D286:AV286,$E285:$DA285),0)),"")</f>
        <v/>
      </c>
      <c r="AX286" s="484" t="str">
        <f t="array" aca="1" ref="AX286" ca="1">IFERROR(INDEX($E285:$DA285,MATCH(0,COUNTIF($D286:AW286,$E285:$DA285),0)),"")</f>
        <v/>
      </c>
      <c r="AY286" s="484" t="str">
        <f t="array" aca="1" ref="AY286" ca="1">IFERROR(INDEX($E285:$DA285,MATCH(0,COUNTIF($D286:AX286,$E285:$DA285),0)),"")</f>
        <v/>
      </c>
      <c r="AZ286" s="484" t="str">
        <f t="array" aca="1" ref="AZ286" ca="1">IFERROR(INDEX($E285:$DA285,MATCH(0,COUNTIF($D286:AY286,$E285:$DA285),0)),"")</f>
        <v/>
      </c>
      <c r="BA286" s="449" t="str">
        <f t="array" aca="1" ref="BA286" ca="1">IFERROR(INDEX($E285:$DA285,MATCH(0,COUNTIF($D286:AZ286,$E285:$DA285),0)),"")</f>
        <v/>
      </c>
      <c r="BB286" s="447" t="str">
        <f t="array" aca="1" ref="BB286" ca="1">IFERROR(INDEX($E285:$DA285,MATCH(0,COUNTIF($D286:BA286,$E285:$DA285),0)),"")</f>
        <v/>
      </c>
      <c r="BC286" s="486"/>
      <c r="BD286" s="486" t="str">
        <f>""</f>
        <v/>
      </c>
      <c r="BE286" s="486"/>
      <c r="BF286" s="486"/>
      <c r="BG286" s="486"/>
      <c r="BH286" s="486"/>
      <c r="BI286" s="486"/>
      <c r="BJ286" s="486"/>
      <c r="BK286" s="486"/>
      <c r="BL286" s="486"/>
      <c r="BM286" s="486"/>
      <c r="BN286" s="486"/>
      <c r="BO286" s="486"/>
      <c r="BP286" s="486"/>
      <c r="BQ286" s="486"/>
      <c r="BR286" s="486"/>
      <c r="BS286" s="486"/>
      <c r="BT286" s="486"/>
      <c r="BU286" s="486"/>
      <c r="BV286" s="486"/>
      <c r="BW286" s="486"/>
      <c r="IE286" s="485"/>
      <c r="IF286" s="485"/>
      <c r="IG286" s="485"/>
      <c r="IH286" s="485"/>
    </row>
    <row r="287" spans="1:242" s="327" customFormat="1" hidden="1">
      <c r="A287" s="327">
        <v>41</v>
      </c>
      <c r="B287" s="1306"/>
      <c r="C287" s="482" t="s">
        <v>626</v>
      </c>
      <c r="D287" s="483" t="str">
        <f>""</f>
        <v/>
      </c>
      <c r="E287" s="484" t="str">
        <f t="shared" ref="E287:AJ287" ca="1" si="141">IF(OFFSET(貼付け_2024実績,2,12)="■",BD285,IFERROR(INDEX($BD285:$DA285,MATCH(E286,$BD285:$DA285,0)),""))</f>
        <v/>
      </c>
      <c r="F287" s="484" t="str">
        <f t="shared" ca="1" si="141"/>
        <v/>
      </c>
      <c r="G287" s="484" t="str">
        <f t="shared" ca="1" si="141"/>
        <v/>
      </c>
      <c r="H287" s="484" t="str">
        <f t="shared" ca="1" si="141"/>
        <v/>
      </c>
      <c r="I287" s="484" t="str">
        <f t="shared" ca="1" si="141"/>
        <v/>
      </c>
      <c r="J287" s="484" t="str">
        <f t="shared" ca="1" si="141"/>
        <v/>
      </c>
      <c r="K287" s="484" t="str">
        <f t="shared" ca="1" si="141"/>
        <v/>
      </c>
      <c r="L287" s="484" t="str">
        <f t="shared" ca="1" si="141"/>
        <v/>
      </c>
      <c r="M287" s="484" t="str">
        <f t="shared" ca="1" si="141"/>
        <v/>
      </c>
      <c r="N287" s="484" t="str">
        <f t="shared" ca="1" si="141"/>
        <v/>
      </c>
      <c r="O287" s="484" t="str">
        <f t="shared" ca="1" si="141"/>
        <v/>
      </c>
      <c r="P287" s="484" t="str">
        <f t="shared" ca="1" si="141"/>
        <v/>
      </c>
      <c r="Q287" s="484" t="str">
        <f t="shared" ca="1" si="141"/>
        <v/>
      </c>
      <c r="R287" s="484" t="str">
        <f t="shared" ca="1" si="141"/>
        <v/>
      </c>
      <c r="S287" s="484" t="str">
        <f t="shared" ca="1" si="141"/>
        <v/>
      </c>
      <c r="T287" s="484" t="str">
        <f t="shared" ca="1" si="141"/>
        <v/>
      </c>
      <c r="U287" s="484" t="str">
        <f t="shared" ca="1" si="141"/>
        <v/>
      </c>
      <c r="V287" s="484" t="str">
        <f t="shared" ca="1" si="141"/>
        <v/>
      </c>
      <c r="W287" s="484" t="str">
        <f t="shared" ca="1" si="141"/>
        <v/>
      </c>
      <c r="X287" s="484" t="str">
        <f t="shared" ca="1" si="141"/>
        <v/>
      </c>
      <c r="Y287" s="484" t="str">
        <f t="shared" ca="1" si="141"/>
        <v/>
      </c>
      <c r="Z287" s="484" t="str">
        <f t="shared" ca="1" si="141"/>
        <v/>
      </c>
      <c r="AA287" s="484" t="str">
        <f t="shared" ca="1" si="141"/>
        <v/>
      </c>
      <c r="AB287" s="484" t="str">
        <f t="shared" ca="1" si="141"/>
        <v/>
      </c>
      <c r="AC287" s="484" t="str">
        <f t="shared" ca="1" si="141"/>
        <v/>
      </c>
      <c r="AD287" s="484" t="str">
        <f t="shared" ca="1" si="141"/>
        <v/>
      </c>
      <c r="AE287" s="484" t="str">
        <f t="shared" ca="1" si="141"/>
        <v/>
      </c>
      <c r="AF287" s="484" t="str">
        <f t="shared" ca="1" si="141"/>
        <v/>
      </c>
      <c r="AG287" s="484" t="str">
        <f t="shared" ca="1" si="141"/>
        <v/>
      </c>
      <c r="AH287" s="484" t="str">
        <f t="shared" ca="1" si="141"/>
        <v/>
      </c>
      <c r="AI287" s="484" t="str">
        <f t="shared" ca="1" si="141"/>
        <v/>
      </c>
      <c r="AJ287" s="484" t="str">
        <f t="shared" ca="1" si="141"/>
        <v/>
      </c>
      <c r="AK287" s="484" t="str">
        <f t="shared" ref="AK287:BB287" ca="1" si="142">IF(OFFSET(貼付け_2024実績,2,12)="■",CJ285,IFERROR(INDEX($BD285:$DA285,MATCH(AK286,$BD285:$DA285,0)),""))</f>
        <v/>
      </c>
      <c r="AL287" s="484" t="str">
        <f t="shared" ca="1" si="142"/>
        <v/>
      </c>
      <c r="AM287" s="484" t="str">
        <f t="shared" ca="1" si="142"/>
        <v/>
      </c>
      <c r="AN287" s="484" t="str">
        <f t="shared" ca="1" si="142"/>
        <v/>
      </c>
      <c r="AO287" s="484" t="str">
        <f t="shared" ca="1" si="142"/>
        <v/>
      </c>
      <c r="AP287" s="484" t="str">
        <f t="shared" ca="1" si="142"/>
        <v/>
      </c>
      <c r="AQ287" s="484" t="str">
        <f t="shared" ca="1" si="142"/>
        <v/>
      </c>
      <c r="AR287" s="484" t="str">
        <f t="shared" ca="1" si="142"/>
        <v/>
      </c>
      <c r="AS287" s="484" t="str">
        <f t="shared" ca="1" si="142"/>
        <v/>
      </c>
      <c r="AT287" s="484" t="str">
        <f t="shared" ca="1" si="142"/>
        <v/>
      </c>
      <c r="AU287" s="484" t="str">
        <f t="shared" ca="1" si="142"/>
        <v/>
      </c>
      <c r="AV287" s="484" t="str">
        <f t="shared" ca="1" si="142"/>
        <v/>
      </c>
      <c r="AW287" s="484" t="str">
        <f t="shared" ca="1" si="142"/>
        <v/>
      </c>
      <c r="AX287" s="484" t="str">
        <f t="shared" ca="1" si="142"/>
        <v/>
      </c>
      <c r="AY287" s="484" t="str">
        <f t="shared" ca="1" si="142"/>
        <v/>
      </c>
      <c r="AZ287" s="484" t="str">
        <f t="shared" ca="1" si="142"/>
        <v/>
      </c>
      <c r="BA287" s="449" t="str">
        <f t="shared" ca="1" si="142"/>
        <v/>
      </c>
      <c r="BB287" s="447" t="str">
        <f t="shared" ca="1" si="142"/>
        <v/>
      </c>
      <c r="BD287" s="327" t="str">
        <f>""</f>
        <v/>
      </c>
      <c r="IE287" s="485"/>
      <c r="IF287" s="485"/>
      <c r="IG287" s="485"/>
      <c r="IH287" s="485"/>
    </row>
    <row r="288" spans="1:242" s="327" customFormat="1" hidden="1">
      <c r="A288" s="327">
        <v>42</v>
      </c>
      <c r="B288" s="1306"/>
      <c r="C288" s="487" t="s">
        <v>627</v>
      </c>
      <c r="D288" s="488">
        <v>14</v>
      </c>
      <c r="E288" s="489" t="str">
        <f t="shared" ref="E288:AJ288" ca="1" si="143">OFFSET(A1_名称2024,E$247+2,$D288)&amp;""</f>
        <v/>
      </c>
      <c r="F288" s="489" t="str">
        <f t="shared" ca="1" si="143"/>
        <v/>
      </c>
      <c r="G288" s="489" t="str">
        <f t="shared" ca="1" si="143"/>
        <v/>
      </c>
      <c r="H288" s="489" t="str">
        <f t="shared" ca="1" si="143"/>
        <v/>
      </c>
      <c r="I288" s="489" t="str">
        <f t="shared" ca="1" si="143"/>
        <v/>
      </c>
      <c r="J288" s="489" t="str">
        <f t="shared" ca="1" si="143"/>
        <v/>
      </c>
      <c r="K288" s="489" t="str">
        <f t="shared" ca="1" si="143"/>
        <v/>
      </c>
      <c r="L288" s="489" t="str">
        <f t="shared" ca="1" si="143"/>
        <v/>
      </c>
      <c r="M288" s="489" t="str">
        <f t="shared" ca="1" si="143"/>
        <v/>
      </c>
      <c r="N288" s="489" t="str">
        <f t="shared" ca="1" si="143"/>
        <v/>
      </c>
      <c r="O288" s="489" t="str">
        <f t="shared" ca="1" si="143"/>
        <v/>
      </c>
      <c r="P288" s="489" t="str">
        <f t="shared" ca="1" si="143"/>
        <v/>
      </c>
      <c r="Q288" s="489" t="str">
        <f t="shared" ca="1" si="143"/>
        <v/>
      </c>
      <c r="R288" s="489" t="str">
        <f t="shared" ca="1" si="143"/>
        <v/>
      </c>
      <c r="S288" s="489" t="str">
        <f t="shared" ca="1" si="143"/>
        <v/>
      </c>
      <c r="T288" s="489" t="str">
        <f t="shared" ca="1" si="143"/>
        <v/>
      </c>
      <c r="U288" s="489" t="str">
        <f t="shared" ca="1" si="143"/>
        <v/>
      </c>
      <c r="V288" s="489" t="str">
        <f t="shared" ca="1" si="143"/>
        <v/>
      </c>
      <c r="W288" s="489" t="str">
        <f t="shared" ca="1" si="143"/>
        <v/>
      </c>
      <c r="X288" s="489" t="str">
        <f t="shared" ca="1" si="143"/>
        <v/>
      </c>
      <c r="Y288" s="489" t="str">
        <f t="shared" ca="1" si="143"/>
        <v/>
      </c>
      <c r="Z288" s="489" t="str">
        <f t="shared" ca="1" si="143"/>
        <v/>
      </c>
      <c r="AA288" s="489" t="str">
        <f t="shared" ca="1" si="143"/>
        <v/>
      </c>
      <c r="AB288" s="489" t="str">
        <f t="shared" ca="1" si="143"/>
        <v/>
      </c>
      <c r="AC288" s="489" t="str">
        <f t="shared" ca="1" si="143"/>
        <v/>
      </c>
      <c r="AD288" s="489" t="str">
        <f t="shared" ca="1" si="143"/>
        <v/>
      </c>
      <c r="AE288" s="489" t="str">
        <f t="shared" ca="1" si="143"/>
        <v/>
      </c>
      <c r="AF288" s="489" t="str">
        <f t="shared" ca="1" si="143"/>
        <v/>
      </c>
      <c r="AG288" s="489" t="str">
        <f t="shared" ca="1" si="143"/>
        <v/>
      </c>
      <c r="AH288" s="489" t="str">
        <f t="shared" ca="1" si="143"/>
        <v/>
      </c>
      <c r="AI288" s="489" t="str">
        <f t="shared" ca="1" si="143"/>
        <v/>
      </c>
      <c r="AJ288" s="489" t="str">
        <f t="shared" ca="1" si="143"/>
        <v/>
      </c>
      <c r="AK288" s="489" t="str">
        <f t="shared" ref="AK288:BB288" ca="1" si="144">OFFSET(A1_名称2024,AK$247+2,$D288)&amp;""</f>
        <v/>
      </c>
      <c r="AL288" s="489" t="str">
        <f t="shared" ca="1" si="144"/>
        <v/>
      </c>
      <c r="AM288" s="489" t="str">
        <f t="shared" ca="1" si="144"/>
        <v/>
      </c>
      <c r="AN288" s="489" t="str">
        <f t="shared" ca="1" si="144"/>
        <v/>
      </c>
      <c r="AO288" s="489" t="str">
        <f t="shared" ca="1" si="144"/>
        <v/>
      </c>
      <c r="AP288" s="489" t="str">
        <f t="shared" ca="1" si="144"/>
        <v/>
      </c>
      <c r="AQ288" s="489" t="str">
        <f t="shared" ca="1" si="144"/>
        <v/>
      </c>
      <c r="AR288" s="489" t="str">
        <f t="shared" ca="1" si="144"/>
        <v/>
      </c>
      <c r="AS288" s="489" t="str">
        <f t="shared" ca="1" si="144"/>
        <v/>
      </c>
      <c r="AT288" s="489" t="str">
        <f t="shared" ca="1" si="144"/>
        <v/>
      </c>
      <c r="AU288" s="489" t="str">
        <f t="shared" ca="1" si="144"/>
        <v/>
      </c>
      <c r="AV288" s="489" t="str">
        <f t="shared" ca="1" si="144"/>
        <v/>
      </c>
      <c r="AW288" s="489" t="str">
        <f t="shared" ca="1" si="144"/>
        <v/>
      </c>
      <c r="AX288" s="489" t="str">
        <f t="shared" ca="1" si="144"/>
        <v/>
      </c>
      <c r="AY288" s="489" t="str">
        <f t="shared" ca="1" si="144"/>
        <v/>
      </c>
      <c r="AZ288" s="489" t="str">
        <f t="shared" ca="1" si="144"/>
        <v/>
      </c>
      <c r="BA288" s="490" t="str">
        <f t="shared" ca="1" si="144"/>
        <v/>
      </c>
      <c r="BB288" s="491" t="str">
        <f t="shared" ca="1" si="144"/>
        <v/>
      </c>
      <c r="IE288" s="485"/>
      <c r="IF288" s="485"/>
      <c r="IG288" s="485"/>
      <c r="IH288" s="485"/>
    </row>
    <row r="289" spans="1:242" s="327" customFormat="1" hidden="1">
      <c r="A289" s="327">
        <v>43</v>
      </c>
      <c r="B289" s="1306"/>
      <c r="C289" s="482" t="s">
        <v>628</v>
      </c>
      <c r="D289" s="483"/>
      <c r="E289" s="484" t="str">
        <f ca="1">IF(E288="","",IFERROR(INDEX($E284:$BB284,MATCH(E288,$BD285:$DA285,0)),""))</f>
        <v/>
      </c>
      <c r="F289" s="484" t="str">
        <f t="shared" ref="F289:BB289" ca="1" si="145">IF(F288="","",IFERROR(INDEX($E284:$BB284,MATCH(F288,$BD285:$DA285,0)),""))</f>
        <v/>
      </c>
      <c r="G289" s="484" t="str">
        <f t="shared" ca="1" si="145"/>
        <v/>
      </c>
      <c r="H289" s="484" t="str">
        <f t="shared" ca="1" si="145"/>
        <v/>
      </c>
      <c r="I289" s="484" t="str">
        <f t="shared" ca="1" si="145"/>
        <v/>
      </c>
      <c r="J289" s="484" t="str">
        <f t="shared" ca="1" si="145"/>
        <v/>
      </c>
      <c r="K289" s="484" t="str">
        <f t="shared" ca="1" si="145"/>
        <v/>
      </c>
      <c r="L289" s="484" t="str">
        <f t="shared" ca="1" si="145"/>
        <v/>
      </c>
      <c r="M289" s="484" t="str">
        <f t="shared" ca="1" si="145"/>
        <v/>
      </c>
      <c r="N289" s="484" t="str">
        <f t="shared" ca="1" si="145"/>
        <v/>
      </c>
      <c r="O289" s="484" t="str">
        <f t="shared" ca="1" si="145"/>
        <v/>
      </c>
      <c r="P289" s="484" t="str">
        <f t="shared" ca="1" si="145"/>
        <v/>
      </c>
      <c r="Q289" s="484" t="str">
        <f t="shared" ca="1" si="145"/>
        <v/>
      </c>
      <c r="R289" s="484" t="str">
        <f t="shared" ca="1" si="145"/>
        <v/>
      </c>
      <c r="S289" s="484" t="str">
        <f t="shared" ca="1" si="145"/>
        <v/>
      </c>
      <c r="T289" s="484" t="str">
        <f t="shared" ca="1" si="145"/>
        <v/>
      </c>
      <c r="U289" s="484" t="str">
        <f t="shared" ca="1" si="145"/>
        <v/>
      </c>
      <c r="V289" s="484" t="str">
        <f t="shared" ca="1" si="145"/>
        <v/>
      </c>
      <c r="W289" s="484" t="str">
        <f t="shared" ca="1" si="145"/>
        <v/>
      </c>
      <c r="X289" s="484" t="str">
        <f t="shared" ca="1" si="145"/>
        <v/>
      </c>
      <c r="Y289" s="484" t="str">
        <f t="shared" ca="1" si="145"/>
        <v/>
      </c>
      <c r="Z289" s="484" t="str">
        <f t="shared" ca="1" si="145"/>
        <v/>
      </c>
      <c r="AA289" s="484" t="str">
        <f t="shared" ca="1" si="145"/>
        <v/>
      </c>
      <c r="AB289" s="484" t="str">
        <f t="shared" ca="1" si="145"/>
        <v/>
      </c>
      <c r="AC289" s="484" t="str">
        <f t="shared" ca="1" si="145"/>
        <v/>
      </c>
      <c r="AD289" s="484" t="str">
        <f t="shared" ca="1" si="145"/>
        <v/>
      </c>
      <c r="AE289" s="484" t="str">
        <f t="shared" ca="1" si="145"/>
        <v/>
      </c>
      <c r="AF289" s="484" t="str">
        <f t="shared" ca="1" si="145"/>
        <v/>
      </c>
      <c r="AG289" s="484" t="str">
        <f t="shared" ca="1" si="145"/>
        <v/>
      </c>
      <c r="AH289" s="484" t="str">
        <f t="shared" ca="1" si="145"/>
        <v/>
      </c>
      <c r="AI289" s="484" t="str">
        <f t="shared" ca="1" si="145"/>
        <v/>
      </c>
      <c r="AJ289" s="484" t="str">
        <f t="shared" ca="1" si="145"/>
        <v/>
      </c>
      <c r="AK289" s="484" t="str">
        <f t="shared" ca="1" si="145"/>
        <v/>
      </c>
      <c r="AL289" s="484" t="str">
        <f t="shared" ca="1" si="145"/>
        <v/>
      </c>
      <c r="AM289" s="484" t="str">
        <f t="shared" ca="1" si="145"/>
        <v/>
      </c>
      <c r="AN289" s="484" t="str">
        <f t="shared" ca="1" si="145"/>
        <v/>
      </c>
      <c r="AO289" s="484" t="str">
        <f t="shared" ca="1" si="145"/>
        <v/>
      </c>
      <c r="AP289" s="484" t="str">
        <f t="shared" ca="1" si="145"/>
        <v/>
      </c>
      <c r="AQ289" s="484" t="str">
        <f t="shared" ca="1" si="145"/>
        <v/>
      </c>
      <c r="AR289" s="484" t="str">
        <f t="shared" ca="1" si="145"/>
        <v/>
      </c>
      <c r="AS289" s="484" t="str">
        <f t="shared" ca="1" si="145"/>
        <v/>
      </c>
      <c r="AT289" s="484" t="str">
        <f t="shared" ca="1" si="145"/>
        <v/>
      </c>
      <c r="AU289" s="484" t="str">
        <f t="shared" ca="1" si="145"/>
        <v/>
      </c>
      <c r="AV289" s="484" t="str">
        <f t="shared" ca="1" si="145"/>
        <v/>
      </c>
      <c r="AW289" s="484" t="str">
        <f t="shared" ca="1" si="145"/>
        <v/>
      </c>
      <c r="AX289" s="484" t="str">
        <f t="shared" ca="1" si="145"/>
        <v/>
      </c>
      <c r="AY289" s="484" t="str">
        <f t="shared" ca="1" si="145"/>
        <v/>
      </c>
      <c r="AZ289" s="484" t="str">
        <f t="shared" ca="1" si="145"/>
        <v/>
      </c>
      <c r="BA289" s="449" t="str">
        <f t="shared" ca="1" si="145"/>
        <v/>
      </c>
      <c r="BB289" s="447" t="str">
        <f t="shared" ca="1" si="145"/>
        <v/>
      </c>
      <c r="IE289" s="485"/>
      <c r="IF289" s="485"/>
      <c r="IG289" s="485"/>
      <c r="IH289" s="485"/>
    </row>
    <row r="290" spans="1:242" s="371" customFormat="1" ht="19.8" hidden="1">
      <c r="A290" s="327">
        <v>44</v>
      </c>
      <c r="B290" s="1306"/>
      <c r="C290" s="492" t="s">
        <v>629</v>
      </c>
      <c r="D290" s="493">
        <v>6</v>
      </c>
      <c r="E290" s="494" t="str">
        <f t="shared" ref="E290:AJ290" ca="1" si="146">IFERROR(OFFSET(貼付け_2024実績,$D290,E289+1)&amp;"","")</f>
        <v/>
      </c>
      <c r="F290" s="494" t="str">
        <f t="shared" ca="1" si="146"/>
        <v/>
      </c>
      <c r="G290" s="494" t="str">
        <f t="shared" ca="1" si="146"/>
        <v/>
      </c>
      <c r="H290" s="494" t="str">
        <f t="shared" ca="1" si="146"/>
        <v/>
      </c>
      <c r="I290" s="494" t="str">
        <f t="shared" ca="1" si="146"/>
        <v/>
      </c>
      <c r="J290" s="494" t="str">
        <f t="shared" ca="1" si="146"/>
        <v/>
      </c>
      <c r="K290" s="494" t="str">
        <f t="shared" ca="1" si="146"/>
        <v/>
      </c>
      <c r="L290" s="494" t="str">
        <f t="shared" ca="1" si="146"/>
        <v/>
      </c>
      <c r="M290" s="494" t="str">
        <f t="shared" ca="1" si="146"/>
        <v/>
      </c>
      <c r="N290" s="494" t="str">
        <f t="shared" ca="1" si="146"/>
        <v/>
      </c>
      <c r="O290" s="494" t="str">
        <f t="shared" ca="1" si="146"/>
        <v/>
      </c>
      <c r="P290" s="494" t="str">
        <f t="shared" ca="1" si="146"/>
        <v/>
      </c>
      <c r="Q290" s="494" t="str">
        <f t="shared" ca="1" si="146"/>
        <v/>
      </c>
      <c r="R290" s="494" t="str">
        <f t="shared" ca="1" si="146"/>
        <v/>
      </c>
      <c r="S290" s="494" t="str">
        <f t="shared" ca="1" si="146"/>
        <v/>
      </c>
      <c r="T290" s="494" t="str">
        <f t="shared" ca="1" si="146"/>
        <v/>
      </c>
      <c r="U290" s="494" t="str">
        <f t="shared" ca="1" si="146"/>
        <v/>
      </c>
      <c r="V290" s="494" t="str">
        <f t="shared" ca="1" si="146"/>
        <v/>
      </c>
      <c r="W290" s="494" t="str">
        <f t="shared" ca="1" si="146"/>
        <v/>
      </c>
      <c r="X290" s="494" t="str">
        <f t="shared" ca="1" si="146"/>
        <v/>
      </c>
      <c r="Y290" s="494" t="str">
        <f t="shared" ca="1" si="146"/>
        <v/>
      </c>
      <c r="Z290" s="494" t="str">
        <f t="shared" ca="1" si="146"/>
        <v/>
      </c>
      <c r="AA290" s="494" t="str">
        <f t="shared" ca="1" si="146"/>
        <v/>
      </c>
      <c r="AB290" s="494" t="str">
        <f t="shared" ca="1" si="146"/>
        <v/>
      </c>
      <c r="AC290" s="494" t="str">
        <f t="shared" ca="1" si="146"/>
        <v/>
      </c>
      <c r="AD290" s="494" t="str">
        <f t="shared" ca="1" si="146"/>
        <v/>
      </c>
      <c r="AE290" s="494" t="str">
        <f t="shared" ca="1" si="146"/>
        <v/>
      </c>
      <c r="AF290" s="494" t="str">
        <f t="shared" ca="1" si="146"/>
        <v/>
      </c>
      <c r="AG290" s="494" t="str">
        <f t="shared" ca="1" si="146"/>
        <v/>
      </c>
      <c r="AH290" s="494" t="str">
        <f t="shared" ca="1" si="146"/>
        <v/>
      </c>
      <c r="AI290" s="494" t="str">
        <f t="shared" ca="1" si="146"/>
        <v/>
      </c>
      <c r="AJ290" s="494" t="str">
        <f t="shared" ca="1" si="146"/>
        <v/>
      </c>
      <c r="AK290" s="494" t="str">
        <f t="shared" ref="AK290:BB290" ca="1" si="147">IFERROR(OFFSET(貼付け_2024実績,$D290,AK289+1)&amp;"","")</f>
        <v/>
      </c>
      <c r="AL290" s="494" t="str">
        <f t="shared" ca="1" si="147"/>
        <v/>
      </c>
      <c r="AM290" s="494" t="str">
        <f t="shared" ca="1" si="147"/>
        <v/>
      </c>
      <c r="AN290" s="494" t="str">
        <f t="shared" ca="1" si="147"/>
        <v/>
      </c>
      <c r="AO290" s="494" t="str">
        <f t="shared" ca="1" si="147"/>
        <v/>
      </c>
      <c r="AP290" s="494" t="str">
        <f t="shared" ca="1" si="147"/>
        <v/>
      </c>
      <c r="AQ290" s="494" t="str">
        <f t="shared" ca="1" si="147"/>
        <v/>
      </c>
      <c r="AR290" s="494" t="str">
        <f t="shared" ca="1" si="147"/>
        <v/>
      </c>
      <c r="AS290" s="494" t="str">
        <f t="shared" ca="1" si="147"/>
        <v/>
      </c>
      <c r="AT290" s="494" t="str">
        <f t="shared" ca="1" si="147"/>
        <v/>
      </c>
      <c r="AU290" s="494" t="str">
        <f t="shared" ca="1" si="147"/>
        <v/>
      </c>
      <c r="AV290" s="494" t="str">
        <f t="shared" ca="1" si="147"/>
        <v/>
      </c>
      <c r="AW290" s="494" t="str">
        <f t="shared" ca="1" si="147"/>
        <v/>
      </c>
      <c r="AX290" s="494" t="str">
        <f t="shared" ca="1" si="147"/>
        <v/>
      </c>
      <c r="AY290" s="494" t="str">
        <f t="shared" ca="1" si="147"/>
        <v/>
      </c>
      <c r="AZ290" s="494" t="str">
        <f t="shared" ca="1" si="147"/>
        <v/>
      </c>
      <c r="BA290" s="495" t="str">
        <f t="shared" ca="1" si="147"/>
        <v/>
      </c>
      <c r="BB290" s="496" t="str">
        <f t="shared" ca="1" si="147"/>
        <v/>
      </c>
      <c r="BC290" s="497"/>
      <c r="IE290" s="463"/>
      <c r="IF290" s="463"/>
      <c r="IG290" s="463"/>
      <c r="IH290" s="463"/>
    </row>
    <row r="291" spans="1:242" s="371" customFormat="1" ht="20.100000000000001" hidden="1" customHeight="1">
      <c r="A291" s="327">
        <v>45</v>
      </c>
      <c r="B291" s="1306"/>
      <c r="C291" s="498" t="s">
        <v>630</v>
      </c>
      <c r="D291" s="499">
        <v>99</v>
      </c>
      <c r="E291" s="500" t="str">
        <f t="shared" ref="E291:AJ291" ca="1" si="148">IFERROR(OFFSET(貼付け_2024実績,$D291,E289),"")&amp;""</f>
        <v/>
      </c>
      <c r="F291" s="500" t="str">
        <f t="shared" ca="1" si="148"/>
        <v/>
      </c>
      <c r="G291" s="500" t="str">
        <f t="shared" ca="1" si="148"/>
        <v/>
      </c>
      <c r="H291" s="500" t="str">
        <f t="shared" ca="1" si="148"/>
        <v/>
      </c>
      <c r="I291" s="500" t="str">
        <f t="shared" ca="1" si="148"/>
        <v/>
      </c>
      <c r="J291" s="500" t="str">
        <f t="shared" ca="1" si="148"/>
        <v/>
      </c>
      <c r="K291" s="500" t="str">
        <f t="shared" ca="1" si="148"/>
        <v/>
      </c>
      <c r="L291" s="500" t="str">
        <f t="shared" ca="1" si="148"/>
        <v/>
      </c>
      <c r="M291" s="500" t="str">
        <f t="shared" ca="1" si="148"/>
        <v/>
      </c>
      <c r="N291" s="500" t="str">
        <f t="shared" ca="1" si="148"/>
        <v/>
      </c>
      <c r="O291" s="500" t="str">
        <f t="shared" ca="1" si="148"/>
        <v/>
      </c>
      <c r="P291" s="500" t="str">
        <f t="shared" ca="1" si="148"/>
        <v/>
      </c>
      <c r="Q291" s="500" t="str">
        <f t="shared" ca="1" si="148"/>
        <v/>
      </c>
      <c r="R291" s="500" t="str">
        <f t="shared" ca="1" si="148"/>
        <v/>
      </c>
      <c r="S291" s="500" t="str">
        <f t="shared" ca="1" si="148"/>
        <v/>
      </c>
      <c r="T291" s="500" t="str">
        <f t="shared" ca="1" si="148"/>
        <v/>
      </c>
      <c r="U291" s="500" t="str">
        <f t="shared" ca="1" si="148"/>
        <v/>
      </c>
      <c r="V291" s="500" t="str">
        <f t="shared" ca="1" si="148"/>
        <v/>
      </c>
      <c r="W291" s="500" t="str">
        <f t="shared" ca="1" si="148"/>
        <v/>
      </c>
      <c r="X291" s="500" t="str">
        <f t="shared" ca="1" si="148"/>
        <v/>
      </c>
      <c r="Y291" s="500" t="str">
        <f t="shared" ca="1" si="148"/>
        <v/>
      </c>
      <c r="Z291" s="500" t="str">
        <f t="shared" ca="1" si="148"/>
        <v/>
      </c>
      <c r="AA291" s="500" t="str">
        <f t="shared" ca="1" si="148"/>
        <v/>
      </c>
      <c r="AB291" s="500" t="str">
        <f t="shared" ca="1" si="148"/>
        <v/>
      </c>
      <c r="AC291" s="500" t="str">
        <f t="shared" ca="1" si="148"/>
        <v/>
      </c>
      <c r="AD291" s="500" t="str">
        <f t="shared" ca="1" si="148"/>
        <v/>
      </c>
      <c r="AE291" s="500" t="str">
        <f t="shared" ca="1" si="148"/>
        <v/>
      </c>
      <c r="AF291" s="500" t="str">
        <f t="shared" ca="1" si="148"/>
        <v/>
      </c>
      <c r="AG291" s="500" t="str">
        <f t="shared" ca="1" si="148"/>
        <v/>
      </c>
      <c r="AH291" s="500" t="str">
        <f t="shared" ca="1" si="148"/>
        <v/>
      </c>
      <c r="AI291" s="500" t="str">
        <f t="shared" ca="1" si="148"/>
        <v/>
      </c>
      <c r="AJ291" s="500" t="str">
        <f t="shared" ca="1" si="148"/>
        <v/>
      </c>
      <c r="AK291" s="500" t="str">
        <f t="shared" ref="AK291:BB291" ca="1" si="149">IFERROR(OFFSET(貼付け_2024実績,$D291,AK289),"")&amp;""</f>
        <v/>
      </c>
      <c r="AL291" s="500" t="str">
        <f t="shared" ca="1" si="149"/>
        <v/>
      </c>
      <c r="AM291" s="500" t="str">
        <f t="shared" ca="1" si="149"/>
        <v/>
      </c>
      <c r="AN291" s="500" t="str">
        <f t="shared" ca="1" si="149"/>
        <v/>
      </c>
      <c r="AO291" s="500" t="str">
        <f t="shared" ca="1" si="149"/>
        <v/>
      </c>
      <c r="AP291" s="500" t="str">
        <f t="shared" ca="1" si="149"/>
        <v/>
      </c>
      <c r="AQ291" s="500" t="str">
        <f t="shared" ca="1" si="149"/>
        <v/>
      </c>
      <c r="AR291" s="500" t="str">
        <f t="shared" ca="1" si="149"/>
        <v/>
      </c>
      <c r="AS291" s="500" t="str">
        <f t="shared" ca="1" si="149"/>
        <v/>
      </c>
      <c r="AT291" s="500" t="str">
        <f t="shared" ca="1" si="149"/>
        <v/>
      </c>
      <c r="AU291" s="500" t="str">
        <f t="shared" ca="1" si="149"/>
        <v/>
      </c>
      <c r="AV291" s="500" t="str">
        <f t="shared" ca="1" si="149"/>
        <v/>
      </c>
      <c r="AW291" s="500" t="str">
        <f t="shared" ca="1" si="149"/>
        <v/>
      </c>
      <c r="AX291" s="500" t="str">
        <f t="shared" ca="1" si="149"/>
        <v/>
      </c>
      <c r="AY291" s="500" t="str">
        <f t="shared" ca="1" si="149"/>
        <v/>
      </c>
      <c r="AZ291" s="500" t="str">
        <f t="shared" ca="1" si="149"/>
        <v/>
      </c>
      <c r="BA291" s="500" t="str">
        <f t="shared" ca="1" si="149"/>
        <v/>
      </c>
      <c r="BB291" s="500" t="str">
        <f t="shared" ca="1" si="149"/>
        <v/>
      </c>
      <c r="IE291" s="463"/>
      <c r="IF291" s="463"/>
      <c r="IG291" s="463"/>
      <c r="IH291" s="463"/>
    </row>
    <row r="292" spans="1:242" s="371" customFormat="1" ht="20.100000000000001" hidden="1" customHeight="1">
      <c r="A292" s="327">
        <v>46</v>
      </c>
      <c r="B292" s="1306"/>
      <c r="C292" s="498" t="s">
        <v>631</v>
      </c>
      <c r="D292" s="499">
        <v>6</v>
      </c>
      <c r="E292" s="500" t="s">
        <v>1</v>
      </c>
      <c r="F292" s="500" t="s">
        <v>1</v>
      </c>
      <c r="G292" s="500" t="s">
        <v>1</v>
      </c>
      <c r="H292" s="500" t="s">
        <v>1</v>
      </c>
      <c r="I292" s="500" t="s">
        <v>1</v>
      </c>
      <c r="J292" s="500" t="s">
        <v>1</v>
      </c>
      <c r="K292" s="500" t="s">
        <v>1</v>
      </c>
      <c r="L292" s="500" t="s">
        <v>1</v>
      </c>
      <c r="M292" s="500" t="s">
        <v>1</v>
      </c>
      <c r="N292" s="500" t="s">
        <v>1</v>
      </c>
      <c r="O292" s="500" t="s">
        <v>1</v>
      </c>
      <c r="P292" s="500" t="s">
        <v>1</v>
      </c>
      <c r="Q292" s="500" t="s">
        <v>1</v>
      </c>
      <c r="R292" s="500" t="s">
        <v>1</v>
      </c>
      <c r="S292" s="500" t="s">
        <v>1</v>
      </c>
      <c r="T292" s="500" t="s">
        <v>1</v>
      </c>
      <c r="U292" s="500" t="s">
        <v>1</v>
      </c>
      <c r="V292" s="500" t="s">
        <v>1</v>
      </c>
      <c r="W292" s="500" t="s">
        <v>1</v>
      </c>
      <c r="X292" s="500" t="s">
        <v>1</v>
      </c>
      <c r="Y292" s="500" t="s">
        <v>1</v>
      </c>
      <c r="Z292" s="500" t="s">
        <v>1</v>
      </c>
      <c r="AA292" s="500" t="s">
        <v>1</v>
      </c>
      <c r="AB292" s="500" t="s">
        <v>1</v>
      </c>
      <c r="AC292" s="500" t="s">
        <v>1</v>
      </c>
      <c r="AD292" s="500" t="s">
        <v>1</v>
      </c>
      <c r="AE292" s="500" t="s">
        <v>1</v>
      </c>
      <c r="AF292" s="500" t="s">
        <v>1</v>
      </c>
      <c r="AG292" s="500" t="s">
        <v>1</v>
      </c>
      <c r="AH292" s="500" t="s">
        <v>1</v>
      </c>
      <c r="AI292" s="500" t="s">
        <v>1</v>
      </c>
      <c r="AJ292" s="500" t="s">
        <v>1</v>
      </c>
      <c r="AK292" s="500" t="s">
        <v>1</v>
      </c>
      <c r="AL292" s="500" t="s">
        <v>1</v>
      </c>
      <c r="AM292" s="500" t="s">
        <v>1</v>
      </c>
      <c r="AN292" s="500" t="s">
        <v>1</v>
      </c>
      <c r="AO292" s="500" t="s">
        <v>1</v>
      </c>
      <c r="AP292" s="500" t="s">
        <v>1</v>
      </c>
      <c r="AQ292" s="500" t="s">
        <v>1</v>
      </c>
      <c r="AR292" s="500" t="s">
        <v>1</v>
      </c>
      <c r="AS292" s="500" t="s">
        <v>1</v>
      </c>
      <c r="AT292" s="500" t="s">
        <v>1</v>
      </c>
      <c r="AU292" s="500" t="s">
        <v>1</v>
      </c>
      <c r="AV292" s="500" t="s">
        <v>1</v>
      </c>
      <c r="AW292" s="500" t="s">
        <v>1</v>
      </c>
      <c r="AX292" s="500" t="s">
        <v>1</v>
      </c>
      <c r="AY292" s="500" t="s">
        <v>1</v>
      </c>
      <c r="AZ292" s="500" t="s">
        <v>1</v>
      </c>
      <c r="BA292" s="469" t="s">
        <v>1</v>
      </c>
      <c r="BB292" s="501" t="s">
        <v>1</v>
      </c>
      <c r="IE292" s="463"/>
      <c r="IF292" s="463"/>
      <c r="IG292" s="463"/>
      <c r="IH292" s="463"/>
    </row>
    <row r="293" spans="1:242" s="371" customFormat="1" ht="20.100000000000001" hidden="1" customHeight="1">
      <c r="A293" s="327">
        <v>47</v>
      </c>
      <c r="B293" s="1306"/>
      <c r="C293" s="498" t="s">
        <v>632</v>
      </c>
      <c r="D293" s="499">
        <v>101</v>
      </c>
      <c r="E293" s="500" t="str">
        <f t="shared" ref="E293:AJ293" ca="1" si="150">IFERROR(OFFSET(貼付け_2024実績,$D293,E289),"")</f>
        <v/>
      </c>
      <c r="F293" s="500" t="str">
        <f t="shared" ca="1" si="150"/>
        <v/>
      </c>
      <c r="G293" s="500" t="str">
        <f t="shared" ca="1" si="150"/>
        <v/>
      </c>
      <c r="H293" s="500" t="str">
        <f t="shared" ca="1" si="150"/>
        <v/>
      </c>
      <c r="I293" s="500" t="str">
        <f t="shared" ca="1" si="150"/>
        <v/>
      </c>
      <c r="J293" s="500" t="str">
        <f t="shared" ca="1" si="150"/>
        <v/>
      </c>
      <c r="K293" s="500" t="str">
        <f t="shared" ca="1" si="150"/>
        <v/>
      </c>
      <c r="L293" s="500" t="str">
        <f t="shared" ca="1" si="150"/>
        <v/>
      </c>
      <c r="M293" s="500" t="str">
        <f t="shared" ca="1" si="150"/>
        <v/>
      </c>
      <c r="N293" s="500" t="str">
        <f t="shared" ca="1" si="150"/>
        <v/>
      </c>
      <c r="O293" s="500" t="str">
        <f t="shared" ca="1" si="150"/>
        <v/>
      </c>
      <c r="P293" s="500" t="str">
        <f t="shared" ca="1" si="150"/>
        <v/>
      </c>
      <c r="Q293" s="500" t="str">
        <f t="shared" ca="1" si="150"/>
        <v/>
      </c>
      <c r="R293" s="500" t="str">
        <f t="shared" ca="1" si="150"/>
        <v/>
      </c>
      <c r="S293" s="500" t="str">
        <f t="shared" ca="1" si="150"/>
        <v/>
      </c>
      <c r="T293" s="500" t="str">
        <f t="shared" ca="1" si="150"/>
        <v/>
      </c>
      <c r="U293" s="500" t="str">
        <f t="shared" ca="1" si="150"/>
        <v/>
      </c>
      <c r="V293" s="500" t="str">
        <f t="shared" ca="1" si="150"/>
        <v/>
      </c>
      <c r="W293" s="500" t="str">
        <f t="shared" ca="1" si="150"/>
        <v/>
      </c>
      <c r="X293" s="500" t="str">
        <f t="shared" ca="1" si="150"/>
        <v/>
      </c>
      <c r="Y293" s="500" t="str">
        <f t="shared" ca="1" si="150"/>
        <v/>
      </c>
      <c r="Z293" s="500" t="str">
        <f t="shared" ca="1" si="150"/>
        <v/>
      </c>
      <c r="AA293" s="500" t="str">
        <f t="shared" ca="1" si="150"/>
        <v/>
      </c>
      <c r="AB293" s="500" t="str">
        <f t="shared" ca="1" si="150"/>
        <v/>
      </c>
      <c r="AC293" s="500" t="str">
        <f t="shared" ca="1" si="150"/>
        <v/>
      </c>
      <c r="AD293" s="500" t="str">
        <f t="shared" ca="1" si="150"/>
        <v/>
      </c>
      <c r="AE293" s="500" t="str">
        <f t="shared" ca="1" si="150"/>
        <v/>
      </c>
      <c r="AF293" s="500" t="str">
        <f t="shared" ca="1" si="150"/>
        <v/>
      </c>
      <c r="AG293" s="500" t="str">
        <f t="shared" ca="1" si="150"/>
        <v/>
      </c>
      <c r="AH293" s="500" t="str">
        <f t="shared" ca="1" si="150"/>
        <v/>
      </c>
      <c r="AI293" s="500" t="str">
        <f t="shared" ca="1" si="150"/>
        <v/>
      </c>
      <c r="AJ293" s="500" t="str">
        <f t="shared" ca="1" si="150"/>
        <v/>
      </c>
      <c r="AK293" s="500" t="str">
        <f t="shared" ref="AK293:BB293" ca="1" si="151">IFERROR(OFFSET(貼付け_2024実績,$D293,AK289),"")</f>
        <v/>
      </c>
      <c r="AL293" s="500" t="str">
        <f t="shared" ca="1" si="151"/>
        <v/>
      </c>
      <c r="AM293" s="500" t="str">
        <f t="shared" ca="1" si="151"/>
        <v/>
      </c>
      <c r="AN293" s="500" t="str">
        <f t="shared" ca="1" si="151"/>
        <v/>
      </c>
      <c r="AO293" s="500" t="str">
        <f t="shared" ca="1" si="151"/>
        <v/>
      </c>
      <c r="AP293" s="500" t="str">
        <f t="shared" ca="1" si="151"/>
        <v/>
      </c>
      <c r="AQ293" s="500" t="str">
        <f t="shared" ca="1" si="151"/>
        <v/>
      </c>
      <c r="AR293" s="500" t="str">
        <f t="shared" ca="1" si="151"/>
        <v/>
      </c>
      <c r="AS293" s="500" t="str">
        <f t="shared" ca="1" si="151"/>
        <v/>
      </c>
      <c r="AT293" s="500" t="str">
        <f t="shared" ca="1" si="151"/>
        <v/>
      </c>
      <c r="AU293" s="500" t="str">
        <f t="shared" ca="1" si="151"/>
        <v/>
      </c>
      <c r="AV293" s="500" t="str">
        <f t="shared" ca="1" si="151"/>
        <v/>
      </c>
      <c r="AW293" s="500" t="str">
        <f t="shared" ca="1" si="151"/>
        <v/>
      </c>
      <c r="AX293" s="500" t="str">
        <f t="shared" ca="1" si="151"/>
        <v/>
      </c>
      <c r="AY293" s="500" t="str">
        <f t="shared" ca="1" si="151"/>
        <v/>
      </c>
      <c r="AZ293" s="500" t="str">
        <f t="shared" ca="1" si="151"/>
        <v/>
      </c>
      <c r="BA293" s="469" t="str">
        <f t="shared" ca="1" si="151"/>
        <v/>
      </c>
      <c r="BB293" s="501" t="str">
        <f t="shared" ca="1" si="151"/>
        <v/>
      </c>
      <c r="IE293" s="463"/>
      <c r="IF293" s="463"/>
      <c r="IG293" s="463"/>
      <c r="IH293" s="463"/>
    </row>
    <row r="294" spans="1:242" s="371" customFormat="1" ht="20.100000000000001" hidden="1" customHeight="1">
      <c r="A294" s="327">
        <v>48</v>
      </c>
      <c r="B294" s="1306"/>
      <c r="C294" s="498" t="s">
        <v>633</v>
      </c>
      <c r="D294" s="499"/>
      <c r="E294" s="500" t="str">
        <f ca="1">IFERROR(E292/E293,"")</f>
        <v/>
      </c>
      <c r="F294" s="500" t="str">
        <f t="shared" ref="F294:BB294" ca="1" si="152">IFERROR(F292/F293,"")</f>
        <v/>
      </c>
      <c r="G294" s="500" t="str">
        <f t="shared" ca="1" si="152"/>
        <v/>
      </c>
      <c r="H294" s="500" t="str">
        <f t="shared" ca="1" si="152"/>
        <v/>
      </c>
      <c r="I294" s="500" t="str">
        <f t="shared" ca="1" si="152"/>
        <v/>
      </c>
      <c r="J294" s="500" t="str">
        <f t="shared" ca="1" si="152"/>
        <v/>
      </c>
      <c r="K294" s="500" t="str">
        <f t="shared" ca="1" si="152"/>
        <v/>
      </c>
      <c r="L294" s="500" t="str">
        <f t="shared" ca="1" si="152"/>
        <v/>
      </c>
      <c r="M294" s="500" t="str">
        <f t="shared" ca="1" si="152"/>
        <v/>
      </c>
      <c r="N294" s="500" t="str">
        <f t="shared" ca="1" si="152"/>
        <v/>
      </c>
      <c r="O294" s="500" t="str">
        <f t="shared" ca="1" si="152"/>
        <v/>
      </c>
      <c r="P294" s="500" t="str">
        <f t="shared" ca="1" si="152"/>
        <v/>
      </c>
      <c r="Q294" s="500" t="str">
        <f t="shared" ca="1" si="152"/>
        <v/>
      </c>
      <c r="R294" s="500" t="str">
        <f t="shared" ca="1" si="152"/>
        <v/>
      </c>
      <c r="S294" s="500" t="str">
        <f t="shared" ca="1" si="152"/>
        <v/>
      </c>
      <c r="T294" s="500" t="str">
        <f t="shared" ca="1" si="152"/>
        <v/>
      </c>
      <c r="U294" s="500" t="str">
        <f t="shared" ca="1" si="152"/>
        <v/>
      </c>
      <c r="V294" s="500" t="str">
        <f t="shared" ca="1" si="152"/>
        <v/>
      </c>
      <c r="W294" s="500" t="str">
        <f t="shared" ca="1" si="152"/>
        <v/>
      </c>
      <c r="X294" s="500" t="str">
        <f t="shared" ca="1" si="152"/>
        <v/>
      </c>
      <c r="Y294" s="500" t="str">
        <f t="shared" ca="1" si="152"/>
        <v/>
      </c>
      <c r="Z294" s="500" t="str">
        <f t="shared" ca="1" si="152"/>
        <v/>
      </c>
      <c r="AA294" s="500" t="str">
        <f t="shared" ca="1" si="152"/>
        <v/>
      </c>
      <c r="AB294" s="500" t="str">
        <f t="shared" ca="1" si="152"/>
        <v/>
      </c>
      <c r="AC294" s="500" t="str">
        <f t="shared" ca="1" si="152"/>
        <v/>
      </c>
      <c r="AD294" s="500" t="str">
        <f t="shared" ca="1" si="152"/>
        <v/>
      </c>
      <c r="AE294" s="500" t="str">
        <f t="shared" ca="1" si="152"/>
        <v/>
      </c>
      <c r="AF294" s="500" t="str">
        <f t="shared" ca="1" si="152"/>
        <v/>
      </c>
      <c r="AG294" s="500" t="str">
        <f t="shared" ca="1" si="152"/>
        <v/>
      </c>
      <c r="AH294" s="500" t="str">
        <f t="shared" ca="1" si="152"/>
        <v/>
      </c>
      <c r="AI294" s="500" t="str">
        <f t="shared" ca="1" si="152"/>
        <v/>
      </c>
      <c r="AJ294" s="500" t="str">
        <f t="shared" ca="1" si="152"/>
        <v/>
      </c>
      <c r="AK294" s="500" t="str">
        <f t="shared" ca="1" si="152"/>
        <v/>
      </c>
      <c r="AL294" s="500" t="str">
        <f t="shared" ca="1" si="152"/>
        <v/>
      </c>
      <c r="AM294" s="500" t="str">
        <f t="shared" ca="1" si="152"/>
        <v/>
      </c>
      <c r="AN294" s="500" t="str">
        <f t="shared" ca="1" si="152"/>
        <v/>
      </c>
      <c r="AO294" s="500" t="str">
        <f t="shared" ca="1" si="152"/>
        <v/>
      </c>
      <c r="AP294" s="500" t="str">
        <f t="shared" ca="1" si="152"/>
        <v/>
      </c>
      <c r="AQ294" s="500" t="str">
        <f t="shared" ca="1" si="152"/>
        <v/>
      </c>
      <c r="AR294" s="500" t="str">
        <f t="shared" ca="1" si="152"/>
        <v/>
      </c>
      <c r="AS294" s="500" t="str">
        <f t="shared" ca="1" si="152"/>
        <v/>
      </c>
      <c r="AT294" s="500" t="str">
        <f t="shared" ca="1" si="152"/>
        <v/>
      </c>
      <c r="AU294" s="500" t="str">
        <f t="shared" ca="1" si="152"/>
        <v/>
      </c>
      <c r="AV294" s="500" t="str">
        <f t="shared" ca="1" si="152"/>
        <v/>
      </c>
      <c r="AW294" s="500" t="str">
        <f t="shared" ca="1" si="152"/>
        <v/>
      </c>
      <c r="AX294" s="500" t="str">
        <f t="shared" ca="1" si="152"/>
        <v/>
      </c>
      <c r="AY294" s="500" t="str">
        <f t="shared" ca="1" si="152"/>
        <v/>
      </c>
      <c r="AZ294" s="500" t="str">
        <f t="shared" ca="1" si="152"/>
        <v/>
      </c>
      <c r="BA294" s="469" t="str">
        <f t="shared" ca="1" si="152"/>
        <v/>
      </c>
      <c r="BB294" s="501" t="str">
        <f t="shared" ca="1" si="152"/>
        <v/>
      </c>
      <c r="IE294" s="463"/>
      <c r="IF294" s="463"/>
      <c r="IG294" s="463"/>
      <c r="IH294" s="463"/>
    </row>
    <row r="295" spans="1:242" s="371" customFormat="1" ht="20.100000000000001" hidden="1" customHeight="1" thickBot="1">
      <c r="A295" s="327">
        <v>49</v>
      </c>
      <c r="B295" s="1307"/>
      <c r="C295" s="502" t="s">
        <v>634</v>
      </c>
      <c r="D295" s="503">
        <v>48</v>
      </c>
      <c r="E295" s="504"/>
      <c r="F295" s="505"/>
      <c r="G295" s="505"/>
      <c r="H295" s="505"/>
      <c r="I295" s="505"/>
      <c r="J295" s="505"/>
      <c r="K295" s="505"/>
      <c r="L295" s="505"/>
      <c r="M295" s="505"/>
      <c r="N295" s="505"/>
      <c r="O295" s="505"/>
      <c r="P295" s="505"/>
      <c r="Q295" s="505"/>
      <c r="R295" s="505"/>
      <c r="S295" s="505"/>
      <c r="T295" s="505"/>
      <c r="U295" s="505"/>
      <c r="V295" s="505"/>
      <c r="W295" s="505"/>
      <c r="X295" s="505"/>
      <c r="Y295" s="505"/>
      <c r="Z295" s="505"/>
      <c r="AA295" s="505"/>
      <c r="AB295" s="505"/>
      <c r="AC295" s="505"/>
      <c r="AD295" s="505"/>
      <c r="AE295" s="505"/>
      <c r="AF295" s="505"/>
      <c r="AG295" s="505"/>
      <c r="AH295" s="505"/>
      <c r="AI295" s="505"/>
      <c r="AJ295" s="505"/>
      <c r="AK295" s="505"/>
      <c r="AL295" s="505"/>
      <c r="AM295" s="505"/>
      <c r="AN295" s="505"/>
      <c r="AO295" s="505"/>
      <c r="AP295" s="505"/>
      <c r="AQ295" s="505"/>
      <c r="AR295" s="505"/>
      <c r="AS295" s="505"/>
      <c r="AT295" s="505"/>
      <c r="AU295" s="505"/>
      <c r="AV295" s="505"/>
      <c r="AW295" s="505"/>
      <c r="AX295" s="505"/>
      <c r="AY295" s="505"/>
      <c r="AZ295" s="505"/>
      <c r="BA295" s="505"/>
      <c r="BB295" s="503"/>
      <c r="IE295" s="463"/>
      <c r="IF295" s="463"/>
      <c r="IG295" s="463"/>
      <c r="IH295" s="463"/>
    </row>
    <row r="296" spans="1:242" s="371" customFormat="1" ht="20.100000000000001" hidden="1" customHeight="1">
      <c r="A296" s="327">
        <v>50</v>
      </c>
      <c r="B296" s="506" t="s">
        <v>637</v>
      </c>
      <c r="C296" s="1308" t="s">
        <v>638</v>
      </c>
      <c r="D296" s="1309"/>
      <c r="E296" s="507" t="s">
        <v>639</v>
      </c>
      <c r="F296" s="1312" t="s">
        <v>640</v>
      </c>
      <c r="G296" s="507" t="str">
        <f ca="1">IF(ROUND(SUMPRODUCT(1/COUNTIF(E302:BB303,E302:BB303)),0)-1&lt;&gt;1,"-",IFERROR(INDEX(E302:BB302,MATCH(TRUE,INDEX(E302:BB302&lt;&gt;"",),0)),INDEX(E303:BB303,MATCH(TRUE,INDEX(E303:BB303&lt;&gt;"",),0))))</f>
        <v>-</v>
      </c>
      <c r="H296" s="1312" t="s">
        <v>641</v>
      </c>
      <c r="I296" s="507" t="str">
        <f ca="1">IF(G296="-","-",OFFSET(貼付け_2024実績,100,IFERROR(INDEX(E277:BB277,MATCH(G296,E279:BB279,0)),INDEX(E289:BB289,MATCH(G296,E291:BB291,0)))))</f>
        <v>-</v>
      </c>
      <c r="J296" s="1312" t="s">
        <v>642</v>
      </c>
      <c r="K296" s="507" t="str">
        <f ca="1">IF(G296="-","-",SUM(E281:BB281,E293:BB293))</f>
        <v>-</v>
      </c>
      <c r="IE296" s="463"/>
      <c r="IF296" s="463"/>
      <c r="IG296" s="463"/>
      <c r="IH296" s="463"/>
    </row>
    <row r="297" spans="1:242" ht="18.600000000000001" hidden="1" thickBot="1">
      <c r="A297" s="327">
        <v>51</v>
      </c>
      <c r="B297" s="508" t="s">
        <v>459</v>
      </c>
      <c r="C297" s="1310"/>
      <c r="D297" s="1311"/>
      <c r="E297" s="509" t="s">
        <v>639</v>
      </c>
      <c r="F297" s="1313"/>
      <c r="G297" s="510" t="str">
        <f ca="1">IF(SUMPRODUCT(1/COUNTIF(E301:BB301,E301:BB301))-1&lt;&gt;1,"-",INDEX(E301:BB301,MATCH(TRUE,INDEX(E301:BB301&lt;&gt;"",),0)))</f>
        <v>-</v>
      </c>
      <c r="H297" s="1313"/>
      <c r="I297" s="510" t="str">
        <f ca="1">IF(G297="-","-",OFFSET(貼付け_2024実績,100,INDEX(E265:BB265,MATCH(G297,E267:BB267,0))))</f>
        <v>-</v>
      </c>
      <c r="J297" s="1313"/>
      <c r="K297" s="510" t="str">
        <f ca="1">IF(G297="-","-",SUM(E269:BB269))</f>
        <v>-</v>
      </c>
    </row>
    <row r="298" spans="1:242" ht="18.600000000000001" hidden="1" thickBot="1">
      <c r="A298" s="327">
        <v>52</v>
      </c>
    </row>
    <row r="299" spans="1:242" ht="18.600000000000001" hidden="1" thickBot="1">
      <c r="A299" s="327">
        <v>53</v>
      </c>
      <c r="B299" s="1297" t="s">
        <v>643</v>
      </c>
      <c r="C299" s="1298"/>
      <c r="D299" s="1299"/>
      <c r="E299" s="511" t="str">
        <f t="shared" ref="E299:AJ299" ca="1" si="153">IFERROR(OFFSET(貼付け_2024実績,6,E248+1)&amp;"","")</f>
        <v/>
      </c>
      <c r="F299" s="512" t="str">
        <f t="shared" ca="1" si="153"/>
        <v/>
      </c>
      <c r="G299" s="512" t="str">
        <f t="shared" ca="1" si="153"/>
        <v/>
      </c>
      <c r="H299" s="512" t="str">
        <f t="shared" ca="1" si="153"/>
        <v/>
      </c>
      <c r="I299" s="512" t="str">
        <f t="shared" ca="1" si="153"/>
        <v/>
      </c>
      <c r="J299" s="512" t="str">
        <f t="shared" ca="1" si="153"/>
        <v/>
      </c>
      <c r="K299" s="512" t="str">
        <f t="shared" ca="1" si="153"/>
        <v/>
      </c>
      <c r="L299" s="512" t="str">
        <f t="shared" ca="1" si="153"/>
        <v/>
      </c>
      <c r="M299" s="512" t="str">
        <f t="shared" ca="1" si="153"/>
        <v/>
      </c>
      <c r="N299" s="512" t="str">
        <f t="shared" ca="1" si="153"/>
        <v/>
      </c>
      <c r="O299" s="512" t="str">
        <f t="shared" ca="1" si="153"/>
        <v/>
      </c>
      <c r="P299" s="512" t="str">
        <f t="shared" ca="1" si="153"/>
        <v/>
      </c>
      <c r="Q299" s="512" t="str">
        <f t="shared" ca="1" si="153"/>
        <v/>
      </c>
      <c r="R299" s="512" t="str">
        <f t="shared" ca="1" si="153"/>
        <v/>
      </c>
      <c r="S299" s="512" t="str">
        <f t="shared" ca="1" si="153"/>
        <v/>
      </c>
      <c r="T299" s="512" t="str">
        <f t="shared" ca="1" si="153"/>
        <v/>
      </c>
      <c r="U299" s="512" t="str">
        <f t="shared" ca="1" si="153"/>
        <v/>
      </c>
      <c r="V299" s="512" t="str">
        <f t="shared" ca="1" si="153"/>
        <v/>
      </c>
      <c r="W299" s="512" t="str">
        <f t="shared" ca="1" si="153"/>
        <v/>
      </c>
      <c r="X299" s="512" t="str">
        <f t="shared" ca="1" si="153"/>
        <v/>
      </c>
      <c r="Y299" s="512" t="str">
        <f t="shared" ca="1" si="153"/>
        <v/>
      </c>
      <c r="Z299" s="512" t="str">
        <f t="shared" ca="1" si="153"/>
        <v/>
      </c>
      <c r="AA299" s="512" t="str">
        <f t="shared" ca="1" si="153"/>
        <v/>
      </c>
      <c r="AB299" s="512" t="str">
        <f t="shared" ca="1" si="153"/>
        <v/>
      </c>
      <c r="AC299" s="512" t="str">
        <f t="shared" ca="1" si="153"/>
        <v/>
      </c>
      <c r="AD299" s="512" t="str">
        <f t="shared" ca="1" si="153"/>
        <v/>
      </c>
      <c r="AE299" s="512" t="str">
        <f t="shared" ca="1" si="153"/>
        <v/>
      </c>
      <c r="AF299" s="512" t="str">
        <f t="shared" ca="1" si="153"/>
        <v/>
      </c>
      <c r="AG299" s="512" t="str">
        <f t="shared" ca="1" si="153"/>
        <v/>
      </c>
      <c r="AH299" s="512" t="str">
        <f t="shared" ca="1" si="153"/>
        <v/>
      </c>
      <c r="AI299" s="512" t="str">
        <f t="shared" ca="1" si="153"/>
        <v/>
      </c>
      <c r="AJ299" s="512" t="str">
        <f t="shared" ca="1" si="153"/>
        <v/>
      </c>
      <c r="AK299" s="512" t="str">
        <f t="shared" ref="AK299:BB299" ca="1" si="154">IFERROR(OFFSET(貼付け_2024実績,6,AK248+1)&amp;"","")</f>
        <v/>
      </c>
      <c r="AL299" s="512" t="str">
        <f t="shared" ca="1" si="154"/>
        <v/>
      </c>
      <c r="AM299" s="512" t="str">
        <f t="shared" ca="1" si="154"/>
        <v/>
      </c>
      <c r="AN299" s="512" t="str">
        <f t="shared" ca="1" si="154"/>
        <v/>
      </c>
      <c r="AO299" s="512" t="str">
        <f t="shared" ca="1" si="154"/>
        <v/>
      </c>
      <c r="AP299" s="512" t="str">
        <f t="shared" ca="1" si="154"/>
        <v/>
      </c>
      <c r="AQ299" s="512" t="str">
        <f t="shared" ca="1" si="154"/>
        <v/>
      </c>
      <c r="AR299" s="512" t="str">
        <f t="shared" ca="1" si="154"/>
        <v/>
      </c>
      <c r="AS299" s="512" t="str">
        <f t="shared" ca="1" si="154"/>
        <v/>
      </c>
      <c r="AT299" s="512" t="str">
        <f t="shared" ca="1" si="154"/>
        <v/>
      </c>
      <c r="AU299" s="512" t="str">
        <f t="shared" ca="1" si="154"/>
        <v/>
      </c>
      <c r="AV299" s="512" t="str">
        <f t="shared" ca="1" si="154"/>
        <v/>
      </c>
      <c r="AW299" s="512" t="str">
        <f t="shared" ca="1" si="154"/>
        <v/>
      </c>
      <c r="AX299" s="512" t="str">
        <f t="shared" ca="1" si="154"/>
        <v/>
      </c>
      <c r="AY299" s="512" t="str">
        <f t="shared" ca="1" si="154"/>
        <v/>
      </c>
      <c r="AZ299" s="512" t="str">
        <f t="shared" ca="1" si="154"/>
        <v/>
      </c>
      <c r="BA299" s="512" t="str">
        <f t="shared" ca="1" si="154"/>
        <v/>
      </c>
      <c r="BB299" s="513" t="str">
        <f t="shared" ca="1" si="154"/>
        <v/>
      </c>
    </row>
    <row r="300" spans="1:242" hidden="1">
      <c r="A300" s="327">
        <v>54</v>
      </c>
      <c r="B300" s="1288" t="s">
        <v>644</v>
      </c>
      <c r="C300" s="514" t="s">
        <v>458</v>
      </c>
      <c r="D300" s="515"/>
      <c r="E300" s="448" t="str">
        <f ca="1">E255</f>
        <v/>
      </c>
      <c r="F300" s="448" t="str">
        <f t="shared" ref="F300:BB300" ca="1" si="155">F255</f>
        <v/>
      </c>
      <c r="G300" s="448" t="str">
        <f t="shared" ca="1" si="155"/>
        <v/>
      </c>
      <c r="H300" s="448" t="str">
        <f t="shared" ca="1" si="155"/>
        <v/>
      </c>
      <c r="I300" s="448" t="str">
        <f t="shared" ca="1" si="155"/>
        <v/>
      </c>
      <c r="J300" s="448" t="str">
        <f t="shared" ca="1" si="155"/>
        <v/>
      </c>
      <c r="K300" s="448" t="str">
        <f t="shared" ca="1" si="155"/>
        <v/>
      </c>
      <c r="L300" s="448" t="str">
        <f t="shared" ca="1" si="155"/>
        <v/>
      </c>
      <c r="M300" s="448" t="str">
        <f t="shared" ca="1" si="155"/>
        <v/>
      </c>
      <c r="N300" s="448" t="str">
        <f t="shared" ca="1" si="155"/>
        <v/>
      </c>
      <c r="O300" s="448" t="str">
        <f t="shared" ca="1" si="155"/>
        <v/>
      </c>
      <c r="P300" s="448" t="str">
        <f t="shared" ca="1" si="155"/>
        <v/>
      </c>
      <c r="Q300" s="448" t="str">
        <f t="shared" ca="1" si="155"/>
        <v/>
      </c>
      <c r="R300" s="448" t="str">
        <f t="shared" ca="1" si="155"/>
        <v/>
      </c>
      <c r="S300" s="448" t="str">
        <f t="shared" ca="1" si="155"/>
        <v/>
      </c>
      <c r="T300" s="448" t="str">
        <f t="shared" ca="1" si="155"/>
        <v/>
      </c>
      <c r="U300" s="448" t="str">
        <f t="shared" ca="1" si="155"/>
        <v/>
      </c>
      <c r="V300" s="448" t="str">
        <f t="shared" ca="1" si="155"/>
        <v/>
      </c>
      <c r="W300" s="448" t="str">
        <f t="shared" ca="1" si="155"/>
        <v/>
      </c>
      <c r="X300" s="448" t="str">
        <f t="shared" ca="1" si="155"/>
        <v/>
      </c>
      <c r="Y300" s="448" t="str">
        <f t="shared" ca="1" si="155"/>
        <v/>
      </c>
      <c r="Z300" s="448" t="str">
        <f t="shared" ca="1" si="155"/>
        <v/>
      </c>
      <c r="AA300" s="448" t="str">
        <f t="shared" ca="1" si="155"/>
        <v/>
      </c>
      <c r="AB300" s="448" t="str">
        <f t="shared" ca="1" si="155"/>
        <v/>
      </c>
      <c r="AC300" s="448" t="str">
        <f t="shared" ca="1" si="155"/>
        <v/>
      </c>
      <c r="AD300" s="448" t="str">
        <f t="shared" ca="1" si="155"/>
        <v/>
      </c>
      <c r="AE300" s="448" t="str">
        <f t="shared" ca="1" si="155"/>
        <v/>
      </c>
      <c r="AF300" s="448" t="str">
        <f t="shared" ca="1" si="155"/>
        <v/>
      </c>
      <c r="AG300" s="448" t="str">
        <f t="shared" ca="1" si="155"/>
        <v/>
      </c>
      <c r="AH300" s="448" t="str">
        <f t="shared" ca="1" si="155"/>
        <v/>
      </c>
      <c r="AI300" s="448" t="str">
        <f t="shared" ca="1" si="155"/>
        <v/>
      </c>
      <c r="AJ300" s="448" t="str">
        <f t="shared" ca="1" si="155"/>
        <v/>
      </c>
      <c r="AK300" s="448" t="str">
        <f t="shared" ca="1" si="155"/>
        <v/>
      </c>
      <c r="AL300" s="448" t="str">
        <f t="shared" ca="1" si="155"/>
        <v/>
      </c>
      <c r="AM300" s="448" t="str">
        <f t="shared" ca="1" si="155"/>
        <v/>
      </c>
      <c r="AN300" s="448" t="str">
        <f t="shared" ca="1" si="155"/>
        <v/>
      </c>
      <c r="AO300" s="448" t="str">
        <f t="shared" ca="1" si="155"/>
        <v/>
      </c>
      <c r="AP300" s="448" t="str">
        <f t="shared" ca="1" si="155"/>
        <v/>
      </c>
      <c r="AQ300" s="448" t="str">
        <f t="shared" ca="1" si="155"/>
        <v/>
      </c>
      <c r="AR300" s="448" t="str">
        <f t="shared" ca="1" si="155"/>
        <v/>
      </c>
      <c r="AS300" s="448" t="str">
        <f t="shared" ca="1" si="155"/>
        <v/>
      </c>
      <c r="AT300" s="448" t="str">
        <f t="shared" ca="1" si="155"/>
        <v/>
      </c>
      <c r="AU300" s="448" t="str">
        <f t="shared" ca="1" si="155"/>
        <v/>
      </c>
      <c r="AV300" s="448" t="str">
        <f t="shared" ca="1" si="155"/>
        <v/>
      </c>
      <c r="AW300" s="448" t="str">
        <f t="shared" ca="1" si="155"/>
        <v/>
      </c>
      <c r="AX300" s="448" t="str">
        <f t="shared" ca="1" si="155"/>
        <v/>
      </c>
      <c r="AY300" s="448" t="str">
        <f t="shared" ca="1" si="155"/>
        <v/>
      </c>
      <c r="AZ300" s="448" t="str">
        <f t="shared" ca="1" si="155"/>
        <v/>
      </c>
      <c r="BA300" s="448" t="str">
        <f t="shared" ca="1" si="155"/>
        <v/>
      </c>
      <c r="BB300" s="448" t="str">
        <f t="shared" ca="1" si="155"/>
        <v/>
      </c>
    </row>
    <row r="301" spans="1:242" hidden="1">
      <c r="A301" s="327">
        <v>55</v>
      </c>
      <c r="B301" s="1289"/>
      <c r="C301" s="516" t="s">
        <v>459</v>
      </c>
      <c r="D301" s="517"/>
      <c r="E301" s="450" t="str">
        <f ca="1">E267</f>
        <v/>
      </c>
      <c r="F301" s="450" t="str">
        <f t="shared" ref="F301:BB301" ca="1" si="156">F267</f>
        <v/>
      </c>
      <c r="G301" s="450" t="str">
        <f t="shared" ca="1" si="156"/>
        <v/>
      </c>
      <c r="H301" s="450" t="str">
        <f t="shared" ca="1" si="156"/>
        <v/>
      </c>
      <c r="I301" s="450" t="str">
        <f t="shared" ca="1" si="156"/>
        <v/>
      </c>
      <c r="J301" s="450" t="str">
        <f t="shared" ca="1" si="156"/>
        <v/>
      </c>
      <c r="K301" s="450" t="str">
        <f t="shared" ca="1" si="156"/>
        <v/>
      </c>
      <c r="L301" s="450" t="str">
        <f t="shared" ca="1" si="156"/>
        <v/>
      </c>
      <c r="M301" s="450" t="str">
        <f t="shared" ca="1" si="156"/>
        <v/>
      </c>
      <c r="N301" s="450" t="str">
        <f t="shared" ca="1" si="156"/>
        <v/>
      </c>
      <c r="O301" s="450" t="str">
        <f t="shared" ca="1" si="156"/>
        <v/>
      </c>
      <c r="P301" s="450" t="str">
        <f t="shared" ca="1" si="156"/>
        <v/>
      </c>
      <c r="Q301" s="450" t="str">
        <f t="shared" ca="1" si="156"/>
        <v/>
      </c>
      <c r="R301" s="450" t="str">
        <f t="shared" ca="1" si="156"/>
        <v/>
      </c>
      <c r="S301" s="450" t="str">
        <f t="shared" ca="1" si="156"/>
        <v/>
      </c>
      <c r="T301" s="450" t="str">
        <f t="shared" ca="1" si="156"/>
        <v/>
      </c>
      <c r="U301" s="450" t="str">
        <f t="shared" ca="1" si="156"/>
        <v/>
      </c>
      <c r="V301" s="450" t="str">
        <f t="shared" ca="1" si="156"/>
        <v/>
      </c>
      <c r="W301" s="450" t="str">
        <f t="shared" ca="1" si="156"/>
        <v/>
      </c>
      <c r="X301" s="450" t="str">
        <f t="shared" ca="1" si="156"/>
        <v/>
      </c>
      <c r="Y301" s="450" t="str">
        <f t="shared" ca="1" si="156"/>
        <v/>
      </c>
      <c r="Z301" s="450" t="str">
        <f t="shared" ca="1" si="156"/>
        <v/>
      </c>
      <c r="AA301" s="450" t="str">
        <f t="shared" ca="1" si="156"/>
        <v/>
      </c>
      <c r="AB301" s="450" t="str">
        <f t="shared" ca="1" si="156"/>
        <v/>
      </c>
      <c r="AC301" s="450" t="str">
        <f t="shared" ca="1" si="156"/>
        <v/>
      </c>
      <c r="AD301" s="450" t="str">
        <f t="shared" ca="1" si="156"/>
        <v/>
      </c>
      <c r="AE301" s="450" t="str">
        <f t="shared" ca="1" si="156"/>
        <v/>
      </c>
      <c r="AF301" s="450" t="str">
        <f t="shared" ca="1" si="156"/>
        <v/>
      </c>
      <c r="AG301" s="450" t="str">
        <f t="shared" ca="1" si="156"/>
        <v/>
      </c>
      <c r="AH301" s="450" t="str">
        <f t="shared" ca="1" si="156"/>
        <v/>
      </c>
      <c r="AI301" s="450" t="str">
        <f t="shared" ca="1" si="156"/>
        <v/>
      </c>
      <c r="AJ301" s="450" t="str">
        <f t="shared" ca="1" si="156"/>
        <v/>
      </c>
      <c r="AK301" s="450" t="str">
        <f t="shared" ca="1" si="156"/>
        <v/>
      </c>
      <c r="AL301" s="450" t="str">
        <f t="shared" ca="1" si="156"/>
        <v/>
      </c>
      <c r="AM301" s="450" t="str">
        <f t="shared" ca="1" si="156"/>
        <v/>
      </c>
      <c r="AN301" s="450" t="str">
        <f t="shared" ca="1" si="156"/>
        <v/>
      </c>
      <c r="AO301" s="450" t="str">
        <f t="shared" ca="1" si="156"/>
        <v/>
      </c>
      <c r="AP301" s="450" t="str">
        <f t="shared" ca="1" si="156"/>
        <v/>
      </c>
      <c r="AQ301" s="450" t="str">
        <f t="shared" ca="1" si="156"/>
        <v/>
      </c>
      <c r="AR301" s="450" t="str">
        <f t="shared" ca="1" si="156"/>
        <v/>
      </c>
      <c r="AS301" s="450" t="str">
        <f t="shared" ca="1" si="156"/>
        <v/>
      </c>
      <c r="AT301" s="450" t="str">
        <f t="shared" ca="1" si="156"/>
        <v/>
      </c>
      <c r="AU301" s="450" t="str">
        <f t="shared" ca="1" si="156"/>
        <v/>
      </c>
      <c r="AV301" s="450" t="str">
        <f t="shared" ca="1" si="156"/>
        <v/>
      </c>
      <c r="AW301" s="450" t="str">
        <f t="shared" ca="1" si="156"/>
        <v/>
      </c>
      <c r="AX301" s="450" t="str">
        <f t="shared" ca="1" si="156"/>
        <v/>
      </c>
      <c r="AY301" s="450" t="str">
        <f t="shared" ca="1" si="156"/>
        <v/>
      </c>
      <c r="AZ301" s="450" t="str">
        <f t="shared" ca="1" si="156"/>
        <v/>
      </c>
      <c r="BA301" s="450" t="str">
        <f t="shared" ca="1" si="156"/>
        <v/>
      </c>
      <c r="BB301" s="450" t="str">
        <f t="shared" ca="1" si="156"/>
        <v/>
      </c>
    </row>
    <row r="302" spans="1:242" hidden="1">
      <c r="A302" s="327">
        <v>56</v>
      </c>
      <c r="B302" s="1289"/>
      <c r="C302" s="516" t="s">
        <v>460</v>
      </c>
      <c r="D302" s="1291"/>
      <c r="E302" s="450" t="str">
        <f ca="1">E279</f>
        <v/>
      </c>
      <c r="F302" s="450" t="str">
        <f t="shared" ref="F302:BB302" ca="1" si="157">F279</f>
        <v/>
      </c>
      <c r="G302" s="450" t="str">
        <f t="shared" ca="1" si="157"/>
        <v/>
      </c>
      <c r="H302" s="450" t="str">
        <f t="shared" ca="1" si="157"/>
        <v/>
      </c>
      <c r="I302" s="450" t="str">
        <f t="shared" ca="1" si="157"/>
        <v/>
      </c>
      <c r="J302" s="450" t="str">
        <f t="shared" ca="1" si="157"/>
        <v/>
      </c>
      <c r="K302" s="450" t="str">
        <f t="shared" ca="1" si="157"/>
        <v/>
      </c>
      <c r="L302" s="450" t="str">
        <f t="shared" ca="1" si="157"/>
        <v/>
      </c>
      <c r="M302" s="450" t="str">
        <f t="shared" ca="1" si="157"/>
        <v/>
      </c>
      <c r="N302" s="450" t="str">
        <f t="shared" ca="1" si="157"/>
        <v/>
      </c>
      <c r="O302" s="450" t="str">
        <f t="shared" ca="1" si="157"/>
        <v/>
      </c>
      <c r="P302" s="450" t="str">
        <f t="shared" ca="1" si="157"/>
        <v/>
      </c>
      <c r="Q302" s="450" t="str">
        <f t="shared" ca="1" si="157"/>
        <v/>
      </c>
      <c r="R302" s="450" t="str">
        <f t="shared" ca="1" si="157"/>
        <v/>
      </c>
      <c r="S302" s="450" t="str">
        <f t="shared" ca="1" si="157"/>
        <v/>
      </c>
      <c r="T302" s="450" t="str">
        <f t="shared" ca="1" si="157"/>
        <v/>
      </c>
      <c r="U302" s="450" t="str">
        <f t="shared" ca="1" si="157"/>
        <v/>
      </c>
      <c r="V302" s="450" t="str">
        <f t="shared" ca="1" si="157"/>
        <v/>
      </c>
      <c r="W302" s="450" t="str">
        <f t="shared" ca="1" si="157"/>
        <v/>
      </c>
      <c r="X302" s="450" t="str">
        <f t="shared" ca="1" si="157"/>
        <v/>
      </c>
      <c r="Y302" s="450" t="str">
        <f t="shared" ca="1" si="157"/>
        <v/>
      </c>
      <c r="Z302" s="450" t="str">
        <f t="shared" ca="1" si="157"/>
        <v/>
      </c>
      <c r="AA302" s="450" t="str">
        <f t="shared" ca="1" si="157"/>
        <v/>
      </c>
      <c r="AB302" s="450" t="str">
        <f t="shared" ca="1" si="157"/>
        <v/>
      </c>
      <c r="AC302" s="450" t="str">
        <f t="shared" ca="1" si="157"/>
        <v/>
      </c>
      <c r="AD302" s="450" t="str">
        <f t="shared" ca="1" si="157"/>
        <v/>
      </c>
      <c r="AE302" s="450" t="str">
        <f t="shared" ca="1" si="157"/>
        <v/>
      </c>
      <c r="AF302" s="450" t="str">
        <f t="shared" ca="1" si="157"/>
        <v/>
      </c>
      <c r="AG302" s="450" t="str">
        <f t="shared" ca="1" si="157"/>
        <v/>
      </c>
      <c r="AH302" s="450" t="str">
        <f t="shared" ca="1" si="157"/>
        <v/>
      </c>
      <c r="AI302" s="450" t="str">
        <f t="shared" ca="1" si="157"/>
        <v/>
      </c>
      <c r="AJ302" s="450" t="str">
        <f t="shared" ca="1" si="157"/>
        <v/>
      </c>
      <c r="AK302" s="450" t="str">
        <f t="shared" ca="1" si="157"/>
        <v/>
      </c>
      <c r="AL302" s="450" t="str">
        <f t="shared" ca="1" si="157"/>
        <v/>
      </c>
      <c r="AM302" s="450" t="str">
        <f t="shared" ca="1" si="157"/>
        <v/>
      </c>
      <c r="AN302" s="450" t="str">
        <f t="shared" ca="1" si="157"/>
        <v/>
      </c>
      <c r="AO302" s="450" t="str">
        <f t="shared" ca="1" si="157"/>
        <v/>
      </c>
      <c r="AP302" s="450" t="str">
        <f t="shared" ca="1" si="157"/>
        <v/>
      </c>
      <c r="AQ302" s="450" t="str">
        <f t="shared" ca="1" si="157"/>
        <v/>
      </c>
      <c r="AR302" s="450" t="str">
        <f t="shared" ca="1" si="157"/>
        <v/>
      </c>
      <c r="AS302" s="450" t="str">
        <f t="shared" ca="1" si="157"/>
        <v/>
      </c>
      <c r="AT302" s="450" t="str">
        <f t="shared" ca="1" si="157"/>
        <v/>
      </c>
      <c r="AU302" s="450" t="str">
        <f t="shared" ca="1" si="157"/>
        <v/>
      </c>
      <c r="AV302" s="450" t="str">
        <f t="shared" ca="1" si="157"/>
        <v/>
      </c>
      <c r="AW302" s="450" t="str">
        <f t="shared" ca="1" si="157"/>
        <v/>
      </c>
      <c r="AX302" s="450" t="str">
        <f t="shared" ca="1" si="157"/>
        <v/>
      </c>
      <c r="AY302" s="450" t="str">
        <f t="shared" ca="1" si="157"/>
        <v/>
      </c>
      <c r="AZ302" s="450" t="str">
        <f t="shared" ca="1" si="157"/>
        <v/>
      </c>
      <c r="BA302" s="450" t="str">
        <f t="shared" ca="1" si="157"/>
        <v/>
      </c>
      <c r="BB302" s="450" t="str">
        <f t="shared" ca="1" si="157"/>
        <v/>
      </c>
    </row>
    <row r="303" spans="1:242" ht="19.5" hidden="1" customHeight="1" thickBot="1">
      <c r="A303" s="327">
        <v>57</v>
      </c>
      <c r="B303" s="1290"/>
      <c r="C303" s="518" t="s">
        <v>461</v>
      </c>
      <c r="D303" s="1292"/>
      <c r="E303" s="452" t="str">
        <f ca="1">E291</f>
        <v/>
      </c>
      <c r="F303" s="452" t="str">
        <f t="shared" ref="F303:BB303" ca="1" si="158">F291</f>
        <v/>
      </c>
      <c r="G303" s="452" t="str">
        <f t="shared" ca="1" si="158"/>
        <v/>
      </c>
      <c r="H303" s="452" t="str">
        <f t="shared" ca="1" si="158"/>
        <v/>
      </c>
      <c r="I303" s="452" t="str">
        <f t="shared" ca="1" si="158"/>
        <v/>
      </c>
      <c r="J303" s="452" t="str">
        <f t="shared" ca="1" si="158"/>
        <v/>
      </c>
      <c r="K303" s="452" t="str">
        <f t="shared" ca="1" si="158"/>
        <v/>
      </c>
      <c r="L303" s="452" t="str">
        <f t="shared" ca="1" si="158"/>
        <v/>
      </c>
      <c r="M303" s="452" t="str">
        <f t="shared" ca="1" si="158"/>
        <v/>
      </c>
      <c r="N303" s="452" t="str">
        <f t="shared" ca="1" si="158"/>
        <v/>
      </c>
      <c r="O303" s="452" t="str">
        <f t="shared" ca="1" si="158"/>
        <v/>
      </c>
      <c r="P303" s="452" t="str">
        <f t="shared" ca="1" si="158"/>
        <v/>
      </c>
      <c r="Q303" s="452" t="str">
        <f t="shared" ca="1" si="158"/>
        <v/>
      </c>
      <c r="R303" s="452" t="str">
        <f t="shared" ca="1" si="158"/>
        <v/>
      </c>
      <c r="S303" s="452" t="str">
        <f t="shared" ca="1" si="158"/>
        <v/>
      </c>
      <c r="T303" s="452" t="str">
        <f t="shared" ca="1" si="158"/>
        <v/>
      </c>
      <c r="U303" s="452" t="str">
        <f t="shared" ca="1" si="158"/>
        <v/>
      </c>
      <c r="V303" s="452" t="str">
        <f t="shared" ca="1" si="158"/>
        <v/>
      </c>
      <c r="W303" s="452" t="str">
        <f t="shared" ca="1" si="158"/>
        <v/>
      </c>
      <c r="X303" s="452" t="str">
        <f t="shared" ca="1" si="158"/>
        <v/>
      </c>
      <c r="Y303" s="452" t="str">
        <f t="shared" ca="1" si="158"/>
        <v/>
      </c>
      <c r="Z303" s="452" t="str">
        <f t="shared" ca="1" si="158"/>
        <v/>
      </c>
      <c r="AA303" s="452" t="str">
        <f t="shared" ca="1" si="158"/>
        <v/>
      </c>
      <c r="AB303" s="452" t="str">
        <f t="shared" ca="1" si="158"/>
        <v/>
      </c>
      <c r="AC303" s="452" t="str">
        <f t="shared" ca="1" si="158"/>
        <v/>
      </c>
      <c r="AD303" s="452" t="str">
        <f t="shared" ca="1" si="158"/>
        <v/>
      </c>
      <c r="AE303" s="452" t="str">
        <f t="shared" ca="1" si="158"/>
        <v/>
      </c>
      <c r="AF303" s="452" t="str">
        <f t="shared" ca="1" si="158"/>
        <v/>
      </c>
      <c r="AG303" s="452" t="str">
        <f t="shared" ca="1" si="158"/>
        <v/>
      </c>
      <c r="AH303" s="452" t="str">
        <f t="shared" ca="1" si="158"/>
        <v/>
      </c>
      <c r="AI303" s="452" t="str">
        <f t="shared" ca="1" si="158"/>
        <v/>
      </c>
      <c r="AJ303" s="452" t="str">
        <f t="shared" ca="1" si="158"/>
        <v/>
      </c>
      <c r="AK303" s="452" t="str">
        <f t="shared" ca="1" si="158"/>
        <v/>
      </c>
      <c r="AL303" s="452" t="str">
        <f t="shared" ca="1" si="158"/>
        <v/>
      </c>
      <c r="AM303" s="452" t="str">
        <f t="shared" ca="1" si="158"/>
        <v/>
      </c>
      <c r="AN303" s="452" t="str">
        <f t="shared" ca="1" si="158"/>
        <v/>
      </c>
      <c r="AO303" s="452" t="str">
        <f t="shared" ca="1" si="158"/>
        <v/>
      </c>
      <c r="AP303" s="452" t="str">
        <f t="shared" ca="1" si="158"/>
        <v/>
      </c>
      <c r="AQ303" s="452" t="str">
        <f t="shared" ca="1" si="158"/>
        <v/>
      </c>
      <c r="AR303" s="452" t="str">
        <f t="shared" ca="1" si="158"/>
        <v/>
      </c>
      <c r="AS303" s="452" t="str">
        <f t="shared" ca="1" si="158"/>
        <v/>
      </c>
      <c r="AT303" s="452" t="str">
        <f t="shared" ca="1" si="158"/>
        <v/>
      </c>
      <c r="AU303" s="452" t="str">
        <f t="shared" ca="1" si="158"/>
        <v/>
      </c>
      <c r="AV303" s="452" t="str">
        <f t="shared" ca="1" si="158"/>
        <v/>
      </c>
      <c r="AW303" s="452" t="str">
        <f t="shared" ca="1" si="158"/>
        <v/>
      </c>
      <c r="AX303" s="452" t="str">
        <f t="shared" ca="1" si="158"/>
        <v/>
      </c>
      <c r="AY303" s="452" t="str">
        <f t="shared" ca="1" si="158"/>
        <v/>
      </c>
      <c r="AZ303" s="452" t="str">
        <f t="shared" ca="1" si="158"/>
        <v/>
      </c>
      <c r="BA303" s="452" t="str">
        <f t="shared" ca="1" si="158"/>
        <v/>
      </c>
      <c r="BB303" s="452" t="str">
        <f t="shared" ca="1" si="158"/>
        <v/>
      </c>
    </row>
    <row r="304" spans="1:242" hidden="1">
      <c r="A304" s="327">
        <v>58</v>
      </c>
      <c r="B304" s="1288" t="s">
        <v>645</v>
      </c>
      <c r="C304" s="514" t="s">
        <v>458</v>
      </c>
      <c r="D304" s="515"/>
      <c r="E304" s="448"/>
      <c r="F304" s="448"/>
      <c r="G304" s="448"/>
      <c r="H304" s="448"/>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8"/>
      <c r="AJ304" s="448"/>
      <c r="AK304" s="448"/>
      <c r="AL304" s="448"/>
      <c r="AM304" s="448"/>
      <c r="AN304" s="448"/>
      <c r="AO304" s="448"/>
      <c r="AP304" s="448"/>
      <c r="AQ304" s="448"/>
      <c r="AR304" s="448"/>
      <c r="AS304" s="448"/>
      <c r="AT304" s="448"/>
      <c r="AU304" s="448"/>
      <c r="AV304" s="448"/>
      <c r="AW304" s="448"/>
      <c r="AX304" s="448"/>
      <c r="AY304" s="448"/>
      <c r="AZ304" s="448"/>
      <c r="BA304" s="448"/>
      <c r="BB304" s="448"/>
    </row>
    <row r="305" spans="1:54" hidden="1">
      <c r="A305" s="327">
        <v>59</v>
      </c>
      <c r="B305" s="1289"/>
      <c r="C305" s="516" t="s">
        <v>459</v>
      </c>
      <c r="D305" s="517"/>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450"/>
      <c r="AJ305" s="450"/>
      <c r="AK305" s="450"/>
      <c r="AL305" s="450"/>
      <c r="AM305" s="450"/>
      <c r="AN305" s="450"/>
      <c r="AO305" s="450"/>
      <c r="AP305" s="450"/>
      <c r="AQ305" s="450"/>
      <c r="AR305" s="450"/>
      <c r="AS305" s="450"/>
      <c r="AT305" s="450"/>
      <c r="AU305" s="450"/>
      <c r="AV305" s="450"/>
      <c r="AW305" s="450"/>
      <c r="AX305" s="450"/>
      <c r="AY305" s="450"/>
      <c r="AZ305" s="450"/>
      <c r="BA305" s="450"/>
      <c r="BB305" s="451"/>
    </row>
    <row r="306" spans="1:54" hidden="1">
      <c r="A306" s="327">
        <v>60</v>
      </c>
      <c r="B306" s="1289"/>
      <c r="C306" s="516" t="s">
        <v>460</v>
      </c>
      <c r="D306" s="517"/>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c r="AC306" s="450"/>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0"/>
      <c r="AY306" s="450"/>
      <c r="AZ306" s="450"/>
      <c r="BA306" s="450"/>
      <c r="BB306" s="451"/>
    </row>
    <row r="307" spans="1:54" ht="18.600000000000001" hidden="1" thickBot="1">
      <c r="A307" s="327">
        <v>61</v>
      </c>
      <c r="B307" s="1290"/>
      <c r="C307" s="518" t="s">
        <v>461</v>
      </c>
      <c r="D307" s="519"/>
      <c r="E307" s="452"/>
      <c r="F307" s="452"/>
      <c r="G307" s="452"/>
      <c r="H307" s="452"/>
      <c r="I307" s="452"/>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c r="AL307" s="452"/>
      <c r="AM307" s="452"/>
      <c r="AN307" s="452"/>
      <c r="AO307" s="452"/>
      <c r="AP307" s="452"/>
      <c r="AQ307" s="452"/>
      <c r="AR307" s="452"/>
      <c r="AS307" s="452"/>
      <c r="AT307" s="452"/>
      <c r="AU307" s="452"/>
      <c r="AV307" s="452"/>
      <c r="AW307" s="452"/>
      <c r="AX307" s="452"/>
      <c r="AY307" s="452"/>
      <c r="AZ307" s="452"/>
      <c r="BA307" s="452"/>
      <c r="BB307" s="453"/>
    </row>
    <row r="308" spans="1:54" hidden="1">
      <c r="A308" s="327">
        <v>62</v>
      </c>
      <c r="B308" s="1288" t="s">
        <v>646</v>
      </c>
      <c r="C308" s="514" t="s">
        <v>458</v>
      </c>
      <c r="D308" s="520"/>
      <c r="E308" s="448" t="str">
        <f ca="1">IF(AND($HE$10="",$HG$10=""),IF(AND(E300="",E252&lt;&gt;""),"&lt;"&amp;E312&amp;"&gt;要入力",IF(OR(E300=E304,E300="",E304=""),"","&lt;"&amp;E312&amp;"&gt;要修正("&amp;E300&amp;"→"&amp;E304&amp;")")),"")</f>
        <v/>
      </c>
      <c r="F308" s="448" t="str">
        <f t="shared" ref="F308:BB308" ca="1" si="159">IF(AND($HE$10="",$HG$10=""),IF(AND(F300="",F252&lt;&gt;""),"&lt;"&amp;F312&amp;"&gt;要入力",IF(OR(F300=F304,F300="",F304=""),"","&lt;"&amp;F312&amp;"&gt;要修正("&amp;F300&amp;"→"&amp;F304&amp;")")),"")</f>
        <v/>
      </c>
      <c r="G308" s="448" t="str">
        <f t="shared" ca="1" si="159"/>
        <v/>
      </c>
      <c r="H308" s="448" t="str">
        <f t="shared" ca="1" si="159"/>
        <v/>
      </c>
      <c r="I308" s="448" t="str">
        <f t="shared" ca="1" si="159"/>
        <v/>
      </c>
      <c r="J308" s="448" t="str">
        <f t="shared" ca="1" si="159"/>
        <v/>
      </c>
      <c r="K308" s="448" t="str">
        <f t="shared" ca="1" si="159"/>
        <v/>
      </c>
      <c r="L308" s="448" t="str">
        <f t="shared" ca="1" si="159"/>
        <v/>
      </c>
      <c r="M308" s="448" t="str">
        <f t="shared" ca="1" si="159"/>
        <v/>
      </c>
      <c r="N308" s="448" t="str">
        <f t="shared" ca="1" si="159"/>
        <v/>
      </c>
      <c r="O308" s="448" t="str">
        <f t="shared" ca="1" si="159"/>
        <v/>
      </c>
      <c r="P308" s="448" t="str">
        <f t="shared" ca="1" si="159"/>
        <v/>
      </c>
      <c r="Q308" s="448" t="str">
        <f t="shared" ca="1" si="159"/>
        <v/>
      </c>
      <c r="R308" s="448" t="str">
        <f t="shared" ca="1" si="159"/>
        <v/>
      </c>
      <c r="S308" s="448" t="str">
        <f t="shared" ca="1" si="159"/>
        <v/>
      </c>
      <c r="T308" s="448" t="str">
        <f t="shared" ca="1" si="159"/>
        <v/>
      </c>
      <c r="U308" s="448" t="str">
        <f t="shared" ca="1" si="159"/>
        <v/>
      </c>
      <c r="V308" s="448" t="str">
        <f t="shared" ca="1" si="159"/>
        <v/>
      </c>
      <c r="W308" s="448" t="str">
        <f t="shared" ca="1" si="159"/>
        <v/>
      </c>
      <c r="X308" s="448" t="str">
        <f t="shared" ca="1" si="159"/>
        <v/>
      </c>
      <c r="Y308" s="448" t="str">
        <f t="shared" ca="1" si="159"/>
        <v/>
      </c>
      <c r="Z308" s="448" t="str">
        <f t="shared" ca="1" si="159"/>
        <v/>
      </c>
      <c r="AA308" s="448" t="str">
        <f t="shared" ca="1" si="159"/>
        <v/>
      </c>
      <c r="AB308" s="448" t="str">
        <f t="shared" ca="1" si="159"/>
        <v/>
      </c>
      <c r="AC308" s="448" t="str">
        <f t="shared" ca="1" si="159"/>
        <v/>
      </c>
      <c r="AD308" s="448" t="str">
        <f t="shared" ca="1" si="159"/>
        <v/>
      </c>
      <c r="AE308" s="448" t="str">
        <f t="shared" ca="1" si="159"/>
        <v/>
      </c>
      <c r="AF308" s="448" t="str">
        <f t="shared" ca="1" si="159"/>
        <v/>
      </c>
      <c r="AG308" s="448" t="str">
        <f t="shared" ca="1" si="159"/>
        <v/>
      </c>
      <c r="AH308" s="448" t="str">
        <f t="shared" ca="1" si="159"/>
        <v/>
      </c>
      <c r="AI308" s="448" t="str">
        <f t="shared" ca="1" si="159"/>
        <v/>
      </c>
      <c r="AJ308" s="448" t="str">
        <f t="shared" ca="1" si="159"/>
        <v/>
      </c>
      <c r="AK308" s="448" t="str">
        <f t="shared" ca="1" si="159"/>
        <v/>
      </c>
      <c r="AL308" s="448" t="str">
        <f t="shared" ca="1" si="159"/>
        <v/>
      </c>
      <c r="AM308" s="448" t="str">
        <f t="shared" ca="1" si="159"/>
        <v/>
      </c>
      <c r="AN308" s="448" t="str">
        <f t="shared" ca="1" si="159"/>
        <v/>
      </c>
      <c r="AO308" s="448" t="str">
        <f t="shared" ca="1" si="159"/>
        <v/>
      </c>
      <c r="AP308" s="448" t="str">
        <f t="shared" ca="1" si="159"/>
        <v/>
      </c>
      <c r="AQ308" s="448" t="str">
        <f t="shared" ca="1" si="159"/>
        <v/>
      </c>
      <c r="AR308" s="448" t="str">
        <f t="shared" ca="1" si="159"/>
        <v/>
      </c>
      <c r="AS308" s="448" t="str">
        <f t="shared" ca="1" si="159"/>
        <v/>
      </c>
      <c r="AT308" s="448" t="str">
        <f t="shared" ca="1" si="159"/>
        <v/>
      </c>
      <c r="AU308" s="448" t="str">
        <f t="shared" ca="1" si="159"/>
        <v/>
      </c>
      <c r="AV308" s="448" t="str">
        <f t="shared" ca="1" si="159"/>
        <v/>
      </c>
      <c r="AW308" s="448" t="str">
        <f t="shared" ca="1" si="159"/>
        <v/>
      </c>
      <c r="AX308" s="448" t="str">
        <f t="shared" ca="1" si="159"/>
        <v/>
      </c>
      <c r="AY308" s="448" t="str">
        <f t="shared" ca="1" si="159"/>
        <v/>
      </c>
      <c r="AZ308" s="448" t="str">
        <f t="shared" ca="1" si="159"/>
        <v/>
      </c>
      <c r="BA308" s="448" t="str">
        <f t="shared" ca="1" si="159"/>
        <v/>
      </c>
      <c r="BB308" s="448" t="str">
        <f t="shared" ca="1" si="159"/>
        <v/>
      </c>
    </row>
    <row r="309" spans="1:54" hidden="1">
      <c r="A309" s="327">
        <v>63</v>
      </c>
      <c r="B309" s="1289"/>
      <c r="C309" s="516" t="s">
        <v>459</v>
      </c>
      <c r="D309" s="521"/>
      <c r="E309" s="450" t="str">
        <f ca="1">IF(AND($HE$10="",$HG$10=""),IF(AND(E301="",E264&lt;&gt;""),"&lt;"&amp;E313&amp;"&gt;要入力",IF(OR(E301=E305,E301="",E305=""),"","&lt;"&amp;E313&amp;"&gt;要修正("&amp;E301&amp;"→"&amp;E305&amp;")")),"")</f>
        <v/>
      </c>
      <c r="F309" s="450" t="str">
        <f t="shared" ref="F309:BB309" ca="1" si="160">IF(AND($HE$10="",$HG$10=""),IF(AND(F301="",F264&lt;&gt;""),"&lt;"&amp;F313&amp;"&gt;要入力",IF(OR(F301=F305,F301="",F305=""),"","&lt;"&amp;F313&amp;"&gt;要修正("&amp;F301&amp;"→"&amp;F305&amp;")")),"")</f>
        <v/>
      </c>
      <c r="G309" s="450" t="str">
        <f t="shared" ca="1" si="160"/>
        <v/>
      </c>
      <c r="H309" s="450" t="str">
        <f t="shared" ca="1" si="160"/>
        <v/>
      </c>
      <c r="I309" s="450" t="str">
        <f t="shared" ca="1" si="160"/>
        <v/>
      </c>
      <c r="J309" s="450" t="str">
        <f t="shared" ca="1" si="160"/>
        <v/>
      </c>
      <c r="K309" s="450" t="str">
        <f t="shared" ca="1" si="160"/>
        <v/>
      </c>
      <c r="L309" s="450" t="str">
        <f t="shared" ca="1" si="160"/>
        <v/>
      </c>
      <c r="M309" s="450" t="str">
        <f t="shared" ca="1" si="160"/>
        <v/>
      </c>
      <c r="N309" s="450" t="str">
        <f t="shared" ca="1" si="160"/>
        <v/>
      </c>
      <c r="O309" s="450" t="str">
        <f t="shared" ca="1" si="160"/>
        <v/>
      </c>
      <c r="P309" s="450" t="str">
        <f t="shared" ca="1" si="160"/>
        <v/>
      </c>
      <c r="Q309" s="450" t="str">
        <f t="shared" ca="1" si="160"/>
        <v/>
      </c>
      <c r="R309" s="450" t="str">
        <f t="shared" ca="1" si="160"/>
        <v/>
      </c>
      <c r="S309" s="450" t="str">
        <f t="shared" ca="1" si="160"/>
        <v/>
      </c>
      <c r="T309" s="450" t="str">
        <f t="shared" ca="1" si="160"/>
        <v/>
      </c>
      <c r="U309" s="450" t="str">
        <f t="shared" ca="1" si="160"/>
        <v/>
      </c>
      <c r="V309" s="450" t="str">
        <f t="shared" ca="1" si="160"/>
        <v/>
      </c>
      <c r="W309" s="450" t="str">
        <f t="shared" ca="1" si="160"/>
        <v/>
      </c>
      <c r="X309" s="450" t="str">
        <f t="shared" ca="1" si="160"/>
        <v/>
      </c>
      <c r="Y309" s="450" t="str">
        <f t="shared" ca="1" si="160"/>
        <v/>
      </c>
      <c r="Z309" s="450" t="str">
        <f t="shared" ca="1" si="160"/>
        <v/>
      </c>
      <c r="AA309" s="450" t="str">
        <f t="shared" ca="1" si="160"/>
        <v/>
      </c>
      <c r="AB309" s="450" t="str">
        <f t="shared" ca="1" si="160"/>
        <v/>
      </c>
      <c r="AC309" s="450" t="str">
        <f t="shared" ca="1" si="160"/>
        <v/>
      </c>
      <c r="AD309" s="450" t="str">
        <f t="shared" ca="1" si="160"/>
        <v/>
      </c>
      <c r="AE309" s="450" t="str">
        <f t="shared" ca="1" si="160"/>
        <v/>
      </c>
      <c r="AF309" s="450" t="str">
        <f t="shared" ca="1" si="160"/>
        <v/>
      </c>
      <c r="AG309" s="450" t="str">
        <f t="shared" ca="1" si="160"/>
        <v/>
      </c>
      <c r="AH309" s="450" t="str">
        <f t="shared" ca="1" si="160"/>
        <v/>
      </c>
      <c r="AI309" s="450" t="str">
        <f t="shared" ca="1" si="160"/>
        <v/>
      </c>
      <c r="AJ309" s="450" t="str">
        <f t="shared" ca="1" si="160"/>
        <v/>
      </c>
      <c r="AK309" s="450" t="str">
        <f t="shared" ca="1" si="160"/>
        <v/>
      </c>
      <c r="AL309" s="450" t="str">
        <f t="shared" ca="1" si="160"/>
        <v/>
      </c>
      <c r="AM309" s="450" t="str">
        <f t="shared" ca="1" si="160"/>
        <v/>
      </c>
      <c r="AN309" s="450" t="str">
        <f t="shared" ca="1" si="160"/>
        <v/>
      </c>
      <c r="AO309" s="450" t="str">
        <f t="shared" ca="1" si="160"/>
        <v/>
      </c>
      <c r="AP309" s="450" t="str">
        <f t="shared" ca="1" si="160"/>
        <v/>
      </c>
      <c r="AQ309" s="450" t="str">
        <f t="shared" ca="1" si="160"/>
        <v/>
      </c>
      <c r="AR309" s="450" t="str">
        <f t="shared" ca="1" si="160"/>
        <v/>
      </c>
      <c r="AS309" s="450" t="str">
        <f t="shared" ca="1" si="160"/>
        <v/>
      </c>
      <c r="AT309" s="450" t="str">
        <f t="shared" ca="1" si="160"/>
        <v/>
      </c>
      <c r="AU309" s="450" t="str">
        <f t="shared" ca="1" si="160"/>
        <v/>
      </c>
      <c r="AV309" s="450" t="str">
        <f t="shared" ca="1" si="160"/>
        <v/>
      </c>
      <c r="AW309" s="450" t="str">
        <f t="shared" ca="1" si="160"/>
        <v/>
      </c>
      <c r="AX309" s="450" t="str">
        <f t="shared" ca="1" si="160"/>
        <v/>
      </c>
      <c r="AY309" s="450" t="str">
        <f t="shared" ca="1" si="160"/>
        <v/>
      </c>
      <c r="AZ309" s="450" t="str">
        <f t="shared" ca="1" si="160"/>
        <v/>
      </c>
      <c r="BA309" s="450" t="str">
        <f t="shared" ca="1" si="160"/>
        <v/>
      </c>
      <c r="BB309" s="450" t="str">
        <f t="shared" ca="1" si="160"/>
        <v/>
      </c>
    </row>
    <row r="310" spans="1:54" hidden="1">
      <c r="A310" s="327">
        <v>64</v>
      </c>
      <c r="B310" s="1289"/>
      <c r="C310" s="516" t="s">
        <v>460</v>
      </c>
      <c r="D310" s="521"/>
      <c r="E310" s="450" t="str">
        <f ca="1">IF(AND($HE$10="",$HG$10=""),IF(AND(E302="",E276&lt;&gt;""),"&lt;"&amp;E314&amp;"&gt;要入力",IF(OR(E302=E306,E302="",E306=""),"","&lt;"&amp;E314&amp;"&gt;要修正("&amp;E302&amp;"→"&amp;E306&amp;")")),"")</f>
        <v/>
      </c>
      <c r="F310" s="450" t="str">
        <f t="shared" ref="F310:BB310" ca="1" si="161">IF(AND($HE$10="",$HG$10=""),IF(AND(F302="",F276&lt;&gt;""),"&lt;"&amp;F314&amp;"&gt;要入力",IF(OR(F302=F306,F302="",F306=""),"","&lt;"&amp;F314&amp;"&gt;要修正("&amp;F302&amp;"→"&amp;F306&amp;")")),"")</f>
        <v/>
      </c>
      <c r="G310" s="450" t="str">
        <f t="shared" ca="1" si="161"/>
        <v/>
      </c>
      <c r="H310" s="450" t="str">
        <f t="shared" ca="1" si="161"/>
        <v/>
      </c>
      <c r="I310" s="450" t="str">
        <f t="shared" ca="1" si="161"/>
        <v/>
      </c>
      <c r="J310" s="450" t="str">
        <f t="shared" ca="1" si="161"/>
        <v/>
      </c>
      <c r="K310" s="450" t="str">
        <f t="shared" ca="1" si="161"/>
        <v/>
      </c>
      <c r="L310" s="450" t="str">
        <f t="shared" ca="1" si="161"/>
        <v/>
      </c>
      <c r="M310" s="450" t="str">
        <f t="shared" ca="1" si="161"/>
        <v/>
      </c>
      <c r="N310" s="450" t="str">
        <f t="shared" ca="1" si="161"/>
        <v/>
      </c>
      <c r="O310" s="450" t="str">
        <f t="shared" ca="1" si="161"/>
        <v/>
      </c>
      <c r="P310" s="450" t="str">
        <f t="shared" ca="1" si="161"/>
        <v/>
      </c>
      <c r="Q310" s="450" t="str">
        <f t="shared" ca="1" si="161"/>
        <v/>
      </c>
      <c r="R310" s="450" t="str">
        <f t="shared" ca="1" si="161"/>
        <v/>
      </c>
      <c r="S310" s="450" t="str">
        <f t="shared" ca="1" si="161"/>
        <v/>
      </c>
      <c r="T310" s="450" t="str">
        <f t="shared" ca="1" si="161"/>
        <v/>
      </c>
      <c r="U310" s="450" t="str">
        <f t="shared" ca="1" si="161"/>
        <v/>
      </c>
      <c r="V310" s="450" t="str">
        <f t="shared" ca="1" si="161"/>
        <v/>
      </c>
      <c r="W310" s="450" t="str">
        <f t="shared" ca="1" si="161"/>
        <v/>
      </c>
      <c r="X310" s="450" t="str">
        <f t="shared" ca="1" si="161"/>
        <v/>
      </c>
      <c r="Y310" s="450" t="str">
        <f t="shared" ca="1" si="161"/>
        <v/>
      </c>
      <c r="Z310" s="450" t="str">
        <f t="shared" ca="1" si="161"/>
        <v/>
      </c>
      <c r="AA310" s="450" t="str">
        <f t="shared" ca="1" si="161"/>
        <v/>
      </c>
      <c r="AB310" s="450" t="str">
        <f t="shared" ca="1" si="161"/>
        <v/>
      </c>
      <c r="AC310" s="450" t="str">
        <f t="shared" ca="1" si="161"/>
        <v/>
      </c>
      <c r="AD310" s="450" t="str">
        <f t="shared" ca="1" si="161"/>
        <v/>
      </c>
      <c r="AE310" s="450" t="str">
        <f t="shared" ca="1" si="161"/>
        <v/>
      </c>
      <c r="AF310" s="450" t="str">
        <f t="shared" ca="1" si="161"/>
        <v/>
      </c>
      <c r="AG310" s="450" t="str">
        <f t="shared" ca="1" si="161"/>
        <v/>
      </c>
      <c r="AH310" s="450" t="str">
        <f t="shared" ca="1" si="161"/>
        <v/>
      </c>
      <c r="AI310" s="450" t="str">
        <f t="shared" ca="1" si="161"/>
        <v/>
      </c>
      <c r="AJ310" s="450" t="str">
        <f t="shared" ca="1" si="161"/>
        <v/>
      </c>
      <c r="AK310" s="450" t="str">
        <f t="shared" ca="1" si="161"/>
        <v/>
      </c>
      <c r="AL310" s="450" t="str">
        <f t="shared" ca="1" si="161"/>
        <v/>
      </c>
      <c r="AM310" s="450" t="str">
        <f t="shared" ca="1" si="161"/>
        <v/>
      </c>
      <c r="AN310" s="450" t="str">
        <f t="shared" ca="1" si="161"/>
        <v/>
      </c>
      <c r="AO310" s="450" t="str">
        <f t="shared" ca="1" si="161"/>
        <v/>
      </c>
      <c r="AP310" s="450" t="str">
        <f t="shared" ca="1" si="161"/>
        <v/>
      </c>
      <c r="AQ310" s="450" t="str">
        <f t="shared" ca="1" si="161"/>
        <v/>
      </c>
      <c r="AR310" s="450" t="str">
        <f t="shared" ca="1" si="161"/>
        <v/>
      </c>
      <c r="AS310" s="450" t="str">
        <f t="shared" ca="1" si="161"/>
        <v/>
      </c>
      <c r="AT310" s="450" t="str">
        <f t="shared" ca="1" si="161"/>
        <v/>
      </c>
      <c r="AU310" s="450" t="str">
        <f t="shared" ca="1" si="161"/>
        <v/>
      </c>
      <c r="AV310" s="450" t="str">
        <f t="shared" ca="1" si="161"/>
        <v/>
      </c>
      <c r="AW310" s="450" t="str">
        <f t="shared" ca="1" si="161"/>
        <v/>
      </c>
      <c r="AX310" s="450" t="str">
        <f t="shared" ca="1" si="161"/>
        <v/>
      </c>
      <c r="AY310" s="450" t="str">
        <f t="shared" ca="1" si="161"/>
        <v/>
      </c>
      <c r="AZ310" s="450" t="str">
        <f t="shared" ca="1" si="161"/>
        <v/>
      </c>
      <c r="BA310" s="450" t="str">
        <f t="shared" ca="1" si="161"/>
        <v/>
      </c>
      <c r="BB310" s="450" t="str">
        <f t="shared" ca="1" si="161"/>
        <v/>
      </c>
    </row>
    <row r="311" spans="1:54" ht="18.600000000000001" hidden="1" thickBot="1">
      <c r="A311" s="327">
        <v>65</v>
      </c>
      <c r="B311" s="1290"/>
      <c r="C311" s="518" t="s">
        <v>461</v>
      </c>
      <c r="D311" s="522"/>
      <c r="E311" s="452" t="str">
        <f ca="1">IF(AND($HE$10="",$HG$10=""),IF(AND(E303="",E288&lt;&gt;""),"&lt;"&amp;E315&amp;"&gt;要入力",IF(OR(E303=E307,E303="",E307=""),"","&lt;"&amp;E315&amp;"&gt;要修正("&amp;E303&amp;"→"&amp;E307&amp;")")),"")</f>
        <v/>
      </c>
      <c r="F311" s="452" t="str">
        <f t="shared" ref="F311:BB311" ca="1" si="162">IF(AND($HE$10="",$HG$10=""),IF(AND(F303="",F288&lt;&gt;""),"&lt;"&amp;F315&amp;"&gt;要入力",IF(OR(F303=F307,F303="",F307=""),"","&lt;"&amp;F315&amp;"&gt;要修正("&amp;F303&amp;"→"&amp;F307&amp;")")),"")</f>
        <v/>
      </c>
      <c r="G311" s="452" t="str">
        <f t="shared" ca="1" si="162"/>
        <v/>
      </c>
      <c r="H311" s="452" t="str">
        <f t="shared" ca="1" si="162"/>
        <v/>
      </c>
      <c r="I311" s="452" t="str">
        <f t="shared" ca="1" si="162"/>
        <v/>
      </c>
      <c r="J311" s="452" t="str">
        <f t="shared" ca="1" si="162"/>
        <v/>
      </c>
      <c r="K311" s="452" t="str">
        <f t="shared" ca="1" si="162"/>
        <v/>
      </c>
      <c r="L311" s="452" t="str">
        <f t="shared" ca="1" si="162"/>
        <v/>
      </c>
      <c r="M311" s="452" t="str">
        <f t="shared" ca="1" si="162"/>
        <v/>
      </c>
      <c r="N311" s="452" t="str">
        <f t="shared" ca="1" si="162"/>
        <v/>
      </c>
      <c r="O311" s="452" t="str">
        <f t="shared" ca="1" si="162"/>
        <v/>
      </c>
      <c r="P311" s="452" t="str">
        <f t="shared" ca="1" si="162"/>
        <v/>
      </c>
      <c r="Q311" s="452" t="str">
        <f t="shared" ca="1" si="162"/>
        <v/>
      </c>
      <c r="R311" s="452" t="str">
        <f t="shared" ca="1" si="162"/>
        <v/>
      </c>
      <c r="S311" s="452" t="str">
        <f t="shared" ca="1" si="162"/>
        <v/>
      </c>
      <c r="T311" s="452" t="str">
        <f t="shared" ca="1" si="162"/>
        <v/>
      </c>
      <c r="U311" s="452" t="str">
        <f t="shared" ca="1" si="162"/>
        <v/>
      </c>
      <c r="V311" s="452" t="str">
        <f t="shared" ca="1" si="162"/>
        <v/>
      </c>
      <c r="W311" s="452" t="str">
        <f t="shared" ca="1" si="162"/>
        <v/>
      </c>
      <c r="X311" s="452" t="str">
        <f t="shared" ca="1" si="162"/>
        <v/>
      </c>
      <c r="Y311" s="452" t="str">
        <f t="shared" ca="1" si="162"/>
        <v/>
      </c>
      <c r="Z311" s="452" t="str">
        <f t="shared" ca="1" si="162"/>
        <v/>
      </c>
      <c r="AA311" s="452" t="str">
        <f t="shared" ca="1" si="162"/>
        <v/>
      </c>
      <c r="AB311" s="452" t="str">
        <f t="shared" ca="1" si="162"/>
        <v/>
      </c>
      <c r="AC311" s="452" t="str">
        <f t="shared" ca="1" si="162"/>
        <v/>
      </c>
      <c r="AD311" s="452" t="str">
        <f t="shared" ca="1" si="162"/>
        <v/>
      </c>
      <c r="AE311" s="452" t="str">
        <f t="shared" ca="1" si="162"/>
        <v/>
      </c>
      <c r="AF311" s="452" t="str">
        <f t="shared" ca="1" si="162"/>
        <v/>
      </c>
      <c r="AG311" s="452" t="str">
        <f t="shared" ca="1" si="162"/>
        <v/>
      </c>
      <c r="AH311" s="452" t="str">
        <f t="shared" ca="1" si="162"/>
        <v/>
      </c>
      <c r="AI311" s="452" t="str">
        <f t="shared" ca="1" si="162"/>
        <v/>
      </c>
      <c r="AJ311" s="452" t="str">
        <f t="shared" ca="1" si="162"/>
        <v/>
      </c>
      <c r="AK311" s="452" t="str">
        <f t="shared" ca="1" si="162"/>
        <v/>
      </c>
      <c r="AL311" s="452" t="str">
        <f t="shared" ca="1" si="162"/>
        <v/>
      </c>
      <c r="AM311" s="452" t="str">
        <f t="shared" ca="1" si="162"/>
        <v/>
      </c>
      <c r="AN311" s="452" t="str">
        <f t="shared" ca="1" si="162"/>
        <v/>
      </c>
      <c r="AO311" s="452" t="str">
        <f t="shared" ca="1" si="162"/>
        <v/>
      </c>
      <c r="AP311" s="452" t="str">
        <f t="shared" ca="1" si="162"/>
        <v/>
      </c>
      <c r="AQ311" s="452" t="str">
        <f t="shared" ca="1" si="162"/>
        <v/>
      </c>
      <c r="AR311" s="452" t="str">
        <f t="shared" ca="1" si="162"/>
        <v/>
      </c>
      <c r="AS311" s="452" t="str">
        <f t="shared" ca="1" si="162"/>
        <v/>
      </c>
      <c r="AT311" s="452" t="str">
        <f t="shared" ca="1" si="162"/>
        <v/>
      </c>
      <c r="AU311" s="452" t="str">
        <f t="shared" ca="1" si="162"/>
        <v/>
      </c>
      <c r="AV311" s="452" t="str">
        <f t="shared" ca="1" si="162"/>
        <v/>
      </c>
      <c r="AW311" s="452" t="str">
        <f t="shared" ca="1" si="162"/>
        <v/>
      </c>
      <c r="AX311" s="452" t="str">
        <f t="shared" ca="1" si="162"/>
        <v/>
      </c>
      <c r="AY311" s="452" t="str">
        <f t="shared" ca="1" si="162"/>
        <v/>
      </c>
      <c r="AZ311" s="452" t="str">
        <f t="shared" ca="1" si="162"/>
        <v/>
      </c>
      <c r="BA311" s="452" t="str">
        <f t="shared" ca="1" si="162"/>
        <v/>
      </c>
      <c r="BB311" s="452" t="str">
        <f t="shared" ca="1" si="162"/>
        <v/>
      </c>
    </row>
    <row r="312" spans="1:54" ht="14.25" hidden="1" customHeight="1">
      <c r="B312" s="1288" t="s">
        <v>647</v>
      </c>
      <c r="C312" s="514" t="s">
        <v>458</v>
      </c>
      <c r="D312" s="520"/>
      <c r="E312" s="448" t="str">
        <f t="shared" ref="E312:AJ312" ca="1" si="163">IFERROR(ADDRESS(ROW(貼付け_2024実績)+99,E253+COLUMN(貼付け_2024実績),4),"")</f>
        <v/>
      </c>
      <c r="F312" s="448" t="str">
        <f t="shared" ca="1" si="163"/>
        <v/>
      </c>
      <c r="G312" s="448" t="str">
        <f t="shared" ca="1" si="163"/>
        <v/>
      </c>
      <c r="H312" s="448" t="str">
        <f t="shared" ca="1" si="163"/>
        <v/>
      </c>
      <c r="I312" s="448" t="str">
        <f t="shared" ca="1" si="163"/>
        <v/>
      </c>
      <c r="J312" s="448" t="str">
        <f t="shared" ca="1" si="163"/>
        <v/>
      </c>
      <c r="K312" s="448" t="str">
        <f t="shared" ca="1" si="163"/>
        <v/>
      </c>
      <c r="L312" s="448" t="str">
        <f t="shared" ca="1" si="163"/>
        <v/>
      </c>
      <c r="M312" s="448" t="str">
        <f t="shared" ca="1" si="163"/>
        <v/>
      </c>
      <c r="N312" s="448" t="str">
        <f t="shared" ca="1" si="163"/>
        <v/>
      </c>
      <c r="O312" s="448" t="str">
        <f t="shared" ca="1" si="163"/>
        <v/>
      </c>
      <c r="P312" s="448" t="str">
        <f t="shared" ca="1" si="163"/>
        <v/>
      </c>
      <c r="Q312" s="448" t="str">
        <f t="shared" ca="1" si="163"/>
        <v/>
      </c>
      <c r="R312" s="448" t="str">
        <f t="shared" ca="1" si="163"/>
        <v/>
      </c>
      <c r="S312" s="448" t="str">
        <f t="shared" ca="1" si="163"/>
        <v/>
      </c>
      <c r="T312" s="448" t="str">
        <f t="shared" ca="1" si="163"/>
        <v/>
      </c>
      <c r="U312" s="448" t="str">
        <f t="shared" ca="1" si="163"/>
        <v/>
      </c>
      <c r="V312" s="448" t="str">
        <f t="shared" ca="1" si="163"/>
        <v/>
      </c>
      <c r="W312" s="448" t="str">
        <f t="shared" ca="1" si="163"/>
        <v/>
      </c>
      <c r="X312" s="448" t="str">
        <f t="shared" ca="1" si="163"/>
        <v/>
      </c>
      <c r="Y312" s="448" t="str">
        <f t="shared" ca="1" si="163"/>
        <v/>
      </c>
      <c r="Z312" s="448" t="str">
        <f t="shared" ca="1" si="163"/>
        <v/>
      </c>
      <c r="AA312" s="448" t="str">
        <f t="shared" ca="1" si="163"/>
        <v/>
      </c>
      <c r="AB312" s="448" t="str">
        <f t="shared" ca="1" si="163"/>
        <v/>
      </c>
      <c r="AC312" s="448" t="str">
        <f t="shared" ca="1" si="163"/>
        <v/>
      </c>
      <c r="AD312" s="448" t="str">
        <f t="shared" ca="1" si="163"/>
        <v/>
      </c>
      <c r="AE312" s="448" t="str">
        <f t="shared" ca="1" si="163"/>
        <v/>
      </c>
      <c r="AF312" s="448" t="str">
        <f t="shared" ca="1" si="163"/>
        <v/>
      </c>
      <c r="AG312" s="448" t="str">
        <f t="shared" ca="1" si="163"/>
        <v/>
      </c>
      <c r="AH312" s="448" t="str">
        <f t="shared" ca="1" si="163"/>
        <v/>
      </c>
      <c r="AI312" s="448" t="str">
        <f t="shared" ca="1" si="163"/>
        <v/>
      </c>
      <c r="AJ312" s="448" t="str">
        <f t="shared" ca="1" si="163"/>
        <v/>
      </c>
      <c r="AK312" s="448" t="str">
        <f t="shared" ref="AK312:BB312" ca="1" si="164">IFERROR(ADDRESS(ROW(貼付け_2024実績)+99,AK253+COLUMN(貼付け_2024実績),4),"")</f>
        <v/>
      </c>
      <c r="AL312" s="448" t="str">
        <f t="shared" ca="1" si="164"/>
        <v/>
      </c>
      <c r="AM312" s="448" t="str">
        <f t="shared" ca="1" si="164"/>
        <v/>
      </c>
      <c r="AN312" s="448" t="str">
        <f t="shared" ca="1" si="164"/>
        <v/>
      </c>
      <c r="AO312" s="448" t="str">
        <f t="shared" ca="1" si="164"/>
        <v/>
      </c>
      <c r="AP312" s="448" t="str">
        <f t="shared" ca="1" si="164"/>
        <v/>
      </c>
      <c r="AQ312" s="448" t="str">
        <f t="shared" ca="1" si="164"/>
        <v/>
      </c>
      <c r="AR312" s="448" t="str">
        <f t="shared" ca="1" si="164"/>
        <v/>
      </c>
      <c r="AS312" s="448" t="str">
        <f t="shared" ca="1" si="164"/>
        <v/>
      </c>
      <c r="AT312" s="448" t="str">
        <f t="shared" ca="1" si="164"/>
        <v/>
      </c>
      <c r="AU312" s="448" t="str">
        <f t="shared" ca="1" si="164"/>
        <v/>
      </c>
      <c r="AV312" s="448" t="str">
        <f t="shared" ca="1" si="164"/>
        <v/>
      </c>
      <c r="AW312" s="448" t="str">
        <f t="shared" ca="1" si="164"/>
        <v/>
      </c>
      <c r="AX312" s="448" t="str">
        <f t="shared" ca="1" si="164"/>
        <v/>
      </c>
      <c r="AY312" s="448" t="str">
        <f t="shared" ca="1" si="164"/>
        <v/>
      </c>
      <c r="AZ312" s="448" t="str">
        <f t="shared" ca="1" si="164"/>
        <v/>
      </c>
      <c r="BA312" s="448" t="str">
        <f t="shared" ca="1" si="164"/>
        <v/>
      </c>
      <c r="BB312" s="448" t="str">
        <f t="shared" ca="1" si="164"/>
        <v/>
      </c>
    </row>
    <row r="313" spans="1:54" hidden="1">
      <c r="B313" s="1289"/>
      <c r="C313" s="516" t="s">
        <v>459</v>
      </c>
      <c r="D313" s="521"/>
      <c r="E313" s="450" t="str">
        <f t="shared" ref="E313:AJ313" ca="1" si="165">IFERROR(ADDRESS(ROW(貼付け_2024実績)+99,E265+COLUMN(貼付け_2024実績),4),"")</f>
        <v/>
      </c>
      <c r="F313" s="450" t="str">
        <f t="shared" ca="1" si="165"/>
        <v/>
      </c>
      <c r="G313" s="450" t="str">
        <f t="shared" ca="1" si="165"/>
        <v/>
      </c>
      <c r="H313" s="450" t="str">
        <f t="shared" ca="1" si="165"/>
        <v/>
      </c>
      <c r="I313" s="450" t="str">
        <f t="shared" ca="1" si="165"/>
        <v/>
      </c>
      <c r="J313" s="450" t="str">
        <f t="shared" ca="1" si="165"/>
        <v/>
      </c>
      <c r="K313" s="450" t="str">
        <f t="shared" ca="1" si="165"/>
        <v/>
      </c>
      <c r="L313" s="450" t="str">
        <f t="shared" ca="1" si="165"/>
        <v/>
      </c>
      <c r="M313" s="450" t="str">
        <f t="shared" ca="1" si="165"/>
        <v/>
      </c>
      <c r="N313" s="450" t="str">
        <f t="shared" ca="1" si="165"/>
        <v/>
      </c>
      <c r="O313" s="450" t="str">
        <f t="shared" ca="1" si="165"/>
        <v/>
      </c>
      <c r="P313" s="450" t="str">
        <f t="shared" ca="1" si="165"/>
        <v/>
      </c>
      <c r="Q313" s="450" t="str">
        <f t="shared" ca="1" si="165"/>
        <v/>
      </c>
      <c r="R313" s="450" t="str">
        <f t="shared" ca="1" si="165"/>
        <v/>
      </c>
      <c r="S313" s="450" t="str">
        <f t="shared" ca="1" si="165"/>
        <v/>
      </c>
      <c r="T313" s="450" t="str">
        <f t="shared" ca="1" si="165"/>
        <v/>
      </c>
      <c r="U313" s="450" t="str">
        <f t="shared" ca="1" si="165"/>
        <v/>
      </c>
      <c r="V313" s="450" t="str">
        <f t="shared" ca="1" si="165"/>
        <v/>
      </c>
      <c r="W313" s="450" t="str">
        <f t="shared" ca="1" si="165"/>
        <v/>
      </c>
      <c r="X313" s="450" t="str">
        <f t="shared" ca="1" si="165"/>
        <v/>
      </c>
      <c r="Y313" s="450" t="str">
        <f t="shared" ca="1" si="165"/>
        <v/>
      </c>
      <c r="Z313" s="450" t="str">
        <f t="shared" ca="1" si="165"/>
        <v/>
      </c>
      <c r="AA313" s="450" t="str">
        <f t="shared" ca="1" si="165"/>
        <v/>
      </c>
      <c r="AB313" s="450" t="str">
        <f t="shared" ca="1" si="165"/>
        <v/>
      </c>
      <c r="AC313" s="450" t="str">
        <f t="shared" ca="1" si="165"/>
        <v/>
      </c>
      <c r="AD313" s="450" t="str">
        <f t="shared" ca="1" si="165"/>
        <v/>
      </c>
      <c r="AE313" s="450" t="str">
        <f t="shared" ca="1" si="165"/>
        <v/>
      </c>
      <c r="AF313" s="450" t="str">
        <f t="shared" ca="1" si="165"/>
        <v/>
      </c>
      <c r="AG313" s="450" t="str">
        <f t="shared" ca="1" si="165"/>
        <v/>
      </c>
      <c r="AH313" s="450" t="str">
        <f t="shared" ca="1" si="165"/>
        <v/>
      </c>
      <c r="AI313" s="450" t="str">
        <f t="shared" ca="1" si="165"/>
        <v/>
      </c>
      <c r="AJ313" s="450" t="str">
        <f t="shared" ca="1" si="165"/>
        <v/>
      </c>
      <c r="AK313" s="450" t="str">
        <f t="shared" ref="AK313:BB313" ca="1" si="166">IFERROR(ADDRESS(ROW(貼付け_2024実績)+99,AK265+COLUMN(貼付け_2024実績),4),"")</f>
        <v/>
      </c>
      <c r="AL313" s="450" t="str">
        <f t="shared" ca="1" si="166"/>
        <v/>
      </c>
      <c r="AM313" s="450" t="str">
        <f t="shared" ca="1" si="166"/>
        <v/>
      </c>
      <c r="AN313" s="450" t="str">
        <f t="shared" ca="1" si="166"/>
        <v/>
      </c>
      <c r="AO313" s="450" t="str">
        <f t="shared" ca="1" si="166"/>
        <v/>
      </c>
      <c r="AP313" s="450" t="str">
        <f t="shared" ca="1" si="166"/>
        <v/>
      </c>
      <c r="AQ313" s="450" t="str">
        <f t="shared" ca="1" si="166"/>
        <v/>
      </c>
      <c r="AR313" s="450" t="str">
        <f t="shared" ca="1" si="166"/>
        <v/>
      </c>
      <c r="AS313" s="450" t="str">
        <f t="shared" ca="1" si="166"/>
        <v/>
      </c>
      <c r="AT313" s="450" t="str">
        <f t="shared" ca="1" si="166"/>
        <v/>
      </c>
      <c r="AU313" s="450" t="str">
        <f t="shared" ca="1" si="166"/>
        <v/>
      </c>
      <c r="AV313" s="450" t="str">
        <f t="shared" ca="1" si="166"/>
        <v/>
      </c>
      <c r="AW313" s="450" t="str">
        <f t="shared" ca="1" si="166"/>
        <v/>
      </c>
      <c r="AX313" s="450" t="str">
        <f t="shared" ca="1" si="166"/>
        <v/>
      </c>
      <c r="AY313" s="450" t="str">
        <f t="shared" ca="1" si="166"/>
        <v/>
      </c>
      <c r="AZ313" s="450" t="str">
        <f t="shared" ca="1" si="166"/>
        <v/>
      </c>
      <c r="BA313" s="450" t="str">
        <f t="shared" ca="1" si="166"/>
        <v/>
      </c>
      <c r="BB313" s="450" t="str">
        <f t="shared" ca="1" si="166"/>
        <v/>
      </c>
    </row>
    <row r="314" spans="1:54" hidden="1">
      <c r="B314" s="1289"/>
      <c r="C314" s="516" t="s">
        <v>460</v>
      </c>
      <c r="D314" s="521"/>
      <c r="E314" s="450" t="str">
        <f t="shared" ref="E314:AJ314" ca="1" si="167">IFERROR(ADDRESS(ROW(貼付け_2024実績)+99,E277+COLUMN(貼付け_2024実績),4),"")</f>
        <v/>
      </c>
      <c r="F314" s="450" t="str">
        <f t="shared" ca="1" si="167"/>
        <v/>
      </c>
      <c r="G314" s="450" t="str">
        <f t="shared" ca="1" si="167"/>
        <v/>
      </c>
      <c r="H314" s="450" t="str">
        <f t="shared" ca="1" si="167"/>
        <v/>
      </c>
      <c r="I314" s="450" t="str">
        <f t="shared" ca="1" si="167"/>
        <v/>
      </c>
      <c r="J314" s="450" t="str">
        <f t="shared" ca="1" si="167"/>
        <v/>
      </c>
      <c r="K314" s="450" t="str">
        <f t="shared" ca="1" si="167"/>
        <v/>
      </c>
      <c r="L314" s="450" t="str">
        <f t="shared" ca="1" si="167"/>
        <v/>
      </c>
      <c r="M314" s="450" t="str">
        <f t="shared" ca="1" si="167"/>
        <v/>
      </c>
      <c r="N314" s="450" t="str">
        <f t="shared" ca="1" si="167"/>
        <v/>
      </c>
      <c r="O314" s="450" t="str">
        <f t="shared" ca="1" si="167"/>
        <v/>
      </c>
      <c r="P314" s="450" t="str">
        <f t="shared" ca="1" si="167"/>
        <v/>
      </c>
      <c r="Q314" s="450" t="str">
        <f t="shared" ca="1" si="167"/>
        <v/>
      </c>
      <c r="R314" s="450" t="str">
        <f t="shared" ca="1" si="167"/>
        <v/>
      </c>
      <c r="S314" s="450" t="str">
        <f t="shared" ca="1" si="167"/>
        <v/>
      </c>
      <c r="T314" s="450" t="str">
        <f t="shared" ca="1" si="167"/>
        <v/>
      </c>
      <c r="U314" s="450" t="str">
        <f t="shared" ca="1" si="167"/>
        <v/>
      </c>
      <c r="V314" s="450" t="str">
        <f t="shared" ca="1" si="167"/>
        <v/>
      </c>
      <c r="W314" s="450" t="str">
        <f t="shared" ca="1" si="167"/>
        <v/>
      </c>
      <c r="X314" s="450" t="str">
        <f t="shared" ca="1" si="167"/>
        <v/>
      </c>
      <c r="Y314" s="450" t="str">
        <f t="shared" ca="1" si="167"/>
        <v/>
      </c>
      <c r="Z314" s="450" t="str">
        <f t="shared" ca="1" si="167"/>
        <v/>
      </c>
      <c r="AA314" s="450" t="str">
        <f t="shared" ca="1" si="167"/>
        <v/>
      </c>
      <c r="AB314" s="450" t="str">
        <f t="shared" ca="1" si="167"/>
        <v/>
      </c>
      <c r="AC314" s="450" t="str">
        <f t="shared" ca="1" si="167"/>
        <v/>
      </c>
      <c r="AD314" s="450" t="str">
        <f t="shared" ca="1" si="167"/>
        <v/>
      </c>
      <c r="AE314" s="450" t="str">
        <f t="shared" ca="1" si="167"/>
        <v/>
      </c>
      <c r="AF314" s="450" t="str">
        <f t="shared" ca="1" si="167"/>
        <v/>
      </c>
      <c r="AG314" s="450" t="str">
        <f t="shared" ca="1" si="167"/>
        <v/>
      </c>
      <c r="AH314" s="450" t="str">
        <f t="shared" ca="1" si="167"/>
        <v/>
      </c>
      <c r="AI314" s="450" t="str">
        <f t="shared" ca="1" si="167"/>
        <v/>
      </c>
      <c r="AJ314" s="450" t="str">
        <f t="shared" ca="1" si="167"/>
        <v/>
      </c>
      <c r="AK314" s="450" t="str">
        <f t="shared" ref="AK314:BB314" ca="1" si="168">IFERROR(ADDRESS(ROW(貼付け_2024実績)+99,AK277+COLUMN(貼付け_2024実績),4),"")</f>
        <v/>
      </c>
      <c r="AL314" s="450" t="str">
        <f t="shared" ca="1" si="168"/>
        <v/>
      </c>
      <c r="AM314" s="450" t="str">
        <f t="shared" ca="1" si="168"/>
        <v/>
      </c>
      <c r="AN314" s="450" t="str">
        <f t="shared" ca="1" si="168"/>
        <v/>
      </c>
      <c r="AO314" s="450" t="str">
        <f t="shared" ca="1" si="168"/>
        <v/>
      </c>
      <c r="AP314" s="450" t="str">
        <f t="shared" ca="1" si="168"/>
        <v/>
      </c>
      <c r="AQ314" s="450" t="str">
        <f t="shared" ca="1" si="168"/>
        <v/>
      </c>
      <c r="AR314" s="450" t="str">
        <f t="shared" ca="1" si="168"/>
        <v/>
      </c>
      <c r="AS314" s="450" t="str">
        <f t="shared" ca="1" si="168"/>
        <v/>
      </c>
      <c r="AT314" s="450" t="str">
        <f t="shared" ca="1" si="168"/>
        <v/>
      </c>
      <c r="AU314" s="450" t="str">
        <f t="shared" ca="1" si="168"/>
        <v/>
      </c>
      <c r="AV314" s="450" t="str">
        <f t="shared" ca="1" si="168"/>
        <v/>
      </c>
      <c r="AW314" s="450" t="str">
        <f t="shared" ca="1" si="168"/>
        <v/>
      </c>
      <c r="AX314" s="450" t="str">
        <f t="shared" ca="1" si="168"/>
        <v/>
      </c>
      <c r="AY314" s="450" t="str">
        <f t="shared" ca="1" si="168"/>
        <v/>
      </c>
      <c r="AZ314" s="450" t="str">
        <f t="shared" ca="1" si="168"/>
        <v/>
      </c>
      <c r="BA314" s="450" t="str">
        <f t="shared" ca="1" si="168"/>
        <v/>
      </c>
      <c r="BB314" s="450" t="str">
        <f t="shared" ca="1" si="168"/>
        <v/>
      </c>
    </row>
    <row r="315" spans="1:54" ht="18.600000000000001" hidden="1" thickBot="1">
      <c r="B315" s="1290"/>
      <c r="C315" s="518" t="s">
        <v>461</v>
      </c>
      <c r="D315" s="522"/>
      <c r="E315" s="452" t="str">
        <f t="shared" ref="E315:AJ315" ca="1" si="169">IFERROR(ADDRESS(ROW(貼付け_2024実績)+99,E289+COLUMN(貼付け_2024実績),4),"")</f>
        <v/>
      </c>
      <c r="F315" s="452" t="str">
        <f t="shared" ca="1" si="169"/>
        <v/>
      </c>
      <c r="G315" s="452" t="str">
        <f t="shared" ca="1" si="169"/>
        <v/>
      </c>
      <c r="H315" s="452" t="str">
        <f t="shared" ca="1" si="169"/>
        <v/>
      </c>
      <c r="I315" s="452" t="str">
        <f t="shared" ca="1" si="169"/>
        <v/>
      </c>
      <c r="J315" s="452" t="str">
        <f t="shared" ca="1" si="169"/>
        <v/>
      </c>
      <c r="K315" s="452" t="str">
        <f t="shared" ca="1" si="169"/>
        <v/>
      </c>
      <c r="L315" s="452" t="str">
        <f t="shared" ca="1" si="169"/>
        <v/>
      </c>
      <c r="M315" s="452" t="str">
        <f t="shared" ca="1" si="169"/>
        <v/>
      </c>
      <c r="N315" s="452" t="str">
        <f t="shared" ca="1" si="169"/>
        <v/>
      </c>
      <c r="O315" s="452" t="str">
        <f t="shared" ca="1" si="169"/>
        <v/>
      </c>
      <c r="P315" s="452" t="str">
        <f t="shared" ca="1" si="169"/>
        <v/>
      </c>
      <c r="Q315" s="452" t="str">
        <f t="shared" ca="1" si="169"/>
        <v/>
      </c>
      <c r="R315" s="452" t="str">
        <f t="shared" ca="1" si="169"/>
        <v/>
      </c>
      <c r="S315" s="452" t="str">
        <f t="shared" ca="1" si="169"/>
        <v/>
      </c>
      <c r="T315" s="452" t="str">
        <f t="shared" ca="1" si="169"/>
        <v/>
      </c>
      <c r="U315" s="452" t="str">
        <f t="shared" ca="1" si="169"/>
        <v/>
      </c>
      <c r="V315" s="452" t="str">
        <f t="shared" ca="1" si="169"/>
        <v/>
      </c>
      <c r="W315" s="452" t="str">
        <f t="shared" ca="1" si="169"/>
        <v/>
      </c>
      <c r="X315" s="452" t="str">
        <f t="shared" ca="1" si="169"/>
        <v/>
      </c>
      <c r="Y315" s="452" t="str">
        <f t="shared" ca="1" si="169"/>
        <v/>
      </c>
      <c r="Z315" s="452" t="str">
        <f t="shared" ca="1" si="169"/>
        <v/>
      </c>
      <c r="AA315" s="452" t="str">
        <f t="shared" ca="1" si="169"/>
        <v/>
      </c>
      <c r="AB315" s="452" t="str">
        <f t="shared" ca="1" si="169"/>
        <v/>
      </c>
      <c r="AC315" s="452" t="str">
        <f t="shared" ca="1" si="169"/>
        <v/>
      </c>
      <c r="AD315" s="452" t="str">
        <f t="shared" ca="1" si="169"/>
        <v/>
      </c>
      <c r="AE315" s="452" t="str">
        <f t="shared" ca="1" si="169"/>
        <v/>
      </c>
      <c r="AF315" s="452" t="str">
        <f t="shared" ca="1" si="169"/>
        <v/>
      </c>
      <c r="AG315" s="452" t="str">
        <f t="shared" ca="1" si="169"/>
        <v/>
      </c>
      <c r="AH315" s="452" t="str">
        <f t="shared" ca="1" si="169"/>
        <v/>
      </c>
      <c r="AI315" s="452" t="str">
        <f t="shared" ca="1" si="169"/>
        <v/>
      </c>
      <c r="AJ315" s="452" t="str">
        <f t="shared" ca="1" si="169"/>
        <v/>
      </c>
      <c r="AK315" s="452" t="str">
        <f t="shared" ref="AK315:BB315" ca="1" si="170">IFERROR(ADDRESS(ROW(貼付け_2024実績)+99,AK289+COLUMN(貼付け_2024実績),4),"")</f>
        <v/>
      </c>
      <c r="AL315" s="452" t="str">
        <f t="shared" ca="1" si="170"/>
        <v/>
      </c>
      <c r="AM315" s="452" t="str">
        <f t="shared" ca="1" si="170"/>
        <v/>
      </c>
      <c r="AN315" s="452" t="str">
        <f t="shared" ca="1" si="170"/>
        <v/>
      </c>
      <c r="AO315" s="452" t="str">
        <f t="shared" ca="1" si="170"/>
        <v/>
      </c>
      <c r="AP315" s="452" t="str">
        <f t="shared" ca="1" si="170"/>
        <v/>
      </c>
      <c r="AQ315" s="452" t="str">
        <f t="shared" ca="1" si="170"/>
        <v/>
      </c>
      <c r="AR315" s="452" t="str">
        <f t="shared" ca="1" si="170"/>
        <v/>
      </c>
      <c r="AS315" s="452" t="str">
        <f t="shared" ca="1" si="170"/>
        <v/>
      </c>
      <c r="AT315" s="452" t="str">
        <f t="shared" ca="1" si="170"/>
        <v/>
      </c>
      <c r="AU315" s="452" t="str">
        <f t="shared" ca="1" si="170"/>
        <v/>
      </c>
      <c r="AV315" s="452" t="str">
        <f t="shared" ca="1" si="170"/>
        <v/>
      </c>
      <c r="AW315" s="452" t="str">
        <f t="shared" ca="1" si="170"/>
        <v/>
      </c>
      <c r="AX315" s="452" t="str">
        <f t="shared" ca="1" si="170"/>
        <v/>
      </c>
      <c r="AY315" s="452" t="str">
        <f t="shared" ca="1" si="170"/>
        <v/>
      </c>
      <c r="AZ315" s="452" t="str">
        <f t="shared" ca="1" si="170"/>
        <v/>
      </c>
      <c r="BA315" s="452" t="str">
        <f t="shared" ca="1" si="170"/>
        <v/>
      </c>
      <c r="BB315" s="452" t="str">
        <f t="shared" ca="1" si="170"/>
        <v/>
      </c>
    </row>
  </sheetData>
  <sheetProtection formatRows="0"/>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8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非表示_リスト!$G$11:$H$11</xm:f>
          </x14:formula1>
          <xm:sqref>H12</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showErrorMessage="1">
          <x14:formula1>
            <xm:f>非表示_リスト!$G$51:$H$51</xm:f>
          </x14:formula1>
          <xm:sqref>N11</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x14:formula1>
            <xm:f>非表示_リスト!$G$31:$L$31</xm:f>
          </x14:formula1>
          <xm:sqref>L10</xm:sqref>
        </x14:dataValidation>
        <x14:dataValidation type="list" allowBlank="1" showInputMessage="1">
          <x14:formula1>
            <xm:f>非表示_リスト!$G$36:$L$36</xm:f>
          </x14:formula1>
          <xm:sqref>L11</xm:sqref>
        </x14:dataValidation>
        <x14:dataValidation type="list" allowBlank="1" showInputMessage="1">
          <x14:formula1>
            <xm:f>非表示_リスト!$G$32:$L$32</xm:f>
          </x14:formula1>
          <xm:sqref>M10</xm:sqref>
        </x14:dataValidation>
        <x14:dataValidation type="list" allowBlank="1" showInputMessage="1">
          <x14:formula1>
            <xm:f>非表示_リスト!$G$37:$L$37</xm:f>
          </x14:formula1>
          <xm:sqref>M11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customWidth="1"/>
    <col min="4" max="4" width="9.5" style="881" customWidth="1"/>
    <col min="5" max="10" width="11.59765625" style="881" customWidth="1"/>
    <col min="11" max="210" width="9" style="881" hidden="1" customWidth="1" outlineLevel="1"/>
    <col min="211" max="211" width="8.59765625" style="881" customWidth="1" collapsed="1"/>
    <col min="212" max="218" width="8.59765625" style="881" customWidth="1"/>
    <col min="219" max="219" width="9" style="881"/>
    <col min="220" max="220" width="5.19921875" style="881" customWidth="1"/>
    <col min="221" max="236" width="11.8984375" style="881" customWidth="1"/>
    <col min="237" max="238" width="9" style="881"/>
    <col min="239" max="242" width="9" style="882" hidden="1" customWidth="1"/>
    <col min="243" max="16384" width="9" style="881"/>
  </cols>
  <sheetData>
    <row r="1" spans="1:242" ht="39.9" customHeight="1">
      <c r="A1" s="877" t="s">
        <v>648</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L1" s="1194" t="s">
        <v>448</v>
      </c>
      <c r="HM1" s="364"/>
    </row>
    <row r="2" spans="1:242" ht="26.4">
      <c r="A2" s="883" t="s">
        <v>1669</v>
      </c>
      <c r="B2" s="1182" t="s">
        <v>1679</v>
      </c>
      <c r="C2" s="884"/>
      <c r="D2" s="885"/>
      <c r="E2" s="885"/>
      <c r="F2" s="886"/>
      <c r="G2" s="887"/>
      <c r="H2" s="888"/>
      <c r="I2" s="884"/>
      <c r="J2" s="885"/>
      <c r="K2" s="879"/>
      <c r="L2" s="879"/>
      <c r="M2" s="879"/>
      <c r="N2" s="879"/>
      <c r="O2" s="879"/>
      <c r="P2" s="88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c r="CR2" s="879"/>
      <c r="CS2" s="879"/>
      <c r="CT2" s="879"/>
      <c r="CU2" s="879"/>
      <c r="CV2" s="879"/>
      <c r="CW2" s="879"/>
      <c r="CX2" s="879"/>
      <c r="CY2" s="879"/>
      <c r="CZ2" s="879"/>
      <c r="DA2" s="879"/>
      <c r="DB2" s="879"/>
      <c r="DC2" s="879"/>
      <c r="DD2" s="879"/>
      <c r="DE2" s="879"/>
      <c r="DF2" s="879"/>
      <c r="DG2" s="879"/>
      <c r="DH2" s="879"/>
      <c r="DI2" s="879"/>
      <c r="DJ2" s="879"/>
      <c r="DK2" s="879"/>
      <c r="DL2" s="879"/>
      <c r="DM2" s="879"/>
      <c r="DN2" s="879"/>
      <c r="DO2" s="879"/>
      <c r="DP2" s="879"/>
      <c r="DQ2" s="879"/>
      <c r="DR2" s="879"/>
      <c r="DS2" s="879"/>
      <c r="DT2" s="879"/>
      <c r="DU2" s="879"/>
      <c r="DV2" s="879"/>
      <c r="DW2" s="879"/>
      <c r="DX2" s="879"/>
      <c r="DY2" s="879"/>
      <c r="DZ2" s="879"/>
      <c r="EA2" s="879"/>
      <c r="EB2" s="879"/>
      <c r="EC2" s="879"/>
      <c r="ED2" s="879"/>
      <c r="EE2" s="879"/>
      <c r="EF2" s="879"/>
      <c r="EG2" s="879"/>
      <c r="EH2" s="879"/>
      <c r="EI2" s="879"/>
      <c r="EJ2" s="879"/>
      <c r="EK2" s="879"/>
      <c r="EL2" s="879"/>
      <c r="EM2" s="879"/>
      <c r="EN2" s="879"/>
      <c r="EO2" s="879"/>
      <c r="EP2" s="879"/>
      <c r="EQ2" s="879"/>
      <c r="ER2" s="879"/>
      <c r="ES2" s="879"/>
      <c r="ET2" s="879"/>
      <c r="EU2" s="879"/>
      <c r="EV2" s="879"/>
      <c r="EW2" s="879"/>
      <c r="EX2" s="879"/>
      <c r="EY2" s="879"/>
      <c r="EZ2" s="879"/>
      <c r="FA2" s="879"/>
      <c r="FB2" s="879"/>
      <c r="FC2" s="879"/>
      <c r="FD2" s="879"/>
      <c r="FE2" s="879"/>
      <c r="FF2" s="879"/>
      <c r="FG2" s="879"/>
      <c r="FH2" s="879"/>
      <c r="FI2" s="879"/>
      <c r="FJ2" s="879"/>
      <c r="FK2" s="879"/>
      <c r="FL2" s="879"/>
      <c r="FM2" s="879"/>
      <c r="FN2" s="879"/>
      <c r="FO2" s="879"/>
      <c r="FP2" s="879"/>
      <c r="FQ2" s="879"/>
      <c r="FR2" s="879"/>
      <c r="FS2" s="879"/>
      <c r="FT2" s="879"/>
      <c r="FU2" s="879"/>
      <c r="FV2" s="879"/>
      <c r="FW2" s="879"/>
      <c r="FX2" s="879"/>
      <c r="FY2" s="879"/>
      <c r="FZ2" s="879"/>
      <c r="GA2" s="879"/>
      <c r="GB2" s="879"/>
      <c r="GC2" s="879"/>
      <c r="GD2" s="879"/>
      <c r="GE2" s="879"/>
      <c r="GF2" s="879"/>
      <c r="GG2" s="879"/>
      <c r="GH2" s="879"/>
      <c r="GI2" s="879"/>
      <c r="GJ2" s="879"/>
      <c r="GK2" s="879"/>
      <c r="GL2" s="879"/>
      <c r="GM2" s="879"/>
      <c r="GN2" s="879"/>
      <c r="GO2" s="879"/>
      <c r="GP2" s="879"/>
      <c r="GQ2" s="879"/>
      <c r="GR2" s="879"/>
      <c r="GS2" s="879"/>
      <c r="GT2" s="879"/>
      <c r="GU2" s="879"/>
      <c r="GV2" s="879"/>
      <c r="GW2" s="879"/>
      <c r="GX2" s="879"/>
      <c r="GY2" s="879"/>
      <c r="GZ2" s="879"/>
      <c r="HA2" s="879"/>
      <c r="HB2" s="879"/>
      <c r="HC2" s="879"/>
      <c r="HD2" s="879"/>
      <c r="HE2" s="879"/>
      <c r="HF2" s="879"/>
      <c r="HG2" s="879"/>
      <c r="HH2" s="879"/>
      <c r="HI2" s="879"/>
      <c r="HJ2" s="879"/>
      <c r="HK2" s="879"/>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91"/>
      <c r="O3" s="879"/>
      <c r="P3" s="892"/>
      <c r="Q3" s="879"/>
      <c r="R3" s="879"/>
      <c r="S3" s="363"/>
      <c r="T3"/>
      <c r="V3" s="1042"/>
      <c r="W3" s="891"/>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1042"/>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91"/>
      <c r="N5" s="879"/>
      <c r="O5" s="879"/>
      <c r="P5" s="892"/>
      <c r="Q5" s="879"/>
      <c r="R5" s="879"/>
      <c r="S5" s="879"/>
      <c r="T5" s="879"/>
      <c r="V5" s="1042"/>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375" t="s">
        <v>1674</v>
      </c>
      <c r="C6" s="1375"/>
      <c r="D6" s="1375"/>
      <c r="E6" s="1375"/>
      <c r="F6" s="1375"/>
      <c r="G6" s="1375"/>
      <c r="H6" s="1375"/>
      <c r="I6" s="1375"/>
      <c r="J6" s="1376"/>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1912</v>
      </c>
      <c r="B7" s="898"/>
      <c r="C7" s="899"/>
      <c r="D7" s="899"/>
      <c r="E7" s="900"/>
      <c r="F7" s="899"/>
      <c r="G7" s="899"/>
      <c r="H7" s="899"/>
      <c r="I7" s="899"/>
      <c r="J7" s="899"/>
      <c r="K7" s="899"/>
      <c r="L7" s="899"/>
      <c r="M7" s="899"/>
      <c r="N7" s="899"/>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9"/>
      <c r="CT7" s="899"/>
      <c r="CU7" s="899"/>
      <c r="CV7" s="899"/>
      <c r="CW7" s="899"/>
      <c r="CX7" s="899"/>
      <c r="CY7" s="899"/>
      <c r="CZ7" s="899"/>
      <c r="DA7" s="899"/>
      <c r="DB7" s="899"/>
      <c r="DC7" s="899"/>
      <c r="DD7" s="899"/>
      <c r="DE7" s="899"/>
      <c r="DF7" s="899"/>
      <c r="DG7" s="899"/>
      <c r="DH7" s="899"/>
      <c r="DI7" s="899"/>
      <c r="DJ7" s="899"/>
      <c r="DK7" s="899"/>
      <c r="DL7" s="899"/>
      <c r="DM7" s="899"/>
      <c r="DN7" s="899"/>
      <c r="DO7" s="899"/>
      <c r="DP7" s="899"/>
      <c r="DQ7" s="899"/>
      <c r="DR7" s="899"/>
      <c r="DS7" s="899"/>
      <c r="DT7" s="899"/>
      <c r="DU7" s="899"/>
      <c r="DV7" s="899"/>
      <c r="DW7" s="899"/>
      <c r="DX7" s="899"/>
      <c r="DY7" s="899"/>
      <c r="DZ7" s="899"/>
      <c r="EA7" s="899"/>
      <c r="EB7" s="899"/>
      <c r="EC7" s="899"/>
      <c r="ED7" s="899"/>
      <c r="EE7" s="899"/>
      <c r="EF7" s="899"/>
      <c r="EG7" s="899"/>
      <c r="EH7" s="899"/>
      <c r="EI7" s="899"/>
      <c r="EJ7" s="899"/>
      <c r="EK7" s="899"/>
      <c r="EL7" s="899"/>
      <c r="EM7" s="899"/>
      <c r="EN7" s="899"/>
      <c r="EO7" s="899"/>
      <c r="EP7" s="899"/>
      <c r="EQ7" s="899"/>
      <c r="ER7" s="899"/>
      <c r="ES7" s="899"/>
      <c r="ET7" s="899"/>
      <c r="EU7" s="899"/>
      <c r="EV7" s="899"/>
      <c r="EW7" s="899"/>
      <c r="EX7" s="899"/>
      <c r="EY7" s="899"/>
      <c r="EZ7" s="899"/>
      <c r="FA7" s="899"/>
      <c r="FB7" s="899"/>
      <c r="FC7" s="899"/>
      <c r="FD7" s="899"/>
      <c r="FE7" s="899"/>
      <c r="FF7" s="899"/>
      <c r="FG7" s="899"/>
      <c r="FH7" s="899"/>
      <c r="FI7" s="899"/>
      <c r="FJ7" s="899"/>
      <c r="FK7" s="899"/>
      <c r="FL7" s="899"/>
      <c r="FM7" s="899"/>
      <c r="FN7" s="899"/>
      <c r="FO7" s="899"/>
      <c r="FP7" s="899"/>
      <c r="FQ7" s="899"/>
      <c r="FR7" s="899"/>
      <c r="FS7" s="899"/>
      <c r="FT7" s="899"/>
      <c r="FU7" s="899"/>
      <c r="FV7" s="899"/>
      <c r="FW7" s="899"/>
      <c r="FX7" s="899"/>
      <c r="FY7" s="899"/>
      <c r="FZ7" s="899"/>
      <c r="GA7" s="899"/>
      <c r="GB7" s="899"/>
      <c r="GC7" s="899"/>
      <c r="GD7" s="899"/>
      <c r="GE7" s="899"/>
      <c r="GF7" s="899"/>
      <c r="GG7" s="899"/>
      <c r="GH7" s="899"/>
      <c r="GI7" s="899"/>
      <c r="GJ7" s="899"/>
      <c r="GK7" s="899"/>
      <c r="GL7" s="899"/>
      <c r="GM7" s="899"/>
      <c r="GN7" s="899"/>
      <c r="GO7" s="899"/>
      <c r="GP7" s="899"/>
      <c r="GQ7" s="899"/>
      <c r="GR7" s="899"/>
      <c r="GS7" s="899"/>
      <c r="GT7" s="899"/>
      <c r="GU7" s="899"/>
      <c r="GV7" s="899"/>
      <c r="GW7" s="899"/>
      <c r="GX7" s="899"/>
      <c r="GY7" s="899"/>
      <c r="GZ7" s="899"/>
      <c r="HA7" s="899"/>
      <c r="HB7" s="899"/>
      <c r="HL7" s="898" t="s">
        <v>455</v>
      </c>
      <c r="HM7" s="898"/>
      <c r="HN7" s="899"/>
      <c r="HO7" s="902"/>
      <c r="HP7" s="902"/>
      <c r="HQ7" s="903"/>
      <c r="HR7" s="902"/>
      <c r="HS7" s="902"/>
      <c r="HT7" s="902"/>
      <c r="HU7" s="903"/>
      <c r="HV7" s="902"/>
      <c r="HW7" s="902"/>
      <c r="HX7" s="902"/>
      <c r="HY7" s="903"/>
      <c r="HZ7" s="902"/>
      <c r="IA7" s="902"/>
      <c r="IB7" s="903"/>
    </row>
    <row r="8" spans="1:242" s="889" customFormat="1" ht="27" thickBot="1">
      <c r="A8" s="881"/>
      <c r="B8" s="904" t="s">
        <v>649</v>
      </c>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1377" t="s">
        <v>457</v>
      </c>
      <c r="HM8" s="1379" t="s">
        <v>458</v>
      </c>
      <c r="HN8" s="1380"/>
      <c r="HO8" s="1380"/>
      <c r="HP8" s="1381"/>
      <c r="HQ8" s="1379" t="s">
        <v>459</v>
      </c>
      <c r="HR8" s="1380"/>
      <c r="HS8" s="1380"/>
      <c r="HT8" s="1381"/>
      <c r="HU8" s="1379" t="s">
        <v>460</v>
      </c>
      <c r="HV8" s="1380"/>
      <c r="HW8" s="1380"/>
      <c r="HX8" s="1381"/>
      <c r="HY8" s="1384" t="s">
        <v>461</v>
      </c>
      <c r="HZ8" s="1385"/>
      <c r="IA8" s="1385"/>
      <c r="IB8" s="1386"/>
      <c r="IE8" s="882" t="s">
        <v>462</v>
      </c>
      <c r="IF8" s="882"/>
      <c r="IG8" s="882"/>
      <c r="IH8" s="882"/>
    </row>
    <row r="9" spans="1:242" s="889" customFormat="1" ht="69.599999999999994" customHeight="1" thickBot="1">
      <c r="B9" s="573" t="s">
        <v>1678</v>
      </c>
      <c r="C9" s="574"/>
      <c r="D9" s="575" t="s">
        <v>1192</v>
      </c>
      <c r="E9" s="576" t="s">
        <v>1193</v>
      </c>
      <c r="F9" s="577" t="s">
        <v>1837</v>
      </c>
      <c r="G9" s="578" t="s">
        <v>1194</v>
      </c>
      <c r="H9" s="579"/>
      <c r="I9" s="578" t="s">
        <v>1195</v>
      </c>
      <c r="J9" s="579"/>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387" t="s">
        <v>463</v>
      </c>
      <c r="HD9" s="1388"/>
      <c r="HE9" s="1389" t="s">
        <v>464</v>
      </c>
      <c r="HF9" s="1390"/>
      <c r="HG9" s="1391" t="s">
        <v>459</v>
      </c>
      <c r="HH9" s="1389"/>
      <c r="HI9" s="1389"/>
      <c r="HJ9" s="1392"/>
      <c r="HL9" s="1378"/>
      <c r="HM9" s="905" t="s">
        <v>465</v>
      </c>
      <c r="HN9" s="1382" t="s">
        <v>1629</v>
      </c>
      <c r="HO9" s="1383"/>
      <c r="HP9" s="906" t="s">
        <v>466</v>
      </c>
      <c r="HQ9" s="905" t="s">
        <v>465</v>
      </c>
      <c r="HR9" s="1382" t="s">
        <v>1629</v>
      </c>
      <c r="HS9" s="1383"/>
      <c r="HT9" s="906" t="s">
        <v>466</v>
      </c>
      <c r="HU9" s="905" t="s">
        <v>465</v>
      </c>
      <c r="HV9" s="1382" t="s">
        <v>1629</v>
      </c>
      <c r="HW9" s="1383"/>
      <c r="HX9" s="906" t="s">
        <v>466</v>
      </c>
      <c r="HY9" s="905" t="s">
        <v>465</v>
      </c>
      <c r="HZ9" s="1382" t="s">
        <v>1629</v>
      </c>
      <c r="IA9" s="1383"/>
      <c r="IB9" s="906" t="s">
        <v>466</v>
      </c>
      <c r="IE9" s="882" t="s">
        <v>467</v>
      </c>
      <c r="IF9" s="882" t="s">
        <v>459</v>
      </c>
      <c r="IG9" s="882" t="s">
        <v>460</v>
      </c>
      <c r="IH9" s="882" t="s">
        <v>461</v>
      </c>
    </row>
    <row r="10" spans="1:242" s="889" customFormat="1" ht="19.95" customHeight="1">
      <c r="B10" s="587" t="s">
        <v>468</v>
      </c>
      <c r="C10" s="588"/>
      <c r="D10" s="589"/>
      <c r="E10" s="589"/>
      <c r="F10" s="589"/>
      <c r="G10" s="590" t="s">
        <v>1198</v>
      </c>
      <c r="H10" s="591"/>
      <c r="I10" s="590" t="s">
        <v>1199</v>
      </c>
      <c r="J10" s="591"/>
      <c r="K10" s="592" t="s">
        <v>1200</v>
      </c>
      <c r="L10" s="593" t="s">
        <v>1</v>
      </c>
      <c r="M10" s="594" t="s">
        <v>1</v>
      </c>
      <c r="N10" s="59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373" t="s">
        <v>469</v>
      </c>
      <c r="HD10" s="1374"/>
      <c r="HE10" s="1325" t="str">
        <f>IF(L10="","",L10)</f>
        <v/>
      </c>
      <c r="HF10" s="1326"/>
      <c r="HG10" s="1327" t="str">
        <f>IF(M10="","",M10)</f>
        <v/>
      </c>
      <c r="HH10" s="1325"/>
      <c r="HI10" s="1325"/>
      <c r="HJ10" s="1328"/>
      <c r="HL10" s="907">
        <v>1</v>
      </c>
      <c r="HM10" s="1191" t="str">
        <f t="shared" ref="HM10:HM41" ca="1" si="49">OFFSET(A1_原単位2024,6,$HL10+2)</f>
        <v/>
      </c>
      <c r="HN10" s="1199" t="str">
        <f ca="1">OFFSET(A1_原単位2025,5,HL10+2)&amp;""</f>
        <v/>
      </c>
      <c r="HO10" s="1202" t="str">
        <f t="shared" ref="HO10:HO41" ca="1" si="50">IF(HN10="","",HYPERLINK("#"&amp;IE10,"&lt;"&amp;IE10&amp;"&gt;"))</f>
        <v/>
      </c>
      <c r="HP10" s="1203" t="str">
        <f t="shared" ref="HP10:HP41" ca="1" si="51">IF(HN10="","",HYPERLINK("#"&amp;OFFSET(A1_原単位2025,66,$HL10+2),OFFSET(A1_原単位2025,62,$HL10+2)))</f>
        <v/>
      </c>
      <c r="HQ10" s="1222" t="str">
        <f t="shared" ref="HQ10:HQ41" ca="1" si="52">OFFSET(A1_原単位2024,18,$HL10+2)</f>
        <v/>
      </c>
      <c r="HR10" s="1199" t="str">
        <f ca="1">OFFSET(A1_原単位2025,17,HL10+2)&amp;""</f>
        <v/>
      </c>
      <c r="HS10" s="1202" t="str">
        <f t="shared" ref="HS10:HS41" ca="1" si="53">IF(HR10="","",HYPERLINK("#"&amp;IF10,"&lt;"&amp;IF10&amp;"&gt;"))</f>
        <v/>
      </c>
      <c r="HT10" s="1208" t="str">
        <f t="shared" ref="HT10:HT41" ca="1" si="54">IF(HR10="","",HYPERLINK("#"&amp;OFFSET(A1_原単位2025,67,$HL10+2),OFFSET(A1_原単位2025,63,$HL10+2)))</f>
        <v/>
      </c>
      <c r="HU10" s="1222" t="str">
        <f t="shared" ref="HU10:HU41" ca="1" si="55">OFFSET(A1_原単位2024,30,$HL10+2)</f>
        <v/>
      </c>
      <c r="HV10" s="1199" t="str">
        <f ca="1">OFFSET(A1_原単位2025,29,HL10+2)&amp;""</f>
        <v/>
      </c>
      <c r="HW10" s="1210" t="str">
        <f t="shared" ref="HW10:HW41" ca="1" si="56">IF(HV10="","",HYPERLINK("#"&amp;IG10,"&lt;"&amp;IG10&amp;"&gt;"))</f>
        <v/>
      </c>
      <c r="HX10" s="1208" t="str">
        <f t="shared" ref="HX10:HX41" ca="1" si="57">IF(HV10="","",HYPERLINK("#"&amp;OFFSET(A1_原単位2025,68,$HL10+2),OFFSET(A1_原単位2025,64,$HL10+2)))</f>
        <v/>
      </c>
      <c r="HY10" s="1222" t="str">
        <f t="shared" ref="HY10:HY41" ca="1" si="58">OFFSET(A1_原単位2024,42,$HL10+2)</f>
        <v/>
      </c>
      <c r="HZ10" s="1199" t="str">
        <f ca="1">OFFSET(A1_原単位2025,41,HL10+2)&amp;""</f>
        <v/>
      </c>
      <c r="IA10" s="1210" t="str">
        <f t="shared" ref="IA10:IA41" ca="1" si="59">IF(HZ10="","",HYPERLINK("#"&amp;IH10,"&lt;"&amp;IH10&amp;"&gt;"))</f>
        <v/>
      </c>
      <c r="IB10" s="1211" t="str">
        <f t="shared" ref="IB10:IB41" ca="1" si="60">IF(HZ10="","",HYPERLINK("#"&amp;OFFSET(A1_原単位2025,69,$HL10+2),OFFSET(A1_原単位2025,65,$HL10+2)))</f>
        <v/>
      </c>
      <c r="IE10" s="882" t="str">
        <f t="shared" ref="IE10:IE41" ca="1" si="61">IF($HN10="","",ADDRESS(ROW(貼付け_2025実績)+5,OFFSET(A1_原単位2025,7,$HL10+2)+COLUMN(貼付け_2025実績)+1,4))</f>
        <v/>
      </c>
      <c r="IF10" s="882" t="str">
        <f t="shared" ref="IF10:IF41" ca="1" si="62">IF($HR10="","",ADDRESS(ROW(貼付け_2025実績)+5,OFFSET(A1_原単位2025,19,$HL10+2)+COLUMN(貼付け_2025実績)+1,4))</f>
        <v/>
      </c>
      <c r="IG10" s="882" t="str">
        <f t="shared" ref="IG10:IG41" ca="1" si="63">IF($HV10="","",ADDRESS(ROW(貼付け_2025実績)+5,OFFSET(A1_原単位2025,31,$HL10+2)+COLUMN(貼付け_2025実績)+1,4))</f>
        <v/>
      </c>
      <c r="IH10" s="882" t="str">
        <f t="shared" ref="IH10:IH41" ca="1" si="64">IF($HZ10="","",ADDRESS(ROW(貼付け_2025実績)+5,OFFSET(A1_原単位2025,43,$HL10+2)+COLUMN(貼付け_2025実績)+1,4))</f>
        <v/>
      </c>
    </row>
    <row r="11" spans="1:242" s="889" customFormat="1" ht="19.95" customHeight="1">
      <c r="B11" s="597" t="s">
        <v>1201</v>
      </c>
      <c r="C11" s="598" t="s">
        <v>1202</v>
      </c>
      <c r="D11" s="599"/>
      <c r="E11" s="600" t="s">
        <v>1203</v>
      </c>
      <c r="F11" s="601"/>
      <c r="G11" s="590" t="s">
        <v>1204</v>
      </c>
      <c r="H11" s="591"/>
      <c r="I11" s="590" t="s">
        <v>1205</v>
      </c>
      <c r="J11" s="591"/>
      <c r="K11" s="592" t="s">
        <v>1206</v>
      </c>
      <c r="L11" s="593"/>
      <c r="M11" s="594" t="s">
        <v>1</v>
      </c>
      <c r="N11" s="59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373" t="s">
        <v>470</v>
      </c>
      <c r="HD11" s="1374"/>
      <c r="HE11" s="1325" t="str">
        <f t="shared" ref="HE11:HE12" si="65">IF(L11="","",L11)</f>
        <v/>
      </c>
      <c r="HF11" s="1326"/>
      <c r="HG11" s="1327" t="str">
        <f>IF(M11="","",M11)</f>
        <v/>
      </c>
      <c r="HH11" s="1325"/>
      <c r="HI11" s="1325"/>
      <c r="HJ11" s="1328"/>
      <c r="HL11" s="908">
        <v>2</v>
      </c>
      <c r="HM11" s="1192" t="str">
        <f t="shared" ca="1" si="49"/>
        <v/>
      </c>
      <c r="HN11" s="1200" t="str">
        <f ca="1">IF(COUNTIF(HN$10:HN10,OFFSET(A1_原単位2025,5,HL11+2))&gt;=1,"",OFFSET(A1_原単位2025,5,HL11+2)&amp;"")</f>
        <v/>
      </c>
      <c r="HO11" s="1204" t="str">
        <f t="shared" ca="1" si="50"/>
        <v/>
      </c>
      <c r="HP11" s="1205" t="str">
        <f t="shared" ca="1" si="51"/>
        <v/>
      </c>
      <c r="HQ11" s="1223" t="str">
        <f t="shared" ca="1" si="52"/>
        <v/>
      </c>
      <c r="HR11" s="1200" t="str">
        <f ca="1">IF(COUNTIF(HR$10:HR10,OFFSET(A1_原単位2025,17,HL11+2))&gt;=1,"",OFFSET(A1_原単位2025,17,HL11+2)&amp;"")</f>
        <v/>
      </c>
      <c r="HS11" s="1212" t="str">
        <f t="shared" ca="1" si="53"/>
        <v/>
      </c>
      <c r="HT11" s="1213" t="str">
        <f t="shared" ca="1" si="54"/>
        <v/>
      </c>
      <c r="HU11" s="1223" t="str">
        <f t="shared" ca="1" si="55"/>
        <v/>
      </c>
      <c r="HV11" s="1200" t="str">
        <f ca="1">IF(COUNTIF(HV$10:HV10,OFFSET(A1_原単位2025,29,HL11+2))&gt;=1,"",OFFSET(A1_原単位2025,29,HL11+2)&amp;"")</f>
        <v/>
      </c>
      <c r="HW11" s="1212" t="str">
        <f t="shared" ca="1" si="56"/>
        <v/>
      </c>
      <c r="HX11" s="1213" t="str">
        <f t="shared" ca="1" si="57"/>
        <v/>
      </c>
      <c r="HY11" s="1223" t="str">
        <f t="shared" ca="1" si="58"/>
        <v/>
      </c>
      <c r="HZ11" s="1200" t="str">
        <f ca="1">IF(COUNTIF(HZ$10:HZ10,OFFSET(A1_原単位2025,41,HL11+2))&gt;=1,"",OFFSET(A1_原単位2025,41,HL11+2)&amp;"")</f>
        <v/>
      </c>
      <c r="IA11" s="1215" t="str">
        <f t="shared" ca="1" si="59"/>
        <v/>
      </c>
      <c r="IB11" s="1216" t="str">
        <f t="shared" ca="1" si="60"/>
        <v/>
      </c>
      <c r="IE11" s="882" t="str">
        <f t="shared" ca="1" si="61"/>
        <v/>
      </c>
      <c r="IF11" s="882" t="str">
        <f t="shared" ca="1" si="62"/>
        <v/>
      </c>
      <c r="IG11" s="882" t="str">
        <f t="shared" ca="1" si="63"/>
        <v/>
      </c>
      <c r="IH11" s="882" t="str">
        <f t="shared" ca="1" si="64"/>
        <v/>
      </c>
    </row>
    <row r="12" spans="1:242" s="889" customFormat="1" ht="19.95" customHeight="1" thickBot="1">
      <c r="B12" s="603" t="s">
        <v>471</v>
      </c>
      <c r="C12" s="604"/>
      <c r="D12" s="605"/>
      <c r="E12" s="606"/>
      <c r="F12" s="607"/>
      <c r="G12" s="608" t="s">
        <v>1207</v>
      </c>
      <c r="H12" s="609"/>
      <c r="I12" s="610"/>
      <c r="J12" s="611"/>
      <c r="K12" s="612" t="s">
        <v>472</v>
      </c>
      <c r="L12" s="613" t="s">
        <v>1</v>
      </c>
      <c r="M12" s="614" t="s">
        <v>1</v>
      </c>
      <c r="N12" s="615"/>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359" t="s">
        <v>472</v>
      </c>
      <c r="HD12" s="1360"/>
      <c r="HE12" s="1316" t="str">
        <f t="shared" si="65"/>
        <v/>
      </c>
      <c r="HF12" s="1317"/>
      <c r="HG12" s="1318" t="str">
        <f>IF(M12="","",M12)</f>
        <v/>
      </c>
      <c r="HH12" s="1316"/>
      <c r="HI12" s="1316"/>
      <c r="HJ12" s="1319"/>
      <c r="HL12" s="907">
        <v>3</v>
      </c>
      <c r="HM12" s="1192" t="str">
        <f t="shared" ca="1" si="49"/>
        <v/>
      </c>
      <c r="HN12" s="1200" t="str">
        <f ca="1">IF(COUNTIF(HN$10:HN11,OFFSET(A1_原単位2025,5,HL12+2))&gt;=1,"",OFFSET(A1_原単位2025,5,HL12+2)&amp;"")</f>
        <v/>
      </c>
      <c r="HO12" s="1204" t="str">
        <f t="shared" ca="1" si="50"/>
        <v/>
      </c>
      <c r="HP12" s="1205" t="str">
        <f t="shared" ca="1" si="51"/>
        <v/>
      </c>
      <c r="HQ12" s="1223" t="str">
        <f t="shared" ca="1" si="52"/>
        <v/>
      </c>
      <c r="HR12" s="1200" t="str">
        <f ca="1">IF(COUNTIF(HR$10:HR11,OFFSET(A1_原単位2025,17,HL12+2))&gt;=1,"",OFFSET(A1_原単位2025,17,HL12+2)&amp;"")</f>
        <v/>
      </c>
      <c r="HS12" s="1212" t="str">
        <f t="shared" ca="1" si="53"/>
        <v/>
      </c>
      <c r="HT12" s="1213" t="str">
        <f t="shared" ca="1" si="54"/>
        <v/>
      </c>
      <c r="HU12" s="1223" t="str">
        <f t="shared" ca="1" si="55"/>
        <v/>
      </c>
      <c r="HV12" s="1200" t="str">
        <f ca="1">IF(COUNTIF(HV$10:HV11,OFFSET(A1_原単位2025,29,HL12+2))&gt;=1,"",OFFSET(A1_原単位2025,29,HL12+2)&amp;"")</f>
        <v/>
      </c>
      <c r="HW12" s="1212" t="str">
        <f t="shared" ca="1" si="56"/>
        <v/>
      </c>
      <c r="HX12" s="1213" t="str">
        <f t="shared" ca="1" si="57"/>
        <v/>
      </c>
      <c r="HY12" s="1223" t="str">
        <f t="shared" ca="1" si="58"/>
        <v/>
      </c>
      <c r="HZ12" s="1200" t="str">
        <f ca="1">IF(COUNTIF(HZ$10:HZ11,OFFSET(A1_原単位2025,41,HL12+2))&gt;=1,"",OFFSET(A1_原単位2025,41,HL12+2)&amp;"")</f>
        <v/>
      </c>
      <c r="IA12" s="1215" t="str">
        <f t="shared" ca="1" si="59"/>
        <v/>
      </c>
      <c r="IB12" s="1216" t="str">
        <f t="shared" ca="1" si="60"/>
        <v/>
      </c>
      <c r="IE12" s="882" t="str">
        <f t="shared" ca="1" si="61"/>
        <v/>
      </c>
      <c r="IF12" s="882" t="str">
        <f t="shared" ca="1" si="62"/>
        <v/>
      </c>
      <c r="IG12" s="882" t="str">
        <f t="shared" ca="1" si="63"/>
        <v/>
      </c>
      <c r="IH12" s="882" t="str">
        <f t="shared" ca="1" si="64"/>
        <v/>
      </c>
    </row>
    <row r="13" spans="1:242" s="889" customFormat="1" ht="19.95"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361" t="s">
        <v>464</v>
      </c>
      <c r="HD13" s="1362"/>
      <c r="HE13" s="1362"/>
      <c r="HF13" s="1363"/>
      <c r="HG13" s="1361" t="s">
        <v>459</v>
      </c>
      <c r="HH13" s="1362"/>
      <c r="HI13" s="1362"/>
      <c r="HJ13" s="1363"/>
      <c r="HL13" s="908">
        <v>4</v>
      </c>
      <c r="HM13" s="1192" t="str">
        <f t="shared" ca="1" si="49"/>
        <v/>
      </c>
      <c r="HN13" s="1200" t="str">
        <f ca="1">IF(COUNTIF(HN$10:HN12,OFFSET(A1_原単位2025,5,HL13+2))&gt;=1,"",OFFSET(A1_原単位2025,5,HL13+2)&amp;"")</f>
        <v/>
      </c>
      <c r="HO13" s="1204" t="str">
        <f t="shared" ca="1" si="50"/>
        <v/>
      </c>
      <c r="HP13" s="1205" t="str">
        <f t="shared" ca="1" si="51"/>
        <v/>
      </c>
      <c r="HQ13" s="1223" t="str">
        <f t="shared" ca="1" si="52"/>
        <v/>
      </c>
      <c r="HR13" s="1200" t="str">
        <f ca="1">IF(COUNTIF(HR$10:HR12,OFFSET(A1_原単位2025,17,HL13+2))&gt;=1,"",OFFSET(A1_原単位2025,17,HL13+2)&amp;"")</f>
        <v/>
      </c>
      <c r="HS13" s="1212" t="str">
        <f t="shared" ca="1" si="53"/>
        <v/>
      </c>
      <c r="HT13" s="1213" t="str">
        <f t="shared" ca="1" si="54"/>
        <v/>
      </c>
      <c r="HU13" s="1223" t="str">
        <f t="shared" ca="1" si="55"/>
        <v/>
      </c>
      <c r="HV13" s="1200" t="str">
        <f ca="1">IF(COUNTIF(HV$10:HV12,OFFSET(A1_原単位2025,29,HL13+2))&gt;=1,"",OFFSET(A1_原単位2025,29,HL13+2)&amp;"")</f>
        <v/>
      </c>
      <c r="HW13" s="1212" t="str">
        <f t="shared" ca="1" si="56"/>
        <v/>
      </c>
      <c r="HX13" s="1213" t="str">
        <f t="shared" ca="1" si="57"/>
        <v/>
      </c>
      <c r="HY13" s="1223" t="str">
        <f t="shared" ca="1" si="58"/>
        <v/>
      </c>
      <c r="HZ13" s="1200" t="str">
        <f ca="1">IF(COUNTIF(HZ$10:HZ12,OFFSET(A1_原単位2025,41,HL13+2))&gt;=1,"",OFFSET(A1_原単位2025,41,HL13+2)&amp;"")</f>
        <v/>
      </c>
      <c r="IA13" s="1215" t="str">
        <f t="shared" ca="1" si="59"/>
        <v/>
      </c>
      <c r="IB13" s="1216" t="str">
        <f t="shared" ca="1" si="60"/>
        <v/>
      </c>
      <c r="IE13" s="882" t="str">
        <f t="shared" ca="1" si="61"/>
        <v/>
      </c>
      <c r="IF13" s="882" t="str">
        <f t="shared" ca="1" si="62"/>
        <v/>
      </c>
      <c r="IG13" s="882" t="str">
        <f t="shared" ca="1" si="63"/>
        <v/>
      </c>
      <c r="IH13" s="882" t="str">
        <f t="shared" ca="1" si="64"/>
        <v/>
      </c>
    </row>
    <row r="14" spans="1:242" s="889" customFormat="1" ht="19.95"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364" t="s">
        <v>518</v>
      </c>
      <c r="HD14" s="1365"/>
      <c r="HE14" s="1195">
        <f ca="1">参考2_エネ使用量経年!M95</f>
        <v>0</v>
      </c>
      <c r="HF14" s="909" t="s">
        <v>519</v>
      </c>
      <c r="HG14" s="1364" t="s">
        <v>518</v>
      </c>
      <c r="HH14" s="1365"/>
      <c r="HI14" s="1195">
        <f ca="1">参考2_エネ使用量経年!U95</f>
        <v>0</v>
      </c>
      <c r="HJ14" s="909" t="s">
        <v>519</v>
      </c>
      <c r="HL14" s="907">
        <v>5</v>
      </c>
      <c r="HM14" s="1192" t="str">
        <f t="shared" ca="1" si="49"/>
        <v/>
      </c>
      <c r="HN14" s="1200" t="str">
        <f ca="1">IF(COUNTIF(HN$10:HN13,OFFSET(A1_原単位2025,5,HL14+2))&gt;=1,"",OFFSET(A1_原単位2025,5,HL14+2)&amp;"")</f>
        <v/>
      </c>
      <c r="HO14" s="1204" t="str">
        <f t="shared" ca="1" si="50"/>
        <v/>
      </c>
      <c r="HP14" s="1205" t="str">
        <f t="shared" ca="1" si="51"/>
        <v/>
      </c>
      <c r="HQ14" s="1223" t="str">
        <f t="shared" ca="1" si="52"/>
        <v/>
      </c>
      <c r="HR14" s="1200" t="str">
        <f ca="1">IF(COUNTIF(HR$10:HR13,OFFSET(A1_原単位2025,17,HL14+2))&gt;=1,"",OFFSET(A1_原単位2025,17,HL14+2)&amp;"")</f>
        <v/>
      </c>
      <c r="HS14" s="1212" t="str">
        <f t="shared" ca="1" si="53"/>
        <v/>
      </c>
      <c r="HT14" s="1213" t="str">
        <f t="shared" ca="1" si="54"/>
        <v/>
      </c>
      <c r="HU14" s="1223" t="str">
        <f t="shared" ca="1" si="55"/>
        <v/>
      </c>
      <c r="HV14" s="1200" t="str">
        <f ca="1">IF(COUNTIF(HV$10:HV13,OFFSET(A1_原単位2025,29,HL14+2))&gt;=1,"",OFFSET(A1_原単位2025,29,HL14+2)&amp;"")</f>
        <v/>
      </c>
      <c r="HW14" s="1212" t="str">
        <f t="shared" ca="1" si="56"/>
        <v/>
      </c>
      <c r="HX14" s="1213" t="str">
        <f t="shared" ca="1" si="57"/>
        <v/>
      </c>
      <c r="HY14" s="1223" t="str">
        <f t="shared" ca="1" si="58"/>
        <v/>
      </c>
      <c r="HZ14" s="1200" t="str">
        <f ca="1">IF(COUNTIF(HZ$10:HZ13,OFFSET(A1_原単位2025,41,HL14+2))&gt;=1,"",OFFSET(A1_原単位2025,41,HL14+2)&amp;"")</f>
        <v/>
      </c>
      <c r="IA14" s="1215" t="str">
        <f t="shared" ca="1" si="59"/>
        <v/>
      </c>
      <c r="IB14" s="1216" t="str">
        <f t="shared" ca="1" si="60"/>
        <v/>
      </c>
      <c r="IE14" s="882" t="str">
        <f t="shared" ca="1" si="61"/>
        <v/>
      </c>
      <c r="IF14" s="882" t="str">
        <f t="shared" ca="1" si="62"/>
        <v/>
      </c>
      <c r="IG14" s="882" t="str">
        <f t="shared" ca="1" si="63"/>
        <v/>
      </c>
      <c r="IH14" s="882" t="str">
        <f t="shared" ca="1" si="64"/>
        <v/>
      </c>
    </row>
    <row r="15" spans="1:242" s="889" customFormat="1" ht="19.95"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366" t="s">
        <v>524</v>
      </c>
      <c r="HD15" s="1367"/>
      <c r="HE15" s="1196">
        <f ca="1">参考3_排出量経年!M116</f>
        <v>0</v>
      </c>
      <c r="HF15" s="910" t="s">
        <v>525</v>
      </c>
      <c r="HG15" s="1366" t="s">
        <v>524</v>
      </c>
      <c r="HH15" s="1367"/>
      <c r="HI15" s="1196">
        <f ca="1">参考3_排出量経年!U116</f>
        <v>0</v>
      </c>
      <c r="HJ15" s="910" t="s">
        <v>525</v>
      </c>
      <c r="HL15" s="908">
        <v>6</v>
      </c>
      <c r="HM15" s="1192" t="str">
        <f t="shared" ca="1" si="49"/>
        <v/>
      </c>
      <c r="HN15" s="1200" t="str">
        <f ca="1">IF(COUNTIF(HN$10:HN14,OFFSET(A1_原単位2025,5,HL15+2))&gt;=1,"",OFFSET(A1_原単位2025,5,HL15+2)&amp;"")</f>
        <v/>
      </c>
      <c r="HO15" s="1204" t="str">
        <f t="shared" ca="1" si="50"/>
        <v/>
      </c>
      <c r="HP15" s="1205" t="str">
        <f t="shared" ca="1" si="51"/>
        <v/>
      </c>
      <c r="HQ15" s="1223" t="str">
        <f t="shared" ca="1" si="52"/>
        <v/>
      </c>
      <c r="HR15" s="1200" t="str">
        <f ca="1">IF(COUNTIF(HR$10:HR14,OFFSET(A1_原単位2025,17,HL15+2))&gt;=1,"",OFFSET(A1_原単位2025,17,HL15+2)&amp;"")</f>
        <v/>
      </c>
      <c r="HS15" s="1212" t="str">
        <f t="shared" ca="1" si="53"/>
        <v/>
      </c>
      <c r="HT15" s="1213" t="str">
        <f t="shared" ca="1" si="54"/>
        <v/>
      </c>
      <c r="HU15" s="1223" t="str">
        <f t="shared" ca="1" si="55"/>
        <v/>
      </c>
      <c r="HV15" s="1200" t="str">
        <f ca="1">IF(COUNTIF(HV$10:HV14,OFFSET(A1_原単位2025,29,HL15+2))&gt;=1,"",OFFSET(A1_原単位2025,29,HL15+2)&amp;"")</f>
        <v/>
      </c>
      <c r="HW15" s="1212" t="str">
        <f t="shared" ca="1" si="56"/>
        <v/>
      </c>
      <c r="HX15" s="1213" t="str">
        <f t="shared" ca="1" si="57"/>
        <v/>
      </c>
      <c r="HY15" s="1223" t="str">
        <f t="shared" ca="1" si="58"/>
        <v/>
      </c>
      <c r="HZ15" s="1200" t="str">
        <f ca="1">IF(COUNTIF(HZ$10:HZ14,OFFSET(A1_原単位2025,41,HL15+2))&gt;=1,"",OFFSET(A1_原単位2025,41,HL15+2)&amp;"")</f>
        <v/>
      </c>
      <c r="IA15" s="1215" t="str">
        <f t="shared" ca="1" si="59"/>
        <v/>
      </c>
      <c r="IB15" s="1216" t="str">
        <f t="shared" ca="1" si="60"/>
        <v/>
      </c>
      <c r="IE15" s="882" t="str">
        <f t="shared" ca="1" si="61"/>
        <v/>
      </c>
      <c r="IF15" s="882" t="str">
        <f t="shared" ca="1" si="62"/>
        <v/>
      </c>
      <c r="IG15" s="882" t="str">
        <f t="shared" ca="1" si="63"/>
        <v/>
      </c>
      <c r="IH15" s="882" t="str">
        <f t="shared" ca="1" si="64"/>
        <v/>
      </c>
    </row>
    <row r="16" spans="1:242" s="889" customFormat="1" ht="19.95"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192" t="str">
        <f t="shared" ca="1" si="49"/>
        <v/>
      </c>
      <c r="HN16" s="1200" t="str">
        <f ca="1">IF(COUNTIF(HN$10:HN15,OFFSET(A1_原単位2025,5,HL16+2))&gt;=1,"",OFFSET(A1_原単位2025,5,HL16+2)&amp;"")</f>
        <v/>
      </c>
      <c r="HO16" s="1204" t="str">
        <f t="shared" ca="1" si="50"/>
        <v/>
      </c>
      <c r="HP16" s="1205" t="str">
        <f t="shared" ca="1" si="51"/>
        <v/>
      </c>
      <c r="HQ16" s="1223" t="str">
        <f t="shared" ca="1" si="52"/>
        <v/>
      </c>
      <c r="HR16" s="1200" t="str">
        <f ca="1">IF(COUNTIF(HR$10:HR15,OFFSET(A1_原単位2025,17,HL16+2))&gt;=1,"",OFFSET(A1_原単位2025,17,HL16+2)&amp;"")</f>
        <v/>
      </c>
      <c r="HS16" s="1212" t="str">
        <f t="shared" ca="1" si="53"/>
        <v/>
      </c>
      <c r="HT16" s="1213" t="str">
        <f t="shared" ca="1" si="54"/>
        <v/>
      </c>
      <c r="HU16" s="1223" t="str">
        <f t="shared" ca="1" si="55"/>
        <v/>
      </c>
      <c r="HV16" s="1200" t="str">
        <f ca="1">IF(COUNTIF(HV$10:HV15,OFFSET(A1_原単位2025,29,HL16+2))&gt;=1,"",OFFSET(A1_原単位2025,29,HL16+2)&amp;"")</f>
        <v/>
      </c>
      <c r="HW16" s="1212" t="str">
        <f t="shared" ca="1" si="56"/>
        <v/>
      </c>
      <c r="HX16" s="1213" t="str">
        <f t="shared" ca="1" si="57"/>
        <v/>
      </c>
      <c r="HY16" s="1223" t="str">
        <f t="shared" ca="1" si="58"/>
        <v/>
      </c>
      <c r="HZ16" s="1200" t="str">
        <f ca="1">IF(COUNTIF(HZ$10:HZ15,OFFSET(A1_原単位2025,41,HL16+2))&gt;=1,"",OFFSET(A1_原単位2025,41,HL16+2)&amp;"")</f>
        <v/>
      </c>
      <c r="IA16" s="1215" t="str">
        <f t="shared" ca="1" si="59"/>
        <v/>
      </c>
      <c r="IB16" s="1216" t="str">
        <f t="shared" ca="1" si="60"/>
        <v/>
      </c>
      <c r="IE16" s="882" t="str">
        <f t="shared" ca="1" si="61"/>
        <v/>
      </c>
      <c r="IF16" s="882" t="str">
        <f t="shared" ca="1" si="62"/>
        <v/>
      </c>
      <c r="IG16" s="882" t="str">
        <f t="shared" ca="1" si="63"/>
        <v/>
      </c>
      <c r="IH16" s="882" t="str">
        <f t="shared" ca="1" si="64"/>
        <v/>
      </c>
    </row>
    <row r="17" spans="2:242" s="889" customFormat="1" ht="19.95"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395">
        <f>K17+O17+S17+W17+AA17+AE17+AI17+AM17+AQ17+AU17+AY17+BC17+BG17+BK17+BO17+BS17+BW17+CA17+CE17+CI17+CM17+CQ17+CU17+CY17+DC17+DG17+DK17+DO17+DS17+DW17+EA17+EE17+EI17+EM17+EQ17+EU17+EY17+FC17+FG17+FK17+FO17+FS17+FW17+GA17+GE17+GI17+GM17+GQ17+GU17+GY17</f>
        <v>0</v>
      </c>
      <c r="HD17" s="397">
        <f t="shared" ref="HD17:HE32" si="66">L17+P17+T17+X17+AB17+AF17+AJ17+AN17+AR17+AV17+AZ17+BD17+BH17+BL17+BP17+BT17+BX17+CB17+CF17+CJ17+CN17+CR17+CV17+CZ17+DD17+DH17+DL17+DP17+DT17+DX17+EB17+EF17+EJ17+EN17+ER17+EV17+EZ17+FD17+FH17+FL17+FP17+FT17+FX17+GB17+GF17+GJ17+GN17+GR17+GV17+GZ17</f>
        <v>0</v>
      </c>
      <c r="HE17" s="397">
        <f t="shared" si="66"/>
        <v>0</v>
      </c>
      <c r="HF17" s="396"/>
      <c r="HG17" s="395">
        <f>SUM(SUMIFS(K17:HB17,$K$13:$HB$13,{"エネルギー管理指定工場等*","県域*"}))</f>
        <v>0</v>
      </c>
      <c r="HH17" s="397">
        <f>SUM(SUMIFS(L17:HC17,$K$13:$HB$13,{"エネルギー管理指定工場等*","県域*"}))</f>
        <v>0</v>
      </c>
      <c r="HI17" s="397">
        <f>SUM(SUMIFS(M17:HD17,$K$13:$HB$13,{"エネルギー管理指定工場等*","県域*"}))</f>
        <v>0</v>
      </c>
      <c r="HJ17" s="396"/>
      <c r="HL17" s="907">
        <v>8</v>
      </c>
      <c r="HM17" s="1192" t="str">
        <f t="shared" ca="1" si="49"/>
        <v/>
      </c>
      <c r="HN17" s="1200" t="str">
        <f ca="1">IF(COUNTIF(HN$10:HN16,OFFSET(A1_原単位2025,5,HL17+2))&gt;=1,"",OFFSET(A1_原単位2025,5,HL17+2)&amp;"")</f>
        <v/>
      </c>
      <c r="HO17" s="1204" t="str">
        <f t="shared" ca="1" si="50"/>
        <v/>
      </c>
      <c r="HP17" s="1205" t="str">
        <f t="shared" ca="1" si="51"/>
        <v/>
      </c>
      <c r="HQ17" s="1223" t="str">
        <f t="shared" ca="1" si="52"/>
        <v/>
      </c>
      <c r="HR17" s="1200" t="str">
        <f ca="1">IF(COUNTIF(HR$10:HR16,OFFSET(A1_原単位2025,17,HL17+2))&gt;=1,"",OFFSET(A1_原単位2025,17,HL17+2)&amp;"")</f>
        <v/>
      </c>
      <c r="HS17" s="1212" t="str">
        <f t="shared" ca="1" si="53"/>
        <v/>
      </c>
      <c r="HT17" s="1213" t="str">
        <f t="shared" ca="1" si="54"/>
        <v/>
      </c>
      <c r="HU17" s="1223" t="str">
        <f t="shared" ca="1" si="55"/>
        <v/>
      </c>
      <c r="HV17" s="1200" t="str">
        <f ca="1">IF(COUNTIF(HV$10:HV16,OFFSET(A1_原単位2025,29,HL17+2))&gt;=1,"",OFFSET(A1_原単位2025,29,HL17+2)&amp;"")</f>
        <v/>
      </c>
      <c r="HW17" s="1212" t="str">
        <f t="shared" ca="1" si="56"/>
        <v/>
      </c>
      <c r="HX17" s="1213" t="str">
        <f t="shared" ca="1" si="57"/>
        <v/>
      </c>
      <c r="HY17" s="1223" t="str">
        <f t="shared" ca="1" si="58"/>
        <v/>
      </c>
      <c r="HZ17" s="1200" t="str">
        <f ca="1">IF(COUNTIF(HZ$10:HZ16,OFFSET(A1_原単位2025,41,HL17+2))&gt;=1,"",OFFSET(A1_原単位2025,41,HL17+2)&amp;"")</f>
        <v/>
      </c>
      <c r="IA17" s="1215" t="str">
        <f t="shared" ca="1" si="59"/>
        <v/>
      </c>
      <c r="IB17" s="1216" t="str">
        <f t="shared" ca="1" si="60"/>
        <v/>
      </c>
      <c r="IE17" s="882" t="str">
        <f t="shared" ca="1" si="61"/>
        <v/>
      </c>
      <c r="IF17" s="882" t="str">
        <f t="shared" ca="1" si="62"/>
        <v/>
      </c>
      <c r="IG17" s="882" t="str">
        <f t="shared" ca="1" si="63"/>
        <v/>
      </c>
      <c r="IH17" s="882" t="str">
        <f t="shared" ca="1" si="64"/>
        <v/>
      </c>
    </row>
    <row r="18" spans="2:242" s="889" customFormat="1" ht="19.95"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399">
        <f t="shared" ref="HC18:HF81" si="67">K18+O18+S18+W18+AA18+AE18+AI18+AM18+AQ18+AU18+AY18+BC18+BG18+BK18+BO18+BS18+BW18+CA18+CE18+CI18+CM18+CQ18+CU18+CY18+DC18+DG18+DK18+DO18+DS18+DW18+EA18+EE18+EI18+EM18+EQ18+EU18+EY18+FC18+FG18+FK18+FO18+FS18+FW18+GA18+GE18+GI18+GM18+GQ18+GU18+GY18</f>
        <v>0</v>
      </c>
      <c r="HD18" s="402">
        <f t="shared" si="66"/>
        <v>0</v>
      </c>
      <c r="HE18" s="402">
        <f t="shared" si="66"/>
        <v>0</v>
      </c>
      <c r="HF18" s="401"/>
      <c r="HG18" s="399">
        <f>SUM(SUMIFS(K18:HB18,$K$13:$HB$13,{"エネルギー管理指定工場等*","県域*"}))</f>
        <v>0</v>
      </c>
      <c r="HH18" s="402">
        <f>SUM(SUMIFS(L18:HC18,$K$13:$HB$13,{"エネルギー管理指定工場等*","県域*"}))</f>
        <v>0</v>
      </c>
      <c r="HI18" s="402">
        <f>SUM(SUMIFS(M18:HD18,$K$13:$HB$13,{"エネルギー管理指定工場等*","県域*"}))</f>
        <v>0</v>
      </c>
      <c r="HJ18" s="401"/>
      <c r="HL18" s="908">
        <v>9</v>
      </c>
      <c r="HM18" s="1192" t="str">
        <f t="shared" ca="1" si="49"/>
        <v/>
      </c>
      <c r="HN18" s="1200" t="str">
        <f ca="1">IF(COUNTIF(HN$10:HN17,OFFSET(A1_原単位2025,5,HL18+2))&gt;=1,"",OFFSET(A1_原単位2025,5,HL18+2)&amp;"")</f>
        <v/>
      </c>
      <c r="HO18" s="1204" t="str">
        <f t="shared" ca="1" si="50"/>
        <v/>
      </c>
      <c r="HP18" s="1205" t="str">
        <f t="shared" ca="1" si="51"/>
        <v/>
      </c>
      <c r="HQ18" s="1223" t="str">
        <f t="shared" ca="1" si="52"/>
        <v/>
      </c>
      <c r="HR18" s="1200" t="str">
        <f ca="1">IF(COUNTIF(HR$10:HR17,OFFSET(A1_原単位2025,17,HL18+2))&gt;=1,"",OFFSET(A1_原単位2025,17,HL18+2)&amp;"")</f>
        <v/>
      </c>
      <c r="HS18" s="1212" t="str">
        <f t="shared" ca="1" si="53"/>
        <v/>
      </c>
      <c r="HT18" s="1213" t="str">
        <f t="shared" ca="1" si="54"/>
        <v/>
      </c>
      <c r="HU18" s="1223" t="str">
        <f t="shared" ca="1" si="55"/>
        <v/>
      </c>
      <c r="HV18" s="1200" t="str">
        <f ca="1">IF(COUNTIF(HV$10:HV17,OFFSET(A1_原単位2025,29,HL18+2))&gt;=1,"",OFFSET(A1_原単位2025,29,HL18+2)&amp;"")</f>
        <v/>
      </c>
      <c r="HW18" s="1212" t="str">
        <f t="shared" ca="1" si="56"/>
        <v/>
      </c>
      <c r="HX18" s="1213" t="str">
        <f t="shared" ca="1" si="57"/>
        <v/>
      </c>
      <c r="HY18" s="1223" t="str">
        <f t="shared" ca="1" si="58"/>
        <v/>
      </c>
      <c r="HZ18" s="1200" t="str">
        <f ca="1">IF(COUNTIF(HZ$10:HZ17,OFFSET(A1_原単位2025,41,HL18+2))&gt;=1,"",OFFSET(A1_原単位2025,41,HL18+2)&amp;"")</f>
        <v/>
      </c>
      <c r="IA18" s="1215" t="str">
        <f t="shared" ca="1" si="59"/>
        <v/>
      </c>
      <c r="IB18" s="1216" t="str">
        <f t="shared" ca="1" si="60"/>
        <v/>
      </c>
      <c r="IE18" s="882" t="str">
        <f t="shared" ca="1" si="61"/>
        <v/>
      </c>
      <c r="IF18" s="882" t="str">
        <f t="shared" ca="1" si="62"/>
        <v/>
      </c>
      <c r="IG18" s="882" t="str">
        <f t="shared" ca="1" si="63"/>
        <v/>
      </c>
      <c r="IH18" s="882" t="str">
        <f t="shared" ca="1" si="64"/>
        <v/>
      </c>
    </row>
    <row r="19" spans="2:242" s="889" customFormat="1" ht="19.95"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399">
        <f t="shared" si="67"/>
        <v>0</v>
      </c>
      <c r="HD19" s="402">
        <f t="shared" si="66"/>
        <v>0</v>
      </c>
      <c r="HE19" s="402">
        <f t="shared" si="66"/>
        <v>0</v>
      </c>
      <c r="HF19" s="401"/>
      <c r="HG19" s="399">
        <f>SUM(SUMIFS(K19:HB19,$K$13:$HB$13,{"エネルギー管理指定工場等*","県域*"}))</f>
        <v>0</v>
      </c>
      <c r="HH19" s="402">
        <f>SUM(SUMIFS(L19:HC19,$K$13:$HB$13,{"エネルギー管理指定工場等*","県域*"}))</f>
        <v>0</v>
      </c>
      <c r="HI19" s="402">
        <f>SUM(SUMIFS(M19:HD19,$K$13:$HB$13,{"エネルギー管理指定工場等*","県域*"}))</f>
        <v>0</v>
      </c>
      <c r="HJ19" s="401"/>
      <c r="HL19" s="907">
        <v>10</v>
      </c>
      <c r="HM19" s="1192" t="str">
        <f t="shared" ca="1" si="49"/>
        <v/>
      </c>
      <c r="HN19" s="1200" t="str">
        <f ca="1">IF(COUNTIF(HN$10:HN18,OFFSET(A1_原単位2025,5,HL19+2))&gt;=1,"",OFFSET(A1_原単位2025,5,HL19+2)&amp;"")</f>
        <v/>
      </c>
      <c r="HO19" s="1204" t="str">
        <f t="shared" ca="1" si="50"/>
        <v/>
      </c>
      <c r="HP19" s="1205" t="str">
        <f t="shared" ca="1" si="51"/>
        <v/>
      </c>
      <c r="HQ19" s="1223" t="str">
        <f t="shared" ca="1" si="52"/>
        <v/>
      </c>
      <c r="HR19" s="1200" t="str">
        <f ca="1">IF(COUNTIF(HR$10:HR18,OFFSET(A1_原単位2025,17,HL19+2))&gt;=1,"",OFFSET(A1_原単位2025,17,HL19+2)&amp;"")</f>
        <v/>
      </c>
      <c r="HS19" s="1212" t="str">
        <f t="shared" ca="1" si="53"/>
        <v/>
      </c>
      <c r="HT19" s="1213" t="str">
        <f t="shared" ca="1" si="54"/>
        <v/>
      </c>
      <c r="HU19" s="1223" t="str">
        <f t="shared" ca="1" si="55"/>
        <v/>
      </c>
      <c r="HV19" s="1200" t="str">
        <f ca="1">IF(COUNTIF(HV$10:HV18,OFFSET(A1_原単位2025,29,HL19+2))&gt;=1,"",OFFSET(A1_原単位2025,29,HL19+2)&amp;"")</f>
        <v/>
      </c>
      <c r="HW19" s="1212" t="str">
        <f t="shared" ca="1" si="56"/>
        <v/>
      </c>
      <c r="HX19" s="1213" t="str">
        <f t="shared" ca="1" si="57"/>
        <v/>
      </c>
      <c r="HY19" s="1223" t="str">
        <f t="shared" ca="1" si="58"/>
        <v/>
      </c>
      <c r="HZ19" s="1200" t="str">
        <f ca="1">IF(COUNTIF(HZ$10:HZ18,OFFSET(A1_原単位2025,41,HL19+2))&gt;=1,"",OFFSET(A1_原単位2025,41,HL19+2)&amp;"")</f>
        <v/>
      </c>
      <c r="IA19" s="1215" t="str">
        <f t="shared" ca="1" si="59"/>
        <v/>
      </c>
      <c r="IB19" s="1216" t="str">
        <f t="shared" ca="1" si="60"/>
        <v/>
      </c>
      <c r="IE19" s="882" t="str">
        <f t="shared" ca="1" si="61"/>
        <v/>
      </c>
      <c r="IF19" s="882" t="str">
        <f t="shared" ca="1" si="62"/>
        <v/>
      </c>
      <c r="IG19" s="882" t="str">
        <f t="shared" ca="1" si="63"/>
        <v/>
      </c>
      <c r="IH19" s="882" t="str">
        <f t="shared" ca="1" si="64"/>
        <v/>
      </c>
    </row>
    <row r="20" spans="2:242" s="889" customFormat="1" ht="19.95"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399">
        <f t="shared" si="67"/>
        <v>0</v>
      </c>
      <c r="HD20" s="402">
        <f t="shared" si="66"/>
        <v>0</v>
      </c>
      <c r="HE20" s="402">
        <f t="shared" si="66"/>
        <v>0</v>
      </c>
      <c r="HF20" s="401"/>
      <c r="HG20" s="399">
        <f>SUM(SUMIFS(K20:HB20,$K$13:$HB$13,{"エネルギー管理指定工場等*","県域*"}))</f>
        <v>0</v>
      </c>
      <c r="HH20" s="402">
        <f>SUM(SUMIFS(L20:HC20,$K$13:$HB$13,{"エネルギー管理指定工場等*","県域*"}))</f>
        <v>0</v>
      </c>
      <c r="HI20" s="402">
        <f>SUM(SUMIFS(M20:HD20,$K$13:$HB$13,{"エネルギー管理指定工場等*","県域*"}))</f>
        <v>0</v>
      </c>
      <c r="HJ20" s="401"/>
      <c r="HL20" s="908">
        <v>11</v>
      </c>
      <c r="HM20" s="1192" t="str">
        <f t="shared" ca="1" si="49"/>
        <v/>
      </c>
      <c r="HN20" s="1200" t="str">
        <f ca="1">IF(COUNTIF(HN$10:HN19,OFFSET(A1_原単位2025,5,HL20+2))&gt;=1,"",OFFSET(A1_原単位2025,5,HL20+2)&amp;"")</f>
        <v/>
      </c>
      <c r="HO20" s="1204" t="str">
        <f t="shared" ca="1" si="50"/>
        <v/>
      </c>
      <c r="HP20" s="1205" t="str">
        <f t="shared" ca="1" si="51"/>
        <v/>
      </c>
      <c r="HQ20" s="1223" t="str">
        <f t="shared" ca="1" si="52"/>
        <v/>
      </c>
      <c r="HR20" s="1200" t="str">
        <f ca="1">IF(COUNTIF(HR$10:HR19,OFFSET(A1_原単位2025,17,HL20+2))&gt;=1,"",OFFSET(A1_原単位2025,17,HL20+2)&amp;"")</f>
        <v/>
      </c>
      <c r="HS20" s="1212" t="str">
        <f t="shared" ca="1" si="53"/>
        <v/>
      </c>
      <c r="HT20" s="1213" t="str">
        <f t="shared" ca="1" si="54"/>
        <v/>
      </c>
      <c r="HU20" s="1223" t="str">
        <f t="shared" ca="1" si="55"/>
        <v/>
      </c>
      <c r="HV20" s="1200" t="str">
        <f ca="1">IF(COUNTIF(HV$10:HV19,OFFSET(A1_原単位2025,29,HL20+2))&gt;=1,"",OFFSET(A1_原単位2025,29,HL20+2)&amp;"")</f>
        <v/>
      </c>
      <c r="HW20" s="1212" t="str">
        <f t="shared" ca="1" si="56"/>
        <v/>
      </c>
      <c r="HX20" s="1213" t="str">
        <f t="shared" ca="1" si="57"/>
        <v/>
      </c>
      <c r="HY20" s="1223" t="str">
        <f t="shared" ca="1" si="58"/>
        <v/>
      </c>
      <c r="HZ20" s="1200" t="str">
        <f ca="1">IF(COUNTIF(HZ$10:HZ19,OFFSET(A1_原単位2025,41,HL20+2))&gt;=1,"",OFFSET(A1_原単位2025,41,HL20+2)&amp;"")</f>
        <v/>
      </c>
      <c r="IA20" s="1215" t="str">
        <f t="shared" ca="1" si="59"/>
        <v/>
      </c>
      <c r="IB20" s="1216" t="str">
        <f t="shared" ca="1" si="60"/>
        <v/>
      </c>
      <c r="IE20" s="882" t="str">
        <f t="shared" ca="1" si="61"/>
        <v/>
      </c>
      <c r="IF20" s="882" t="str">
        <f t="shared" ca="1" si="62"/>
        <v/>
      </c>
      <c r="IG20" s="882" t="str">
        <f t="shared" ca="1" si="63"/>
        <v/>
      </c>
      <c r="IH20" s="882" t="str">
        <f t="shared" ca="1" si="64"/>
        <v/>
      </c>
    </row>
    <row r="21" spans="2:242" s="889" customFormat="1" ht="19.95"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399">
        <f t="shared" si="67"/>
        <v>0</v>
      </c>
      <c r="HD21" s="402">
        <f t="shared" si="66"/>
        <v>0</v>
      </c>
      <c r="HE21" s="402">
        <f t="shared" si="66"/>
        <v>0</v>
      </c>
      <c r="HF21" s="401"/>
      <c r="HG21" s="399">
        <f>SUM(SUMIFS(K21:HB21,$K$13:$HB$13,{"エネルギー管理指定工場等*","県域*"}))</f>
        <v>0</v>
      </c>
      <c r="HH21" s="402">
        <f>SUM(SUMIFS(L21:HC21,$K$13:$HB$13,{"エネルギー管理指定工場等*","県域*"}))</f>
        <v>0</v>
      </c>
      <c r="HI21" s="402">
        <f>SUM(SUMIFS(M21:HD21,$K$13:$HB$13,{"エネルギー管理指定工場等*","県域*"}))</f>
        <v>0</v>
      </c>
      <c r="HJ21" s="401"/>
      <c r="HL21" s="907">
        <v>12</v>
      </c>
      <c r="HM21" s="1192" t="str">
        <f t="shared" ca="1" si="49"/>
        <v/>
      </c>
      <c r="HN21" s="1200" t="str">
        <f ca="1">IF(COUNTIF(HN$10:HN20,OFFSET(A1_原単位2025,5,HL21+2))&gt;=1,"",OFFSET(A1_原単位2025,5,HL21+2)&amp;"")</f>
        <v/>
      </c>
      <c r="HO21" s="1204" t="str">
        <f t="shared" ca="1" si="50"/>
        <v/>
      </c>
      <c r="HP21" s="1205" t="str">
        <f t="shared" ca="1" si="51"/>
        <v/>
      </c>
      <c r="HQ21" s="1223" t="str">
        <f t="shared" ca="1" si="52"/>
        <v/>
      </c>
      <c r="HR21" s="1200" t="str">
        <f ca="1">IF(COUNTIF(HR$10:HR20,OFFSET(A1_原単位2025,17,HL21+2))&gt;=1,"",OFFSET(A1_原単位2025,17,HL21+2)&amp;"")</f>
        <v/>
      </c>
      <c r="HS21" s="1212" t="str">
        <f t="shared" ca="1" si="53"/>
        <v/>
      </c>
      <c r="HT21" s="1213" t="str">
        <f t="shared" ca="1" si="54"/>
        <v/>
      </c>
      <c r="HU21" s="1223" t="str">
        <f t="shared" ca="1" si="55"/>
        <v/>
      </c>
      <c r="HV21" s="1200" t="str">
        <f ca="1">IF(COUNTIF(HV$10:HV20,OFFSET(A1_原単位2025,29,HL21+2))&gt;=1,"",OFFSET(A1_原単位2025,29,HL21+2)&amp;"")</f>
        <v/>
      </c>
      <c r="HW21" s="1212" t="str">
        <f t="shared" ca="1" si="56"/>
        <v/>
      </c>
      <c r="HX21" s="1213" t="str">
        <f t="shared" ca="1" si="57"/>
        <v/>
      </c>
      <c r="HY21" s="1223" t="str">
        <f t="shared" ca="1" si="58"/>
        <v/>
      </c>
      <c r="HZ21" s="1200" t="str">
        <f ca="1">IF(COUNTIF(HZ$10:HZ20,OFFSET(A1_原単位2025,41,HL21+2))&gt;=1,"",OFFSET(A1_原単位2025,41,HL21+2)&amp;"")</f>
        <v/>
      </c>
      <c r="IA21" s="1215" t="str">
        <f t="shared" ca="1" si="59"/>
        <v/>
      </c>
      <c r="IB21" s="1216" t="str">
        <f t="shared" ca="1" si="60"/>
        <v/>
      </c>
      <c r="IE21" s="882" t="str">
        <f t="shared" ca="1" si="61"/>
        <v/>
      </c>
      <c r="IF21" s="882" t="str">
        <f t="shared" ca="1" si="62"/>
        <v/>
      </c>
      <c r="IG21" s="882" t="str">
        <f t="shared" ca="1" si="63"/>
        <v/>
      </c>
      <c r="IH21" s="882" t="str">
        <f t="shared" ca="1" si="64"/>
        <v/>
      </c>
    </row>
    <row r="22" spans="2:242" s="889" customFormat="1" ht="19.95"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399">
        <f t="shared" si="67"/>
        <v>0</v>
      </c>
      <c r="HD22" s="402">
        <f t="shared" si="66"/>
        <v>0</v>
      </c>
      <c r="HE22" s="402">
        <f t="shared" si="66"/>
        <v>0</v>
      </c>
      <c r="HF22" s="401"/>
      <c r="HG22" s="399">
        <f>SUM(SUMIFS(K22:HB22,$K$13:$HB$13,{"エネルギー管理指定工場等*","県域*"}))</f>
        <v>0</v>
      </c>
      <c r="HH22" s="402">
        <f>SUM(SUMIFS(L22:HC22,$K$13:$HB$13,{"エネルギー管理指定工場等*","県域*"}))</f>
        <v>0</v>
      </c>
      <c r="HI22" s="402">
        <f>SUM(SUMIFS(M22:HD22,$K$13:$HB$13,{"エネルギー管理指定工場等*","県域*"}))</f>
        <v>0</v>
      </c>
      <c r="HJ22" s="401"/>
      <c r="HL22" s="908">
        <v>13</v>
      </c>
      <c r="HM22" s="1192" t="str">
        <f t="shared" ca="1" si="49"/>
        <v/>
      </c>
      <c r="HN22" s="1200" t="str">
        <f ca="1">IF(COUNTIF(HN$10:HN21,OFFSET(A1_原単位2025,5,HL22+2))&gt;=1,"",OFFSET(A1_原単位2025,5,HL22+2)&amp;"")</f>
        <v/>
      </c>
      <c r="HO22" s="1204" t="str">
        <f t="shared" ca="1" si="50"/>
        <v/>
      </c>
      <c r="HP22" s="1205" t="str">
        <f t="shared" ca="1" si="51"/>
        <v/>
      </c>
      <c r="HQ22" s="1223" t="str">
        <f t="shared" ca="1" si="52"/>
        <v/>
      </c>
      <c r="HR22" s="1200" t="str">
        <f ca="1">IF(COUNTIF(HR$10:HR21,OFFSET(A1_原単位2025,17,HL22+2))&gt;=1,"",OFFSET(A1_原単位2025,17,HL22+2)&amp;"")</f>
        <v/>
      </c>
      <c r="HS22" s="1212" t="str">
        <f t="shared" ca="1" si="53"/>
        <v/>
      </c>
      <c r="HT22" s="1213" t="str">
        <f t="shared" ca="1" si="54"/>
        <v/>
      </c>
      <c r="HU22" s="1223" t="str">
        <f t="shared" ca="1" si="55"/>
        <v/>
      </c>
      <c r="HV22" s="1200" t="str">
        <f ca="1">IF(COUNTIF(HV$10:HV21,OFFSET(A1_原単位2025,29,HL22+2))&gt;=1,"",OFFSET(A1_原単位2025,29,HL22+2)&amp;"")</f>
        <v/>
      </c>
      <c r="HW22" s="1212" t="str">
        <f t="shared" ca="1" si="56"/>
        <v/>
      </c>
      <c r="HX22" s="1213" t="str">
        <f t="shared" ca="1" si="57"/>
        <v/>
      </c>
      <c r="HY22" s="1223" t="str">
        <f t="shared" ca="1" si="58"/>
        <v/>
      </c>
      <c r="HZ22" s="1200" t="str">
        <f ca="1">IF(COUNTIF(HZ$10:HZ21,OFFSET(A1_原単位2025,41,HL22+2))&gt;=1,"",OFFSET(A1_原単位2025,41,HL22+2)&amp;"")</f>
        <v/>
      </c>
      <c r="IA22" s="1215" t="str">
        <f t="shared" ca="1" si="59"/>
        <v/>
      </c>
      <c r="IB22" s="1216" t="str">
        <f t="shared" ca="1" si="60"/>
        <v/>
      </c>
      <c r="IE22" s="882" t="str">
        <f t="shared" ca="1" si="61"/>
        <v/>
      </c>
      <c r="IF22" s="882" t="str">
        <f t="shared" ca="1" si="62"/>
        <v/>
      </c>
      <c r="IG22" s="882" t="str">
        <f t="shared" ca="1" si="63"/>
        <v/>
      </c>
      <c r="IH22" s="882" t="str">
        <f t="shared" ca="1" si="64"/>
        <v/>
      </c>
    </row>
    <row r="23" spans="2:242" s="889" customFormat="1" ht="19.95"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399">
        <f t="shared" si="67"/>
        <v>0</v>
      </c>
      <c r="HD23" s="402">
        <f t="shared" si="66"/>
        <v>0</v>
      </c>
      <c r="HE23" s="402">
        <f t="shared" si="66"/>
        <v>0</v>
      </c>
      <c r="HF23" s="401"/>
      <c r="HG23" s="399">
        <f>SUM(SUMIFS(K23:HB23,$K$13:$HB$13,{"エネルギー管理指定工場等*","県域*"}))</f>
        <v>0</v>
      </c>
      <c r="HH23" s="402">
        <f>SUM(SUMIFS(L23:HC23,$K$13:$HB$13,{"エネルギー管理指定工場等*","県域*"}))</f>
        <v>0</v>
      </c>
      <c r="HI23" s="402">
        <f>SUM(SUMIFS(M23:HD23,$K$13:$HB$13,{"エネルギー管理指定工場等*","県域*"}))</f>
        <v>0</v>
      </c>
      <c r="HJ23" s="401"/>
      <c r="HL23" s="907">
        <v>14</v>
      </c>
      <c r="HM23" s="1192" t="str">
        <f t="shared" ca="1" si="49"/>
        <v/>
      </c>
      <c r="HN23" s="1200" t="str">
        <f ca="1">IF(COUNTIF(HN$10:HN22,OFFSET(A1_原単位2025,5,HL23+2))&gt;=1,"",OFFSET(A1_原単位2025,5,HL23+2)&amp;"")</f>
        <v/>
      </c>
      <c r="HO23" s="1204" t="str">
        <f t="shared" ca="1" si="50"/>
        <v/>
      </c>
      <c r="HP23" s="1205" t="str">
        <f t="shared" ca="1" si="51"/>
        <v/>
      </c>
      <c r="HQ23" s="1223" t="str">
        <f t="shared" ca="1" si="52"/>
        <v/>
      </c>
      <c r="HR23" s="1200" t="str">
        <f ca="1">IF(COUNTIF(HR$10:HR22,OFFSET(A1_原単位2025,17,HL23+2))&gt;=1,"",OFFSET(A1_原単位2025,17,HL23+2)&amp;"")</f>
        <v/>
      </c>
      <c r="HS23" s="1212" t="str">
        <f t="shared" ca="1" si="53"/>
        <v/>
      </c>
      <c r="HT23" s="1213" t="str">
        <f t="shared" ca="1" si="54"/>
        <v/>
      </c>
      <c r="HU23" s="1223" t="str">
        <f t="shared" ca="1" si="55"/>
        <v/>
      </c>
      <c r="HV23" s="1200" t="str">
        <f ca="1">IF(COUNTIF(HV$10:HV22,OFFSET(A1_原単位2025,29,HL23+2))&gt;=1,"",OFFSET(A1_原単位2025,29,HL23+2)&amp;"")</f>
        <v/>
      </c>
      <c r="HW23" s="1212" t="str">
        <f t="shared" ca="1" si="56"/>
        <v/>
      </c>
      <c r="HX23" s="1213" t="str">
        <f t="shared" ca="1" si="57"/>
        <v/>
      </c>
      <c r="HY23" s="1223" t="str">
        <f t="shared" ca="1" si="58"/>
        <v/>
      </c>
      <c r="HZ23" s="1200" t="str">
        <f ca="1">IF(COUNTIF(HZ$10:HZ22,OFFSET(A1_原単位2025,41,HL23+2))&gt;=1,"",OFFSET(A1_原単位2025,41,HL23+2)&amp;"")</f>
        <v/>
      </c>
      <c r="IA23" s="1215" t="str">
        <f t="shared" ca="1" si="59"/>
        <v/>
      </c>
      <c r="IB23" s="1216" t="str">
        <f t="shared" ca="1" si="60"/>
        <v/>
      </c>
      <c r="IE23" s="882" t="str">
        <f t="shared" ca="1" si="61"/>
        <v/>
      </c>
      <c r="IF23" s="882" t="str">
        <f t="shared" ca="1" si="62"/>
        <v/>
      </c>
      <c r="IG23" s="882" t="str">
        <f t="shared" ca="1" si="63"/>
        <v/>
      </c>
      <c r="IH23" s="882" t="str">
        <f t="shared" ca="1" si="64"/>
        <v/>
      </c>
    </row>
    <row r="24" spans="2:242" s="889" customFormat="1" ht="19.95"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399">
        <f t="shared" si="67"/>
        <v>0</v>
      </c>
      <c r="HD24" s="402">
        <f t="shared" si="66"/>
        <v>0</v>
      </c>
      <c r="HE24" s="402">
        <f t="shared" si="66"/>
        <v>0</v>
      </c>
      <c r="HF24" s="401"/>
      <c r="HG24" s="399">
        <f>SUM(SUMIFS(K24:HB24,$K$13:$HB$13,{"エネルギー管理指定工場等*","県域*"}))</f>
        <v>0</v>
      </c>
      <c r="HH24" s="402">
        <f>SUM(SUMIFS(L24:HC24,$K$13:$HB$13,{"エネルギー管理指定工場等*","県域*"}))</f>
        <v>0</v>
      </c>
      <c r="HI24" s="402">
        <f>SUM(SUMIFS(M24:HD24,$K$13:$HB$13,{"エネルギー管理指定工場等*","県域*"}))</f>
        <v>0</v>
      </c>
      <c r="HJ24" s="401"/>
      <c r="HL24" s="907">
        <v>15</v>
      </c>
      <c r="HM24" s="1192" t="str">
        <f t="shared" ca="1" si="49"/>
        <v/>
      </c>
      <c r="HN24" s="1200" t="str">
        <f ca="1">IF(COUNTIF(HN$10:HN23,OFFSET(A1_原単位2025,5,HL24+2))&gt;=1,"",OFFSET(A1_原単位2025,5,HL24+2)&amp;"")</f>
        <v/>
      </c>
      <c r="HO24" s="1204" t="str">
        <f t="shared" ca="1" si="50"/>
        <v/>
      </c>
      <c r="HP24" s="1205" t="str">
        <f t="shared" ca="1" si="51"/>
        <v/>
      </c>
      <c r="HQ24" s="1223" t="str">
        <f t="shared" ca="1" si="52"/>
        <v/>
      </c>
      <c r="HR24" s="1200" t="str">
        <f ca="1">IF(COUNTIF(HR$10:HR23,OFFSET(A1_原単位2025,17,HL24+2))&gt;=1,"",OFFSET(A1_原単位2025,17,HL24+2)&amp;"")</f>
        <v/>
      </c>
      <c r="HS24" s="1212" t="str">
        <f t="shared" ca="1" si="53"/>
        <v/>
      </c>
      <c r="HT24" s="1213" t="str">
        <f t="shared" ca="1" si="54"/>
        <v/>
      </c>
      <c r="HU24" s="1223" t="str">
        <f t="shared" ca="1" si="55"/>
        <v/>
      </c>
      <c r="HV24" s="1200" t="str">
        <f ca="1">IF(COUNTIF(HV$10:HV23,OFFSET(A1_原単位2025,29,HL24+2))&gt;=1,"",OFFSET(A1_原単位2025,29,HL24+2)&amp;"")</f>
        <v/>
      </c>
      <c r="HW24" s="1212" t="str">
        <f t="shared" ca="1" si="56"/>
        <v/>
      </c>
      <c r="HX24" s="1213" t="str">
        <f t="shared" ca="1" si="57"/>
        <v/>
      </c>
      <c r="HY24" s="1223" t="str">
        <f t="shared" ca="1" si="58"/>
        <v/>
      </c>
      <c r="HZ24" s="1200" t="str">
        <f ca="1">IF(COUNTIF(HZ$10:HZ23,OFFSET(A1_原単位2025,41,HL24+2))&gt;=1,"",OFFSET(A1_原単位2025,41,HL24+2)&amp;"")</f>
        <v/>
      </c>
      <c r="IA24" s="1215" t="str">
        <f t="shared" ca="1" si="59"/>
        <v/>
      </c>
      <c r="IB24" s="1216" t="str">
        <f t="shared" ca="1" si="60"/>
        <v/>
      </c>
      <c r="IE24" s="882" t="str">
        <f t="shared" ca="1" si="61"/>
        <v/>
      </c>
      <c r="IF24" s="882" t="str">
        <f t="shared" ca="1" si="62"/>
        <v/>
      </c>
      <c r="IG24" s="882" t="str">
        <f t="shared" ca="1" si="63"/>
        <v/>
      </c>
      <c r="IH24" s="882" t="str">
        <f t="shared" ca="1" si="64"/>
        <v/>
      </c>
    </row>
    <row r="25" spans="2:242" s="889" customFormat="1" ht="19.95"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399">
        <f t="shared" si="67"/>
        <v>0</v>
      </c>
      <c r="HD25" s="402">
        <f t="shared" si="66"/>
        <v>0</v>
      </c>
      <c r="HE25" s="402">
        <f t="shared" si="66"/>
        <v>0</v>
      </c>
      <c r="HF25" s="401"/>
      <c r="HG25" s="399">
        <f>SUM(SUMIFS(K25:HB25,$K$13:$HB$13,{"エネルギー管理指定工場等*","県域*"}))</f>
        <v>0</v>
      </c>
      <c r="HH25" s="402">
        <f>SUM(SUMIFS(L25:HC25,$K$13:$HB$13,{"エネルギー管理指定工場等*","県域*"}))</f>
        <v>0</v>
      </c>
      <c r="HI25" s="402">
        <f>SUM(SUMIFS(M25:HD25,$K$13:$HB$13,{"エネルギー管理指定工場等*","県域*"}))</f>
        <v>0</v>
      </c>
      <c r="HJ25" s="401"/>
      <c r="HL25" s="908">
        <v>16</v>
      </c>
      <c r="HM25" s="1192" t="str">
        <f t="shared" ca="1" si="49"/>
        <v/>
      </c>
      <c r="HN25" s="1200" t="str">
        <f ca="1">IF(COUNTIF(HN$10:HN24,OFFSET(A1_原単位2025,5,HL25+2))&gt;=1,"",OFFSET(A1_原単位2025,5,HL25+2)&amp;"")</f>
        <v/>
      </c>
      <c r="HO25" s="1204" t="str">
        <f t="shared" ca="1" si="50"/>
        <v/>
      </c>
      <c r="HP25" s="1205" t="str">
        <f t="shared" ca="1" si="51"/>
        <v/>
      </c>
      <c r="HQ25" s="1223" t="str">
        <f t="shared" ca="1" si="52"/>
        <v/>
      </c>
      <c r="HR25" s="1200" t="str">
        <f ca="1">IF(COUNTIF(HR$10:HR24,OFFSET(A1_原単位2025,17,HL25+2))&gt;=1,"",OFFSET(A1_原単位2025,17,HL25+2)&amp;"")</f>
        <v/>
      </c>
      <c r="HS25" s="1212" t="str">
        <f t="shared" ca="1" si="53"/>
        <v/>
      </c>
      <c r="HT25" s="1213" t="str">
        <f t="shared" ca="1" si="54"/>
        <v/>
      </c>
      <c r="HU25" s="1223" t="str">
        <f t="shared" ca="1" si="55"/>
        <v/>
      </c>
      <c r="HV25" s="1200" t="str">
        <f ca="1">IF(COUNTIF(HV$10:HV24,OFFSET(A1_原単位2025,29,HL25+2))&gt;=1,"",OFFSET(A1_原単位2025,29,HL25+2)&amp;"")</f>
        <v/>
      </c>
      <c r="HW25" s="1212" t="str">
        <f t="shared" ca="1" si="56"/>
        <v/>
      </c>
      <c r="HX25" s="1213" t="str">
        <f t="shared" ca="1" si="57"/>
        <v/>
      </c>
      <c r="HY25" s="1223" t="str">
        <f t="shared" ca="1" si="58"/>
        <v/>
      </c>
      <c r="HZ25" s="1200" t="str">
        <f ca="1">IF(COUNTIF(HZ$10:HZ24,OFFSET(A1_原単位2025,41,HL25+2))&gt;=1,"",OFFSET(A1_原単位2025,41,HL25+2)&amp;"")</f>
        <v/>
      </c>
      <c r="IA25" s="1215" t="str">
        <f t="shared" ca="1" si="59"/>
        <v/>
      </c>
      <c r="IB25" s="1216" t="str">
        <f t="shared" ca="1" si="60"/>
        <v/>
      </c>
      <c r="IE25" s="882" t="str">
        <f t="shared" ca="1" si="61"/>
        <v/>
      </c>
      <c r="IF25" s="882" t="str">
        <f t="shared" ca="1" si="62"/>
        <v/>
      </c>
      <c r="IG25" s="882" t="str">
        <f t="shared" ca="1" si="63"/>
        <v/>
      </c>
      <c r="IH25" s="882" t="str">
        <f t="shared" ca="1" si="64"/>
        <v/>
      </c>
    </row>
    <row r="26" spans="2:242" s="889" customFormat="1" ht="19.95"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399">
        <f t="shared" si="67"/>
        <v>0</v>
      </c>
      <c r="HD26" s="402">
        <f t="shared" si="66"/>
        <v>0</v>
      </c>
      <c r="HE26" s="402">
        <f t="shared" si="66"/>
        <v>0</v>
      </c>
      <c r="HF26" s="401"/>
      <c r="HG26" s="399">
        <f>SUM(SUMIFS(K26:HB26,$K$13:$HB$13,{"エネルギー管理指定工場等*","県域*"}))</f>
        <v>0</v>
      </c>
      <c r="HH26" s="402">
        <f>SUM(SUMIFS(L26:HC26,$K$13:$HB$13,{"エネルギー管理指定工場等*","県域*"}))</f>
        <v>0</v>
      </c>
      <c r="HI26" s="402">
        <f>SUM(SUMIFS(M26:HD26,$K$13:$HB$13,{"エネルギー管理指定工場等*","県域*"}))</f>
        <v>0</v>
      </c>
      <c r="HJ26" s="401"/>
      <c r="HL26" s="907">
        <v>17</v>
      </c>
      <c r="HM26" s="1192" t="str">
        <f t="shared" ca="1" si="49"/>
        <v/>
      </c>
      <c r="HN26" s="1200" t="str">
        <f ca="1">IF(COUNTIF(HN$10:HN25,OFFSET(A1_原単位2025,5,HL26+2))&gt;=1,"",OFFSET(A1_原単位2025,5,HL26+2)&amp;"")</f>
        <v/>
      </c>
      <c r="HO26" s="1204" t="str">
        <f t="shared" ca="1" si="50"/>
        <v/>
      </c>
      <c r="HP26" s="1205" t="str">
        <f t="shared" ca="1" si="51"/>
        <v/>
      </c>
      <c r="HQ26" s="1223" t="str">
        <f t="shared" ca="1" si="52"/>
        <v/>
      </c>
      <c r="HR26" s="1200" t="str">
        <f ca="1">IF(COUNTIF(HR$10:HR25,OFFSET(A1_原単位2025,17,HL26+2))&gt;=1,"",OFFSET(A1_原単位2025,17,HL26+2)&amp;"")</f>
        <v/>
      </c>
      <c r="HS26" s="1212" t="str">
        <f t="shared" ca="1" si="53"/>
        <v/>
      </c>
      <c r="HT26" s="1213" t="str">
        <f t="shared" ca="1" si="54"/>
        <v/>
      </c>
      <c r="HU26" s="1223" t="str">
        <f t="shared" ca="1" si="55"/>
        <v/>
      </c>
      <c r="HV26" s="1200" t="str">
        <f ca="1">IF(COUNTIF(HV$10:HV25,OFFSET(A1_原単位2025,29,HL26+2))&gt;=1,"",OFFSET(A1_原単位2025,29,HL26+2)&amp;"")</f>
        <v/>
      </c>
      <c r="HW26" s="1212" t="str">
        <f t="shared" ca="1" si="56"/>
        <v/>
      </c>
      <c r="HX26" s="1213" t="str">
        <f t="shared" ca="1" si="57"/>
        <v/>
      </c>
      <c r="HY26" s="1223" t="str">
        <f t="shared" ca="1" si="58"/>
        <v/>
      </c>
      <c r="HZ26" s="1200" t="str">
        <f ca="1">IF(COUNTIF(HZ$10:HZ25,OFFSET(A1_原単位2025,41,HL26+2))&gt;=1,"",OFFSET(A1_原単位2025,41,HL26+2)&amp;"")</f>
        <v/>
      </c>
      <c r="IA26" s="1215" t="str">
        <f t="shared" ca="1" si="59"/>
        <v/>
      </c>
      <c r="IB26" s="1216" t="str">
        <f t="shared" ca="1" si="60"/>
        <v/>
      </c>
      <c r="IE26" s="882" t="str">
        <f t="shared" ca="1" si="61"/>
        <v/>
      </c>
      <c r="IF26" s="882" t="str">
        <f t="shared" ca="1" si="62"/>
        <v/>
      </c>
      <c r="IG26" s="882" t="str">
        <f t="shared" ca="1" si="63"/>
        <v/>
      </c>
      <c r="IH26" s="882" t="str">
        <f t="shared" ca="1" si="64"/>
        <v/>
      </c>
    </row>
    <row r="27" spans="2:242" s="889" customFormat="1" ht="19.95"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399">
        <f t="shared" si="67"/>
        <v>0</v>
      </c>
      <c r="HD27" s="402">
        <f t="shared" si="66"/>
        <v>0</v>
      </c>
      <c r="HE27" s="402">
        <f t="shared" si="66"/>
        <v>0</v>
      </c>
      <c r="HF27" s="401"/>
      <c r="HG27" s="399">
        <f>SUM(SUMIFS(K27:HB27,$K$13:$HB$13,{"エネルギー管理指定工場等*","県域*"}))</f>
        <v>0</v>
      </c>
      <c r="HH27" s="402">
        <f>SUM(SUMIFS(L27:HC27,$K$13:$HB$13,{"エネルギー管理指定工場等*","県域*"}))</f>
        <v>0</v>
      </c>
      <c r="HI27" s="402">
        <f>SUM(SUMIFS(M27:HD27,$K$13:$HB$13,{"エネルギー管理指定工場等*","県域*"}))</f>
        <v>0</v>
      </c>
      <c r="HJ27" s="401"/>
      <c r="HL27" s="908">
        <v>18</v>
      </c>
      <c r="HM27" s="1192" t="str">
        <f t="shared" ca="1" si="49"/>
        <v/>
      </c>
      <c r="HN27" s="1200" t="str">
        <f ca="1">IF(COUNTIF(HN$10:HN26,OFFSET(A1_原単位2025,5,HL27+2))&gt;=1,"",OFFSET(A1_原単位2025,5,HL27+2)&amp;"")</f>
        <v/>
      </c>
      <c r="HO27" s="1204" t="str">
        <f t="shared" ca="1" si="50"/>
        <v/>
      </c>
      <c r="HP27" s="1205" t="str">
        <f t="shared" ca="1" si="51"/>
        <v/>
      </c>
      <c r="HQ27" s="1223" t="str">
        <f t="shared" ca="1" si="52"/>
        <v/>
      </c>
      <c r="HR27" s="1200" t="str">
        <f ca="1">IF(COUNTIF(HR$10:HR26,OFFSET(A1_原単位2025,17,HL27+2))&gt;=1,"",OFFSET(A1_原単位2025,17,HL27+2)&amp;"")</f>
        <v/>
      </c>
      <c r="HS27" s="1212" t="str">
        <f t="shared" ca="1" si="53"/>
        <v/>
      </c>
      <c r="HT27" s="1213" t="str">
        <f t="shared" ca="1" si="54"/>
        <v/>
      </c>
      <c r="HU27" s="1223" t="str">
        <f t="shared" ca="1" si="55"/>
        <v/>
      </c>
      <c r="HV27" s="1200" t="str">
        <f ca="1">IF(COUNTIF(HV$10:HV26,OFFSET(A1_原単位2025,29,HL27+2))&gt;=1,"",OFFSET(A1_原単位2025,29,HL27+2)&amp;"")</f>
        <v/>
      </c>
      <c r="HW27" s="1212" t="str">
        <f t="shared" ca="1" si="56"/>
        <v/>
      </c>
      <c r="HX27" s="1213" t="str">
        <f t="shared" ca="1" si="57"/>
        <v/>
      </c>
      <c r="HY27" s="1223" t="str">
        <f t="shared" ca="1" si="58"/>
        <v/>
      </c>
      <c r="HZ27" s="1200" t="str">
        <f ca="1">IF(COUNTIF(HZ$10:HZ26,OFFSET(A1_原単位2025,41,HL27+2))&gt;=1,"",OFFSET(A1_原単位2025,41,HL27+2)&amp;"")</f>
        <v/>
      </c>
      <c r="IA27" s="1215" t="str">
        <f t="shared" ca="1" si="59"/>
        <v/>
      </c>
      <c r="IB27" s="1216" t="str">
        <f t="shared" ca="1" si="60"/>
        <v/>
      </c>
      <c r="IE27" s="882" t="str">
        <f t="shared" ca="1" si="61"/>
        <v/>
      </c>
      <c r="IF27" s="882" t="str">
        <f t="shared" ca="1" si="62"/>
        <v/>
      </c>
      <c r="IG27" s="882" t="str">
        <f t="shared" ca="1" si="63"/>
        <v/>
      </c>
      <c r="IH27" s="882" t="str">
        <f t="shared" ca="1" si="64"/>
        <v/>
      </c>
    </row>
    <row r="28" spans="2:242" s="889" customFormat="1" ht="19.95"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399">
        <f t="shared" si="67"/>
        <v>0</v>
      </c>
      <c r="HD28" s="402">
        <f t="shared" si="66"/>
        <v>0</v>
      </c>
      <c r="HE28" s="402">
        <f t="shared" si="66"/>
        <v>0</v>
      </c>
      <c r="HF28" s="401"/>
      <c r="HG28" s="399">
        <f>SUM(SUMIFS(K28:HB28,$K$13:$HB$13,{"エネルギー管理指定工場等*","県域*"}))</f>
        <v>0</v>
      </c>
      <c r="HH28" s="402">
        <f>SUM(SUMIFS(L28:HC28,$K$13:$HB$13,{"エネルギー管理指定工場等*","県域*"}))</f>
        <v>0</v>
      </c>
      <c r="HI28" s="402">
        <f>SUM(SUMIFS(M28:HD28,$K$13:$HB$13,{"エネルギー管理指定工場等*","県域*"}))</f>
        <v>0</v>
      </c>
      <c r="HJ28" s="401"/>
      <c r="HL28" s="907">
        <v>19</v>
      </c>
      <c r="HM28" s="1192" t="str">
        <f t="shared" ca="1" si="49"/>
        <v/>
      </c>
      <c r="HN28" s="1200" t="str">
        <f ca="1">IF(COUNTIF(HN$10:HN27,OFFSET(A1_原単位2025,5,HL28+2))&gt;=1,"",OFFSET(A1_原単位2025,5,HL28+2)&amp;"")</f>
        <v/>
      </c>
      <c r="HO28" s="1204" t="str">
        <f t="shared" ca="1" si="50"/>
        <v/>
      </c>
      <c r="HP28" s="1205" t="str">
        <f t="shared" ca="1" si="51"/>
        <v/>
      </c>
      <c r="HQ28" s="1223" t="str">
        <f t="shared" ca="1" si="52"/>
        <v/>
      </c>
      <c r="HR28" s="1200" t="str">
        <f ca="1">IF(COUNTIF(HR$10:HR27,OFFSET(A1_原単位2025,17,HL28+2))&gt;=1,"",OFFSET(A1_原単位2025,17,HL28+2)&amp;"")</f>
        <v/>
      </c>
      <c r="HS28" s="1212" t="str">
        <f t="shared" ca="1" si="53"/>
        <v/>
      </c>
      <c r="HT28" s="1213" t="str">
        <f t="shared" ca="1" si="54"/>
        <v/>
      </c>
      <c r="HU28" s="1223" t="str">
        <f t="shared" ca="1" si="55"/>
        <v/>
      </c>
      <c r="HV28" s="1200" t="str">
        <f ca="1">IF(COUNTIF(HV$10:HV27,OFFSET(A1_原単位2025,29,HL28+2))&gt;=1,"",OFFSET(A1_原単位2025,29,HL28+2)&amp;"")</f>
        <v/>
      </c>
      <c r="HW28" s="1212" t="str">
        <f t="shared" ca="1" si="56"/>
        <v/>
      </c>
      <c r="HX28" s="1213" t="str">
        <f t="shared" ca="1" si="57"/>
        <v/>
      </c>
      <c r="HY28" s="1223" t="str">
        <f t="shared" ca="1" si="58"/>
        <v/>
      </c>
      <c r="HZ28" s="1200" t="str">
        <f ca="1">IF(COUNTIF(HZ$10:HZ27,OFFSET(A1_原単位2025,41,HL28+2))&gt;=1,"",OFFSET(A1_原単位2025,41,HL28+2)&amp;"")</f>
        <v/>
      </c>
      <c r="IA28" s="1215" t="str">
        <f t="shared" ca="1" si="59"/>
        <v/>
      </c>
      <c r="IB28" s="1216" t="str">
        <f t="shared" ca="1" si="60"/>
        <v/>
      </c>
      <c r="IE28" s="882" t="str">
        <f t="shared" ca="1" si="61"/>
        <v/>
      </c>
      <c r="IF28" s="882" t="str">
        <f t="shared" ca="1" si="62"/>
        <v/>
      </c>
      <c r="IG28" s="882" t="str">
        <f t="shared" ca="1" si="63"/>
        <v/>
      </c>
      <c r="IH28" s="882" t="str">
        <f t="shared" ca="1" si="64"/>
        <v/>
      </c>
    </row>
    <row r="29" spans="2:242" s="889" customFormat="1" ht="19.95"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399">
        <f t="shared" si="67"/>
        <v>0</v>
      </c>
      <c r="HD29" s="402">
        <f t="shared" si="66"/>
        <v>0</v>
      </c>
      <c r="HE29" s="402">
        <f t="shared" si="66"/>
        <v>0</v>
      </c>
      <c r="HF29" s="401"/>
      <c r="HG29" s="399">
        <f>SUM(SUMIFS(K29:HB29,$K$13:$HB$13,{"エネルギー管理指定工場等*","県域*"}))</f>
        <v>0</v>
      </c>
      <c r="HH29" s="402">
        <f>SUM(SUMIFS(L29:HC29,$K$13:$HB$13,{"エネルギー管理指定工場等*","県域*"}))</f>
        <v>0</v>
      </c>
      <c r="HI29" s="402">
        <f>SUM(SUMIFS(M29:HD29,$K$13:$HB$13,{"エネルギー管理指定工場等*","県域*"}))</f>
        <v>0</v>
      </c>
      <c r="HJ29" s="401"/>
      <c r="HL29" s="908">
        <v>20</v>
      </c>
      <c r="HM29" s="1192" t="str">
        <f t="shared" ca="1" si="49"/>
        <v/>
      </c>
      <c r="HN29" s="1200" t="str">
        <f ca="1">IF(COUNTIF(HN$10:HN28,OFFSET(A1_原単位2025,5,HL29+2))&gt;=1,"",OFFSET(A1_原単位2025,5,HL29+2)&amp;"")</f>
        <v/>
      </c>
      <c r="HO29" s="1204" t="str">
        <f t="shared" ca="1" si="50"/>
        <v/>
      </c>
      <c r="HP29" s="1205" t="str">
        <f t="shared" ca="1" si="51"/>
        <v/>
      </c>
      <c r="HQ29" s="1223" t="str">
        <f t="shared" ca="1" si="52"/>
        <v/>
      </c>
      <c r="HR29" s="1200" t="str">
        <f ca="1">IF(COUNTIF(HR$10:HR28,OFFSET(A1_原単位2025,17,HL29+2))&gt;=1,"",OFFSET(A1_原単位2025,17,HL29+2)&amp;"")</f>
        <v/>
      </c>
      <c r="HS29" s="1212" t="str">
        <f t="shared" ca="1" si="53"/>
        <v/>
      </c>
      <c r="HT29" s="1213" t="str">
        <f t="shared" ca="1" si="54"/>
        <v/>
      </c>
      <c r="HU29" s="1223" t="str">
        <f t="shared" ca="1" si="55"/>
        <v/>
      </c>
      <c r="HV29" s="1200" t="str">
        <f ca="1">IF(COUNTIF(HV$10:HV28,OFFSET(A1_原単位2025,29,HL29+2))&gt;=1,"",OFFSET(A1_原単位2025,29,HL29+2)&amp;"")</f>
        <v/>
      </c>
      <c r="HW29" s="1212" t="str">
        <f t="shared" ca="1" si="56"/>
        <v/>
      </c>
      <c r="HX29" s="1213" t="str">
        <f t="shared" ca="1" si="57"/>
        <v/>
      </c>
      <c r="HY29" s="1223" t="str">
        <f t="shared" ca="1" si="58"/>
        <v/>
      </c>
      <c r="HZ29" s="1200" t="str">
        <f ca="1">IF(COUNTIF(HZ$10:HZ28,OFFSET(A1_原単位2025,41,HL29+2))&gt;=1,"",OFFSET(A1_原単位2025,41,HL29+2)&amp;"")</f>
        <v/>
      </c>
      <c r="IA29" s="1215" t="str">
        <f t="shared" ca="1" si="59"/>
        <v/>
      </c>
      <c r="IB29" s="1216" t="str">
        <f t="shared" ca="1" si="60"/>
        <v/>
      </c>
      <c r="IE29" s="882" t="str">
        <f t="shared" ca="1" si="61"/>
        <v/>
      </c>
      <c r="IF29" s="882" t="str">
        <f t="shared" ca="1" si="62"/>
        <v/>
      </c>
      <c r="IG29" s="882" t="str">
        <f t="shared" ca="1" si="63"/>
        <v/>
      </c>
      <c r="IH29" s="882" t="str">
        <f t="shared" ca="1" si="64"/>
        <v/>
      </c>
    </row>
    <row r="30" spans="2:242" s="889" customFormat="1" ht="19.95"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399">
        <f t="shared" si="67"/>
        <v>0</v>
      </c>
      <c r="HD30" s="402">
        <f t="shared" si="66"/>
        <v>0</v>
      </c>
      <c r="HE30" s="402">
        <f t="shared" si="66"/>
        <v>0</v>
      </c>
      <c r="HF30" s="401"/>
      <c r="HG30" s="399">
        <f>SUM(SUMIFS(K30:HB30,$K$13:$HB$13,{"エネルギー管理指定工場等*","県域*"}))</f>
        <v>0</v>
      </c>
      <c r="HH30" s="402">
        <f>SUM(SUMIFS(L30:HC30,$K$13:$HB$13,{"エネルギー管理指定工場等*","県域*"}))</f>
        <v>0</v>
      </c>
      <c r="HI30" s="402">
        <f>SUM(SUMIFS(M30:HD30,$K$13:$HB$13,{"エネルギー管理指定工場等*","県域*"}))</f>
        <v>0</v>
      </c>
      <c r="HJ30" s="401"/>
      <c r="HL30" s="907">
        <v>21</v>
      </c>
      <c r="HM30" s="1192" t="str">
        <f t="shared" ca="1" si="49"/>
        <v/>
      </c>
      <c r="HN30" s="1200" t="str">
        <f ca="1">IF(COUNTIF(HN$10:HN29,OFFSET(A1_原単位2025,5,HL30+2))&gt;=1,"",OFFSET(A1_原単位2025,5,HL30+2)&amp;"")</f>
        <v/>
      </c>
      <c r="HO30" s="1204" t="str">
        <f t="shared" ca="1" si="50"/>
        <v/>
      </c>
      <c r="HP30" s="1205" t="str">
        <f t="shared" ca="1" si="51"/>
        <v/>
      </c>
      <c r="HQ30" s="1223" t="str">
        <f t="shared" ca="1" si="52"/>
        <v/>
      </c>
      <c r="HR30" s="1200" t="str">
        <f ca="1">IF(COUNTIF(HR$10:HR29,OFFSET(A1_原単位2025,17,HL30+2))&gt;=1,"",OFFSET(A1_原単位2025,17,HL30+2)&amp;"")</f>
        <v/>
      </c>
      <c r="HS30" s="1212" t="str">
        <f t="shared" ca="1" si="53"/>
        <v/>
      </c>
      <c r="HT30" s="1213" t="str">
        <f t="shared" ca="1" si="54"/>
        <v/>
      </c>
      <c r="HU30" s="1223" t="str">
        <f t="shared" ca="1" si="55"/>
        <v/>
      </c>
      <c r="HV30" s="1200" t="str">
        <f ca="1">IF(COUNTIF(HV$10:HV29,OFFSET(A1_原単位2025,29,HL30+2))&gt;=1,"",OFFSET(A1_原単位2025,29,HL30+2)&amp;"")</f>
        <v/>
      </c>
      <c r="HW30" s="1212" t="str">
        <f t="shared" ca="1" si="56"/>
        <v/>
      </c>
      <c r="HX30" s="1213" t="str">
        <f t="shared" ca="1" si="57"/>
        <v/>
      </c>
      <c r="HY30" s="1223" t="str">
        <f t="shared" ca="1" si="58"/>
        <v/>
      </c>
      <c r="HZ30" s="1200" t="str">
        <f ca="1">IF(COUNTIF(HZ$10:HZ29,OFFSET(A1_原単位2025,41,HL30+2))&gt;=1,"",OFFSET(A1_原単位2025,41,HL30+2)&amp;"")</f>
        <v/>
      </c>
      <c r="IA30" s="1215" t="str">
        <f t="shared" ca="1" si="59"/>
        <v/>
      </c>
      <c r="IB30" s="1216" t="str">
        <f t="shared" ca="1" si="60"/>
        <v/>
      </c>
      <c r="IE30" s="882" t="str">
        <f t="shared" ca="1" si="61"/>
        <v/>
      </c>
      <c r="IF30" s="882" t="str">
        <f t="shared" ca="1" si="62"/>
        <v/>
      </c>
      <c r="IG30" s="882" t="str">
        <f t="shared" ca="1" si="63"/>
        <v/>
      </c>
      <c r="IH30" s="882" t="str">
        <f t="shared" ca="1" si="64"/>
        <v/>
      </c>
    </row>
    <row r="31" spans="2:242" s="889" customFormat="1" ht="19.95"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399">
        <f t="shared" si="67"/>
        <v>0</v>
      </c>
      <c r="HD31" s="402">
        <f t="shared" si="66"/>
        <v>0</v>
      </c>
      <c r="HE31" s="402">
        <f t="shared" si="66"/>
        <v>0</v>
      </c>
      <c r="HF31" s="401"/>
      <c r="HG31" s="399">
        <f>SUM(SUMIFS(K31:HB31,$K$13:$HB$13,{"エネルギー管理指定工場等*","県域*"}))</f>
        <v>0</v>
      </c>
      <c r="HH31" s="402">
        <f>SUM(SUMIFS(L31:HC31,$K$13:$HB$13,{"エネルギー管理指定工場等*","県域*"}))</f>
        <v>0</v>
      </c>
      <c r="HI31" s="402">
        <f>SUM(SUMIFS(M31:HD31,$K$13:$HB$13,{"エネルギー管理指定工場等*","県域*"}))</f>
        <v>0</v>
      </c>
      <c r="HJ31" s="401"/>
      <c r="HL31" s="907">
        <v>22</v>
      </c>
      <c r="HM31" s="1192" t="str">
        <f t="shared" ca="1" si="49"/>
        <v/>
      </c>
      <c r="HN31" s="1200" t="str">
        <f ca="1">IF(COUNTIF(HN$10:HN30,OFFSET(A1_原単位2025,5,HL31+2))&gt;=1,"",OFFSET(A1_原単位2025,5,HL31+2)&amp;"")</f>
        <v/>
      </c>
      <c r="HO31" s="1204" t="str">
        <f t="shared" ca="1" si="50"/>
        <v/>
      </c>
      <c r="HP31" s="1205" t="str">
        <f t="shared" ca="1" si="51"/>
        <v/>
      </c>
      <c r="HQ31" s="1223" t="str">
        <f t="shared" ca="1" si="52"/>
        <v/>
      </c>
      <c r="HR31" s="1200" t="str">
        <f ca="1">IF(COUNTIF(HR$10:HR30,OFFSET(A1_原単位2025,17,HL31+2))&gt;=1,"",OFFSET(A1_原単位2025,17,HL31+2)&amp;"")</f>
        <v/>
      </c>
      <c r="HS31" s="1212" t="str">
        <f t="shared" ca="1" si="53"/>
        <v/>
      </c>
      <c r="HT31" s="1213" t="str">
        <f t="shared" ca="1" si="54"/>
        <v/>
      </c>
      <c r="HU31" s="1223" t="str">
        <f t="shared" ca="1" si="55"/>
        <v/>
      </c>
      <c r="HV31" s="1200" t="str">
        <f ca="1">IF(COUNTIF(HV$10:HV30,OFFSET(A1_原単位2025,29,HL31+2))&gt;=1,"",OFFSET(A1_原単位2025,29,HL31+2)&amp;"")</f>
        <v/>
      </c>
      <c r="HW31" s="1212" t="str">
        <f t="shared" ca="1" si="56"/>
        <v/>
      </c>
      <c r="HX31" s="1213" t="str">
        <f t="shared" ca="1" si="57"/>
        <v/>
      </c>
      <c r="HY31" s="1223" t="str">
        <f t="shared" ca="1" si="58"/>
        <v/>
      </c>
      <c r="HZ31" s="1200" t="str">
        <f ca="1">IF(COUNTIF(HZ$10:HZ30,OFFSET(A1_原単位2025,41,HL31+2))&gt;=1,"",OFFSET(A1_原単位2025,41,HL31+2)&amp;"")</f>
        <v/>
      </c>
      <c r="IA31" s="1215" t="str">
        <f t="shared" ca="1" si="59"/>
        <v/>
      </c>
      <c r="IB31" s="1216" t="str">
        <f t="shared" ca="1" si="60"/>
        <v/>
      </c>
      <c r="IE31" s="882" t="str">
        <f t="shared" ca="1" si="61"/>
        <v/>
      </c>
      <c r="IF31" s="882" t="str">
        <f t="shared" ca="1" si="62"/>
        <v/>
      </c>
      <c r="IG31" s="882" t="str">
        <f t="shared" ca="1" si="63"/>
        <v/>
      </c>
      <c r="IH31" s="882" t="str">
        <f t="shared" ca="1" si="64"/>
        <v/>
      </c>
    </row>
    <row r="32" spans="2:242" s="889" customFormat="1" ht="19.95"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399">
        <f t="shared" si="67"/>
        <v>0</v>
      </c>
      <c r="HD32" s="402">
        <f t="shared" si="66"/>
        <v>0</v>
      </c>
      <c r="HE32" s="402">
        <f t="shared" si="66"/>
        <v>0</v>
      </c>
      <c r="HF32" s="401"/>
      <c r="HG32" s="399">
        <f>SUM(SUMIFS(K32:HB32,$K$13:$HB$13,{"エネルギー管理指定工場等*","県域*"}))</f>
        <v>0</v>
      </c>
      <c r="HH32" s="402">
        <f>SUM(SUMIFS(L32:HC32,$K$13:$HB$13,{"エネルギー管理指定工場等*","県域*"}))</f>
        <v>0</v>
      </c>
      <c r="HI32" s="402">
        <f>SUM(SUMIFS(M32:HD32,$K$13:$HB$13,{"エネルギー管理指定工場等*","県域*"}))</f>
        <v>0</v>
      </c>
      <c r="HJ32" s="401"/>
      <c r="HL32" s="908">
        <v>23</v>
      </c>
      <c r="HM32" s="1192" t="str">
        <f t="shared" ca="1" si="49"/>
        <v/>
      </c>
      <c r="HN32" s="1200" t="str">
        <f ca="1">IF(COUNTIF(HN$10:HN31,OFFSET(A1_原単位2025,5,HL32+2))&gt;=1,"",OFFSET(A1_原単位2025,5,HL32+2)&amp;"")</f>
        <v/>
      </c>
      <c r="HO32" s="1204" t="str">
        <f t="shared" ca="1" si="50"/>
        <v/>
      </c>
      <c r="HP32" s="1205" t="str">
        <f t="shared" ca="1" si="51"/>
        <v/>
      </c>
      <c r="HQ32" s="1223" t="str">
        <f t="shared" ca="1" si="52"/>
        <v/>
      </c>
      <c r="HR32" s="1200" t="str">
        <f ca="1">IF(COUNTIF(HR$10:HR31,OFFSET(A1_原単位2025,17,HL32+2))&gt;=1,"",OFFSET(A1_原単位2025,17,HL32+2)&amp;"")</f>
        <v/>
      </c>
      <c r="HS32" s="1212" t="str">
        <f t="shared" ca="1" si="53"/>
        <v/>
      </c>
      <c r="HT32" s="1213" t="str">
        <f t="shared" ca="1" si="54"/>
        <v/>
      </c>
      <c r="HU32" s="1223" t="str">
        <f t="shared" ca="1" si="55"/>
        <v/>
      </c>
      <c r="HV32" s="1200" t="str">
        <f ca="1">IF(COUNTIF(HV$10:HV31,OFFSET(A1_原単位2025,29,HL32+2))&gt;=1,"",OFFSET(A1_原単位2025,29,HL32+2)&amp;"")</f>
        <v/>
      </c>
      <c r="HW32" s="1212" t="str">
        <f t="shared" ca="1" si="56"/>
        <v/>
      </c>
      <c r="HX32" s="1213" t="str">
        <f t="shared" ca="1" si="57"/>
        <v/>
      </c>
      <c r="HY32" s="1223" t="str">
        <f t="shared" ca="1" si="58"/>
        <v/>
      </c>
      <c r="HZ32" s="1200" t="str">
        <f ca="1">IF(COUNTIF(HZ$10:HZ31,OFFSET(A1_原単位2025,41,HL32+2))&gt;=1,"",OFFSET(A1_原単位2025,41,HL32+2)&amp;"")</f>
        <v/>
      </c>
      <c r="IA32" s="1215" t="str">
        <f t="shared" ca="1" si="59"/>
        <v/>
      </c>
      <c r="IB32" s="1216" t="str">
        <f t="shared" ca="1" si="60"/>
        <v/>
      </c>
      <c r="IE32" s="882" t="str">
        <f t="shared" ca="1" si="61"/>
        <v/>
      </c>
      <c r="IF32" s="882" t="str">
        <f t="shared" ca="1" si="62"/>
        <v/>
      </c>
      <c r="IG32" s="882" t="str">
        <f t="shared" ca="1" si="63"/>
        <v/>
      </c>
      <c r="IH32" s="882" t="str">
        <f t="shared" ca="1" si="64"/>
        <v/>
      </c>
    </row>
    <row r="33" spans="2:242" s="889" customFormat="1" ht="19.95"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399">
        <f t="shared" si="67"/>
        <v>0</v>
      </c>
      <c r="HD33" s="402">
        <f t="shared" si="67"/>
        <v>0</v>
      </c>
      <c r="HE33" s="402">
        <f t="shared" si="67"/>
        <v>0</v>
      </c>
      <c r="HF33" s="401"/>
      <c r="HG33" s="399">
        <f>SUM(SUMIFS(K33:HB33,$K$13:$HB$13,{"エネルギー管理指定工場等*","県域*"}))</f>
        <v>0</v>
      </c>
      <c r="HH33" s="402">
        <f>SUM(SUMIFS(L33:HC33,$K$13:$HB$13,{"エネルギー管理指定工場等*","県域*"}))</f>
        <v>0</v>
      </c>
      <c r="HI33" s="402">
        <f>SUM(SUMIFS(M33:HD33,$K$13:$HB$13,{"エネルギー管理指定工場等*","県域*"}))</f>
        <v>0</v>
      </c>
      <c r="HJ33" s="401"/>
      <c r="HL33" s="907">
        <v>24</v>
      </c>
      <c r="HM33" s="1192" t="str">
        <f t="shared" ca="1" si="49"/>
        <v/>
      </c>
      <c r="HN33" s="1200" t="str">
        <f ca="1">IF(COUNTIF(HN$10:HN32,OFFSET(A1_原単位2025,5,HL33+2))&gt;=1,"",OFFSET(A1_原単位2025,5,HL33+2)&amp;"")</f>
        <v/>
      </c>
      <c r="HO33" s="1204" t="str">
        <f t="shared" ca="1" si="50"/>
        <v/>
      </c>
      <c r="HP33" s="1205" t="str">
        <f t="shared" ca="1" si="51"/>
        <v/>
      </c>
      <c r="HQ33" s="1223" t="str">
        <f t="shared" ca="1" si="52"/>
        <v/>
      </c>
      <c r="HR33" s="1200" t="str">
        <f ca="1">IF(COUNTIF(HR$10:HR32,OFFSET(A1_原単位2025,17,HL33+2))&gt;=1,"",OFFSET(A1_原単位2025,17,HL33+2)&amp;"")</f>
        <v/>
      </c>
      <c r="HS33" s="1212" t="str">
        <f t="shared" ca="1" si="53"/>
        <v/>
      </c>
      <c r="HT33" s="1213" t="str">
        <f t="shared" ca="1" si="54"/>
        <v/>
      </c>
      <c r="HU33" s="1223" t="str">
        <f t="shared" ca="1" si="55"/>
        <v/>
      </c>
      <c r="HV33" s="1200" t="str">
        <f ca="1">IF(COUNTIF(HV$10:HV32,OFFSET(A1_原単位2025,29,HL33+2))&gt;=1,"",OFFSET(A1_原単位2025,29,HL33+2)&amp;"")</f>
        <v/>
      </c>
      <c r="HW33" s="1212" t="str">
        <f t="shared" ca="1" si="56"/>
        <v/>
      </c>
      <c r="HX33" s="1213" t="str">
        <f t="shared" ca="1" si="57"/>
        <v/>
      </c>
      <c r="HY33" s="1223" t="str">
        <f t="shared" ca="1" si="58"/>
        <v/>
      </c>
      <c r="HZ33" s="1200" t="str">
        <f ca="1">IF(COUNTIF(HZ$10:HZ32,OFFSET(A1_原単位2025,41,HL33+2))&gt;=1,"",OFFSET(A1_原単位2025,41,HL33+2)&amp;"")</f>
        <v/>
      </c>
      <c r="IA33" s="1215" t="str">
        <f t="shared" ca="1" si="59"/>
        <v/>
      </c>
      <c r="IB33" s="1216" t="str">
        <f t="shared" ca="1" si="60"/>
        <v/>
      </c>
      <c r="IE33" s="882" t="str">
        <f t="shared" ca="1" si="61"/>
        <v/>
      </c>
      <c r="IF33" s="882" t="str">
        <f t="shared" ca="1" si="62"/>
        <v/>
      </c>
      <c r="IG33" s="882" t="str">
        <f t="shared" ca="1" si="63"/>
        <v/>
      </c>
      <c r="IH33" s="882" t="str">
        <f t="shared" ca="1" si="64"/>
        <v/>
      </c>
    </row>
    <row r="34" spans="2:242" s="889" customFormat="1" ht="19.95"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399">
        <f t="shared" si="67"/>
        <v>0</v>
      </c>
      <c r="HD34" s="402">
        <f t="shared" si="67"/>
        <v>0</v>
      </c>
      <c r="HE34" s="402">
        <f t="shared" si="67"/>
        <v>0</v>
      </c>
      <c r="HF34" s="401"/>
      <c r="HG34" s="399">
        <f>SUM(SUMIFS(K34:HB34,$K$13:$HB$13,{"エネルギー管理指定工場等*","県域*"}))</f>
        <v>0</v>
      </c>
      <c r="HH34" s="402">
        <f>SUM(SUMIFS(L34:HC34,$K$13:$HB$13,{"エネルギー管理指定工場等*","県域*"}))</f>
        <v>0</v>
      </c>
      <c r="HI34" s="402">
        <f>SUM(SUMIFS(M34:HD34,$K$13:$HB$13,{"エネルギー管理指定工場等*","県域*"}))</f>
        <v>0</v>
      </c>
      <c r="HJ34" s="401"/>
      <c r="HL34" s="908">
        <v>25</v>
      </c>
      <c r="HM34" s="1192" t="str">
        <f t="shared" ca="1" si="49"/>
        <v/>
      </c>
      <c r="HN34" s="1200" t="str">
        <f ca="1">IF(COUNTIF(HN$10:HN33,OFFSET(A1_原単位2025,5,HL34+2))&gt;=1,"",OFFSET(A1_原単位2025,5,HL34+2)&amp;"")</f>
        <v/>
      </c>
      <c r="HO34" s="1204" t="str">
        <f t="shared" ca="1" si="50"/>
        <v/>
      </c>
      <c r="HP34" s="1205" t="str">
        <f t="shared" ca="1" si="51"/>
        <v/>
      </c>
      <c r="HQ34" s="1223" t="str">
        <f t="shared" ca="1" si="52"/>
        <v/>
      </c>
      <c r="HR34" s="1200" t="str">
        <f ca="1">IF(COUNTIF(HR$10:HR33,OFFSET(A1_原単位2025,17,HL34+2))&gt;=1,"",OFFSET(A1_原単位2025,17,HL34+2)&amp;"")</f>
        <v/>
      </c>
      <c r="HS34" s="1212" t="str">
        <f t="shared" ca="1" si="53"/>
        <v/>
      </c>
      <c r="HT34" s="1213" t="str">
        <f t="shared" ca="1" si="54"/>
        <v/>
      </c>
      <c r="HU34" s="1223" t="str">
        <f t="shared" ca="1" si="55"/>
        <v/>
      </c>
      <c r="HV34" s="1200" t="str">
        <f ca="1">IF(COUNTIF(HV$10:HV33,OFFSET(A1_原単位2025,29,HL34+2))&gt;=1,"",OFFSET(A1_原単位2025,29,HL34+2)&amp;"")</f>
        <v/>
      </c>
      <c r="HW34" s="1212" t="str">
        <f t="shared" ca="1" si="56"/>
        <v/>
      </c>
      <c r="HX34" s="1213" t="str">
        <f t="shared" ca="1" si="57"/>
        <v/>
      </c>
      <c r="HY34" s="1223" t="str">
        <f t="shared" ca="1" si="58"/>
        <v/>
      </c>
      <c r="HZ34" s="1200" t="str">
        <f ca="1">IF(COUNTIF(HZ$10:HZ33,OFFSET(A1_原単位2025,41,HL34+2))&gt;=1,"",OFFSET(A1_原単位2025,41,HL34+2)&amp;"")</f>
        <v/>
      </c>
      <c r="IA34" s="1215" t="str">
        <f t="shared" ca="1" si="59"/>
        <v/>
      </c>
      <c r="IB34" s="1216" t="str">
        <f t="shared" ca="1" si="60"/>
        <v/>
      </c>
      <c r="IE34" s="882" t="str">
        <f t="shared" ca="1" si="61"/>
        <v/>
      </c>
      <c r="IF34" s="882" t="str">
        <f t="shared" ca="1" si="62"/>
        <v/>
      </c>
      <c r="IG34" s="882" t="str">
        <f t="shared" ca="1" si="63"/>
        <v/>
      </c>
      <c r="IH34" s="882" t="str">
        <f t="shared" ca="1" si="64"/>
        <v/>
      </c>
    </row>
    <row r="35" spans="2:242" s="889" customFormat="1" ht="19.95"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399">
        <f t="shared" si="67"/>
        <v>0</v>
      </c>
      <c r="HD35" s="402">
        <f t="shared" si="67"/>
        <v>0</v>
      </c>
      <c r="HE35" s="402">
        <f t="shared" si="67"/>
        <v>0</v>
      </c>
      <c r="HF35" s="401"/>
      <c r="HG35" s="399">
        <f>SUM(SUMIFS(K35:HB35,$K$13:$HB$13,{"エネルギー管理指定工場等*","県域*"}))</f>
        <v>0</v>
      </c>
      <c r="HH35" s="402">
        <f>SUM(SUMIFS(L35:HC35,$K$13:$HB$13,{"エネルギー管理指定工場等*","県域*"}))</f>
        <v>0</v>
      </c>
      <c r="HI35" s="402">
        <f>SUM(SUMIFS(M35:HD35,$K$13:$HB$13,{"エネルギー管理指定工場等*","県域*"}))</f>
        <v>0</v>
      </c>
      <c r="HJ35" s="401"/>
      <c r="HL35" s="907">
        <v>26</v>
      </c>
      <c r="HM35" s="1192" t="str">
        <f t="shared" ca="1" si="49"/>
        <v/>
      </c>
      <c r="HN35" s="1200" t="str">
        <f ca="1">IF(COUNTIF(HN$10:HN34,OFFSET(A1_原単位2025,5,HL35+2))&gt;=1,"",OFFSET(A1_原単位2025,5,HL35+2)&amp;"")</f>
        <v/>
      </c>
      <c r="HO35" s="1204" t="str">
        <f t="shared" ca="1" si="50"/>
        <v/>
      </c>
      <c r="HP35" s="1205" t="str">
        <f t="shared" ca="1" si="51"/>
        <v/>
      </c>
      <c r="HQ35" s="1223" t="str">
        <f t="shared" ca="1" si="52"/>
        <v/>
      </c>
      <c r="HR35" s="1200" t="str">
        <f ca="1">IF(COUNTIF(HR$10:HR34,OFFSET(A1_原単位2025,17,HL35+2))&gt;=1,"",OFFSET(A1_原単位2025,17,HL35+2)&amp;"")</f>
        <v/>
      </c>
      <c r="HS35" s="1212" t="str">
        <f t="shared" ca="1" si="53"/>
        <v/>
      </c>
      <c r="HT35" s="1213" t="str">
        <f t="shared" ca="1" si="54"/>
        <v/>
      </c>
      <c r="HU35" s="1223" t="str">
        <f t="shared" ca="1" si="55"/>
        <v/>
      </c>
      <c r="HV35" s="1200" t="str">
        <f ca="1">IF(COUNTIF(HV$10:HV34,OFFSET(A1_原単位2025,29,HL35+2))&gt;=1,"",OFFSET(A1_原単位2025,29,HL35+2)&amp;"")</f>
        <v/>
      </c>
      <c r="HW35" s="1212" t="str">
        <f t="shared" ca="1" si="56"/>
        <v/>
      </c>
      <c r="HX35" s="1213" t="str">
        <f t="shared" ca="1" si="57"/>
        <v/>
      </c>
      <c r="HY35" s="1223" t="str">
        <f t="shared" ca="1" si="58"/>
        <v/>
      </c>
      <c r="HZ35" s="1200" t="str">
        <f ca="1">IF(COUNTIF(HZ$10:HZ34,OFFSET(A1_原単位2025,41,HL35+2))&gt;=1,"",OFFSET(A1_原単位2025,41,HL35+2)&amp;"")</f>
        <v/>
      </c>
      <c r="IA35" s="1215" t="str">
        <f t="shared" ca="1" si="59"/>
        <v/>
      </c>
      <c r="IB35" s="1216" t="str">
        <f t="shared" ca="1" si="60"/>
        <v/>
      </c>
      <c r="IE35" s="882" t="str">
        <f t="shared" ca="1" si="61"/>
        <v/>
      </c>
      <c r="IF35" s="882" t="str">
        <f t="shared" ca="1" si="62"/>
        <v/>
      </c>
      <c r="IG35" s="882" t="str">
        <f t="shared" ca="1" si="63"/>
        <v/>
      </c>
      <c r="IH35" s="882" t="str">
        <f t="shared" ca="1" si="64"/>
        <v/>
      </c>
    </row>
    <row r="36" spans="2:242" s="889" customFormat="1" ht="19.95"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399">
        <f t="shared" si="67"/>
        <v>0</v>
      </c>
      <c r="HD36" s="402">
        <f t="shared" si="67"/>
        <v>0</v>
      </c>
      <c r="HE36" s="402">
        <f t="shared" si="67"/>
        <v>0</v>
      </c>
      <c r="HF36" s="401"/>
      <c r="HG36" s="399">
        <f>SUM(SUMIFS(K36:HB36,$K$13:$HB$13,{"エネルギー管理指定工場等*","県域*"}))</f>
        <v>0</v>
      </c>
      <c r="HH36" s="402">
        <f>SUM(SUMIFS(L36:HC36,$K$13:$HB$13,{"エネルギー管理指定工場等*","県域*"}))</f>
        <v>0</v>
      </c>
      <c r="HI36" s="402">
        <f>SUM(SUMIFS(M36:HD36,$K$13:$HB$13,{"エネルギー管理指定工場等*","県域*"}))</f>
        <v>0</v>
      </c>
      <c r="HJ36" s="401"/>
      <c r="HL36" s="908">
        <v>27</v>
      </c>
      <c r="HM36" s="1192" t="str">
        <f t="shared" ca="1" si="49"/>
        <v/>
      </c>
      <c r="HN36" s="1200" t="str">
        <f ca="1">IF(COUNTIF(HN$10:HN35,OFFSET(A1_原単位2025,5,HL36+2))&gt;=1,"",OFFSET(A1_原単位2025,5,HL36+2)&amp;"")</f>
        <v/>
      </c>
      <c r="HO36" s="1204" t="str">
        <f t="shared" ca="1" si="50"/>
        <v/>
      </c>
      <c r="HP36" s="1205" t="str">
        <f t="shared" ca="1" si="51"/>
        <v/>
      </c>
      <c r="HQ36" s="1223" t="str">
        <f t="shared" ca="1" si="52"/>
        <v/>
      </c>
      <c r="HR36" s="1200" t="str">
        <f ca="1">IF(COUNTIF(HR$10:HR35,OFFSET(A1_原単位2025,17,HL36+2))&gt;=1,"",OFFSET(A1_原単位2025,17,HL36+2)&amp;"")</f>
        <v/>
      </c>
      <c r="HS36" s="1212" t="str">
        <f t="shared" ca="1" si="53"/>
        <v/>
      </c>
      <c r="HT36" s="1213" t="str">
        <f t="shared" ca="1" si="54"/>
        <v/>
      </c>
      <c r="HU36" s="1223" t="str">
        <f t="shared" ca="1" si="55"/>
        <v/>
      </c>
      <c r="HV36" s="1200" t="str">
        <f ca="1">IF(COUNTIF(HV$10:HV35,OFFSET(A1_原単位2025,29,HL36+2))&gt;=1,"",OFFSET(A1_原単位2025,29,HL36+2)&amp;"")</f>
        <v/>
      </c>
      <c r="HW36" s="1212" t="str">
        <f t="shared" ca="1" si="56"/>
        <v/>
      </c>
      <c r="HX36" s="1213" t="str">
        <f t="shared" ca="1" si="57"/>
        <v/>
      </c>
      <c r="HY36" s="1223" t="str">
        <f t="shared" ca="1" si="58"/>
        <v/>
      </c>
      <c r="HZ36" s="1200" t="str">
        <f ca="1">IF(COUNTIF(HZ$10:HZ35,OFFSET(A1_原単位2025,41,HL36+2))&gt;=1,"",OFFSET(A1_原単位2025,41,HL36+2)&amp;"")</f>
        <v/>
      </c>
      <c r="IA36" s="1215" t="str">
        <f t="shared" ca="1" si="59"/>
        <v/>
      </c>
      <c r="IB36" s="1216" t="str">
        <f t="shared" ca="1" si="60"/>
        <v/>
      </c>
      <c r="IE36" s="882" t="str">
        <f t="shared" ca="1" si="61"/>
        <v/>
      </c>
      <c r="IF36" s="882" t="str">
        <f t="shared" ca="1" si="62"/>
        <v/>
      </c>
      <c r="IG36" s="882" t="str">
        <f t="shared" ca="1" si="63"/>
        <v/>
      </c>
      <c r="IH36" s="882" t="str">
        <f t="shared" ca="1" si="64"/>
        <v/>
      </c>
    </row>
    <row r="37" spans="2:242" s="889" customFormat="1" ht="19.95"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399">
        <f t="shared" si="67"/>
        <v>0</v>
      </c>
      <c r="HD37" s="402">
        <f t="shared" si="67"/>
        <v>0</v>
      </c>
      <c r="HE37" s="402">
        <f t="shared" si="67"/>
        <v>0</v>
      </c>
      <c r="HF37" s="401"/>
      <c r="HG37" s="399">
        <f>SUM(SUMIFS(K37:HB37,$K$13:$HB$13,{"エネルギー管理指定工場等*","県域*"}))</f>
        <v>0</v>
      </c>
      <c r="HH37" s="402">
        <f>SUM(SUMIFS(L37:HC37,$K$13:$HB$13,{"エネルギー管理指定工場等*","県域*"}))</f>
        <v>0</v>
      </c>
      <c r="HI37" s="402">
        <f>SUM(SUMIFS(M37:HD37,$K$13:$HB$13,{"エネルギー管理指定工場等*","県域*"}))</f>
        <v>0</v>
      </c>
      <c r="HJ37" s="401"/>
      <c r="HL37" s="907">
        <v>28</v>
      </c>
      <c r="HM37" s="1192" t="str">
        <f t="shared" ca="1" si="49"/>
        <v/>
      </c>
      <c r="HN37" s="1200" t="str">
        <f ca="1">IF(COUNTIF(HN$10:HN36,OFFSET(A1_原単位2025,5,HL37+2))&gt;=1,"",OFFSET(A1_原単位2025,5,HL37+2)&amp;"")</f>
        <v/>
      </c>
      <c r="HO37" s="1204" t="str">
        <f t="shared" ca="1" si="50"/>
        <v/>
      </c>
      <c r="HP37" s="1205" t="str">
        <f t="shared" ca="1" si="51"/>
        <v/>
      </c>
      <c r="HQ37" s="1223" t="str">
        <f t="shared" ca="1" si="52"/>
        <v/>
      </c>
      <c r="HR37" s="1200" t="str">
        <f ca="1">IF(COUNTIF(HR$10:HR36,OFFSET(A1_原単位2025,17,HL37+2))&gt;=1,"",OFFSET(A1_原単位2025,17,HL37+2)&amp;"")</f>
        <v/>
      </c>
      <c r="HS37" s="1212" t="str">
        <f t="shared" ca="1" si="53"/>
        <v/>
      </c>
      <c r="HT37" s="1213" t="str">
        <f t="shared" ca="1" si="54"/>
        <v/>
      </c>
      <c r="HU37" s="1223" t="str">
        <f t="shared" ca="1" si="55"/>
        <v/>
      </c>
      <c r="HV37" s="1200" t="str">
        <f ca="1">IF(COUNTIF(HV$10:HV36,OFFSET(A1_原単位2025,29,HL37+2))&gt;=1,"",OFFSET(A1_原単位2025,29,HL37+2)&amp;"")</f>
        <v/>
      </c>
      <c r="HW37" s="1212" t="str">
        <f t="shared" ca="1" si="56"/>
        <v/>
      </c>
      <c r="HX37" s="1213" t="str">
        <f t="shared" ca="1" si="57"/>
        <v/>
      </c>
      <c r="HY37" s="1223" t="str">
        <f t="shared" ca="1" si="58"/>
        <v/>
      </c>
      <c r="HZ37" s="1200" t="str">
        <f ca="1">IF(COUNTIF(HZ$10:HZ36,OFFSET(A1_原単位2025,41,HL37+2))&gt;=1,"",OFFSET(A1_原単位2025,41,HL37+2)&amp;"")</f>
        <v/>
      </c>
      <c r="IA37" s="1215" t="str">
        <f t="shared" ca="1" si="59"/>
        <v/>
      </c>
      <c r="IB37" s="1216" t="str">
        <f t="shared" ca="1" si="60"/>
        <v/>
      </c>
      <c r="IE37" s="882" t="str">
        <f t="shared" ca="1" si="61"/>
        <v/>
      </c>
      <c r="IF37" s="882" t="str">
        <f t="shared" ca="1" si="62"/>
        <v/>
      </c>
      <c r="IG37" s="882" t="str">
        <f t="shared" ca="1" si="63"/>
        <v/>
      </c>
      <c r="IH37" s="882" t="str">
        <f t="shared" ca="1" si="64"/>
        <v/>
      </c>
    </row>
    <row r="38" spans="2:242" s="889" customFormat="1" ht="19.95"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399">
        <f t="shared" si="67"/>
        <v>0</v>
      </c>
      <c r="HD38" s="402">
        <f t="shared" si="67"/>
        <v>0</v>
      </c>
      <c r="HE38" s="402">
        <f t="shared" si="67"/>
        <v>0</v>
      </c>
      <c r="HF38" s="401"/>
      <c r="HG38" s="399">
        <f>SUM(SUMIFS(K38:HB38,$K$13:$HB$13,{"エネルギー管理指定工場等*","県域*"}))</f>
        <v>0</v>
      </c>
      <c r="HH38" s="402">
        <f>SUM(SUMIFS(L38:HC38,$K$13:$HB$13,{"エネルギー管理指定工場等*","県域*"}))</f>
        <v>0</v>
      </c>
      <c r="HI38" s="402">
        <f>SUM(SUMIFS(M38:HD38,$K$13:$HB$13,{"エネルギー管理指定工場等*","県域*"}))</f>
        <v>0</v>
      </c>
      <c r="HJ38" s="401"/>
      <c r="HL38" s="907">
        <v>29</v>
      </c>
      <c r="HM38" s="1192" t="str">
        <f t="shared" ca="1" si="49"/>
        <v/>
      </c>
      <c r="HN38" s="1200" t="str">
        <f ca="1">IF(COUNTIF(HN$10:HN37,OFFSET(A1_原単位2025,5,HL38+2))&gt;=1,"",OFFSET(A1_原単位2025,5,HL38+2)&amp;"")</f>
        <v/>
      </c>
      <c r="HO38" s="1204" t="str">
        <f t="shared" ca="1" si="50"/>
        <v/>
      </c>
      <c r="HP38" s="1205" t="str">
        <f t="shared" ca="1" si="51"/>
        <v/>
      </c>
      <c r="HQ38" s="1223" t="str">
        <f t="shared" ca="1" si="52"/>
        <v/>
      </c>
      <c r="HR38" s="1200" t="str">
        <f ca="1">IF(COUNTIF(HR$10:HR37,OFFSET(A1_原単位2025,17,HL38+2))&gt;=1,"",OFFSET(A1_原単位2025,17,HL38+2)&amp;"")</f>
        <v/>
      </c>
      <c r="HS38" s="1212" t="str">
        <f t="shared" ca="1" si="53"/>
        <v/>
      </c>
      <c r="HT38" s="1213" t="str">
        <f t="shared" ca="1" si="54"/>
        <v/>
      </c>
      <c r="HU38" s="1223" t="str">
        <f t="shared" ca="1" si="55"/>
        <v/>
      </c>
      <c r="HV38" s="1200" t="str">
        <f ca="1">IF(COUNTIF(HV$10:HV37,OFFSET(A1_原単位2025,29,HL38+2))&gt;=1,"",OFFSET(A1_原単位2025,29,HL38+2)&amp;"")</f>
        <v/>
      </c>
      <c r="HW38" s="1212" t="str">
        <f t="shared" ca="1" si="56"/>
        <v/>
      </c>
      <c r="HX38" s="1213" t="str">
        <f t="shared" ca="1" si="57"/>
        <v/>
      </c>
      <c r="HY38" s="1223" t="str">
        <f t="shared" ca="1" si="58"/>
        <v/>
      </c>
      <c r="HZ38" s="1200" t="str">
        <f ca="1">IF(COUNTIF(HZ$10:HZ37,OFFSET(A1_原単位2025,41,HL38+2))&gt;=1,"",OFFSET(A1_原単位2025,41,HL38+2)&amp;"")</f>
        <v/>
      </c>
      <c r="IA38" s="1215" t="str">
        <f t="shared" ca="1" si="59"/>
        <v/>
      </c>
      <c r="IB38" s="1216" t="str">
        <f t="shared" ca="1" si="60"/>
        <v/>
      </c>
      <c r="IE38" s="882" t="str">
        <f t="shared" ca="1" si="61"/>
        <v/>
      </c>
      <c r="IF38" s="882" t="str">
        <f t="shared" ca="1" si="62"/>
        <v/>
      </c>
      <c r="IG38" s="882" t="str">
        <f t="shared" ca="1" si="63"/>
        <v/>
      </c>
      <c r="IH38" s="882" t="str">
        <f t="shared" ca="1" si="64"/>
        <v/>
      </c>
    </row>
    <row r="39" spans="2:242" s="889" customFormat="1" ht="19.95"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399">
        <f t="shared" si="67"/>
        <v>0</v>
      </c>
      <c r="HD39" s="402">
        <f t="shared" si="67"/>
        <v>0</v>
      </c>
      <c r="HE39" s="402">
        <f t="shared" si="67"/>
        <v>0</v>
      </c>
      <c r="HF39" s="401"/>
      <c r="HG39" s="399">
        <f>SUM(SUMIFS(K39:HB39,$K$13:$HB$13,{"エネルギー管理指定工場等*","県域*"}))</f>
        <v>0</v>
      </c>
      <c r="HH39" s="402">
        <f>SUM(SUMIFS(L39:HC39,$K$13:$HB$13,{"エネルギー管理指定工場等*","県域*"}))</f>
        <v>0</v>
      </c>
      <c r="HI39" s="402">
        <f>SUM(SUMIFS(M39:HD39,$K$13:$HB$13,{"エネルギー管理指定工場等*","県域*"}))</f>
        <v>0</v>
      </c>
      <c r="HJ39" s="401"/>
      <c r="HL39" s="908">
        <v>30</v>
      </c>
      <c r="HM39" s="1192" t="str">
        <f t="shared" ca="1" si="49"/>
        <v/>
      </c>
      <c r="HN39" s="1200" t="str">
        <f ca="1">IF(COUNTIF(HN$10:HN38,OFFSET(A1_原単位2025,5,HL39+2))&gt;=1,"",OFFSET(A1_原単位2025,5,HL39+2)&amp;"")</f>
        <v/>
      </c>
      <c r="HO39" s="1204" t="str">
        <f t="shared" ca="1" si="50"/>
        <v/>
      </c>
      <c r="HP39" s="1205" t="str">
        <f t="shared" ca="1" si="51"/>
        <v/>
      </c>
      <c r="HQ39" s="1223" t="str">
        <f t="shared" ca="1" si="52"/>
        <v/>
      </c>
      <c r="HR39" s="1200" t="str">
        <f ca="1">IF(COUNTIF(HR$10:HR38,OFFSET(A1_原単位2025,17,HL39+2))&gt;=1,"",OFFSET(A1_原単位2025,17,HL39+2)&amp;"")</f>
        <v/>
      </c>
      <c r="HS39" s="1212" t="str">
        <f t="shared" ca="1" si="53"/>
        <v/>
      </c>
      <c r="HT39" s="1213" t="str">
        <f t="shared" ca="1" si="54"/>
        <v/>
      </c>
      <c r="HU39" s="1223" t="str">
        <f t="shared" ca="1" si="55"/>
        <v/>
      </c>
      <c r="HV39" s="1200" t="str">
        <f ca="1">IF(COUNTIF(HV$10:HV38,OFFSET(A1_原単位2025,29,HL39+2))&gt;=1,"",OFFSET(A1_原単位2025,29,HL39+2)&amp;"")</f>
        <v/>
      </c>
      <c r="HW39" s="1212" t="str">
        <f t="shared" ca="1" si="56"/>
        <v/>
      </c>
      <c r="HX39" s="1213" t="str">
        <f t="shared" ca="1" si="57"/>
        <v/>
      </c>
      <c r="HY39" s="1223" t="str">
        <f t="shared" ca="1" si="58"/>
        <v/>
      </c>
      <c r="HZ39" s="1200" t="str">
        <f ca="1">IF(COUNTIF(HZ$10:HZ38,OFFSET(A1_原単位2025,41,HL39+2))&gt;=1,"",OFFSET(A1_原単位2025,41,HL39+2)&amp;"")</f>
        <v/>
      </c>
      <c r="IA39" s="1215" t="str">
        <f t="shared" ca="1" si="59"/>
        <v/>
      </c>
      <c r="IB39" s="1216" t="str">
        <f t="shared" ca="1" si="60"/>
        <v/>
      </c>
      <c r="IE39" s="882" t="str">
        <f t="shared" ca="1" si="61"/>
        <v/>
      </c>
      <c r="IF39" s="882" t="str">
        <f t="shared" ca="1" si="62"/>
        <v/>
      </c>
      <c r="IG39" s="882" t="str">
        <f t="shared" ca="1" si="63"/>
        <v/>
      </c>
      <c r="IH39" s="882" t="str">
        <f t="shared" ca="1" si="64"/>
        <v/>
      </c>
    </row>
    <row r="40" spans="2:242" s="889" customFormat="1" ht="19.95"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399">
        <f t="shared" si="67"/>
        <v>0</v>
      </c>
      <c r="HD40" s="402">
        <f t="shared" si="67"/>
        <v>0</v>
      </c>
      <c r="HE40" s="402">
        <f t="shared" si="67"/>
        <v>0</v>
      </c>
      <c r="HF40" s="401"/>
      <c r="HG40" s="399">
        <f>SUM(SUMIFS(K40:HB40,$K$13:$HB$13,{"エネルギー管理指定工場等*","県域*"}))</f>
        <v>0</v>
      </c>
      <c r="HH40" s="402">
        <f>SUM(SUMIFS(L40:HC40,$K$13:$HB$13,{"エネルギー管理指定工場等*","県域*"}))</f>
        <v>0</v>
      </c>
      <c r="HI40" s="402">
        <f>SUM(SUMIFS(M40:HD40,$K$13:$HB$13,{"エネルギー管理指定工場等*","県域*"}))</f>
        <v>0</v>
      </c>
      <c r="HJ40" s="401"/>
      <c r="HL40" s="907">
        <v>31</v>
      </c>
      <c r="HM40" s="1192" t="str">
        <f t="shared" ca="1" si="49"/>
        <v/>
      </c>
      <c r="HN40" s="1200" t="str">
        <f ca="1">IF(COUNTIF(HN$10:HN39,OFFSET(A1_原単位2025,5,HL40+2))&gt;=1,"",OFFSET(A1_原単位2025,5,HL40+2)&amp;"")</f>
        <v/>
      </c>
      <c r="HO40" s="1204" t="str">
        <f t="shared" ca="1" si="50"/>
        <v/>
      </c>
      <c r="HP40" s="1205" t="str">
        <f t="shared" ca="1" si="51"/>
        <v/>
      </c>
      <c r="HQ40" s="1223" t="str">
        <f t="shared" ca="1" si="52"/>
        <v/>
      </c>
      <c r="HR40" s="1200" t="str">
        <f ca="1">IF(COUNTIF(HR$10:HR39,OFFSET(A1_原単位2025,17,HL40+2))&gt;=1,"",OFFSET(A1_原単位2025,17,HL40+2)&amp;"")</f>
        <v/>
      </c>
      <c r="HS40" s="1212" t="str">
        <f t="shared" ca="1" si="53"/>
        <v/>
      </c>
      <c r="HT40" s="1213" t="str">
        <f t="shared" ca="1" si="54"/>
        <v/>
      </c>
      <c r="HU40" s="1223" t="str">
        <f t="shared" ca="1" si="55"/>
        <v/>
      </c>
      <c r="HV40" s="1200" t="str">
        <f ca="1">IF(COUNTIF(HV$10:HV39,OFFSET(A1_原単位2025,29,HL40+2))&gt;=1,"",OFFSET(A1_原単位2025,29,HL40+2)&amp;"")</f>
        <v/>
      </c>
      <c r="HW40" s="1212" t="str">
        <f t="shared" ca="1" si="56"/>
        <v/>
      </c>
      <c r="HX40" s="1213" t="str">
        <f t="shared" ca="1" si="57"/>
        <v/>
      </c>
      <c r="HY40" s="1223" t="str">
        <f t="shared" ca="1" si="58"/>
        <v/>
      </c>
      <c r="HZ40" s="1200" t="str">
        <f ca="1">IF(COUNTIF(HZ$10:HZ39,OFFSET(A1_原単位2025,41,HL40+2))&gt;=1,"",OFFSET(A1_原単位2025,41,HL40+2)&amp;"")</f>
        <v/>
      </c>
      <c r="IA40" s="1215" t="str">
        <f t="shared" ca="1" si="59"/>
        <v/>
      </c>
      <c r="IB40" s="1216" t="str">
        <f t="shared" ca="1" si="60"/>
        <v/>
      </c>
      <c r="IE40" s="882" t="str">
        <f t="shared" ca="1" si="61"/>
        <v/>
      </c>
      <c r="IF40" s="882" t="str">
        <f t="shared" ca="1" si="62"/>
        <v/>
      </c>
      <c r="IG40" s="882" t="str">
        <f t="shared" ca="1" si="63"/>
        <v/>
      </c>
      <c r="IH40" s="882" t="str">
        <f t="shared" ca="1" si="64"/>
        <v/>
      </c>
    </row>
    <row r="41" spans="2:242" s="889" customFormat="1" ht="19.95"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399">
        <f t="shared" si="67"/>
        <v>0</v>
      </c>
      <c r="HD41" s="402">
        <f t="shared" si="67"/>
        <v>0</v>
      </c>
      <c r="HE41" s="402">
        <f t="shared" si="67"/>
        <v>0</v>
      </c>
      <c r="HF41" s="401"/>
      <c r="HG41" s="399">
        <f>SUM(SUMIFS(K41:HB41,$K$13:$HB$13,{"エネルギー管理指定工場等*","県域*"}))</f>
        <v>0</v>
      </c>
      <c r="HH41" s="402">
        <f>SUM(SUMIFS(L41:HC41,$K$13:$HB$13,{"エネルギー管理指定工場等*","県域*"}))</f>
        <v>0</v>
      </c>
      <c r="HI41" s="402">
        <f>SUM(SUMIFS(M41:HD41,$K$13:$HB$13,{"エネルギー管理指定工場等*","県域*"}))</f>
        <v>0</v>
      </c>
      <c r="HJ41" s="401"/>
      <c r="HL41" s="908">
        <v>32</v>
      </c>
      <c r="HM41" s="1192" t="str">
        <f t="shared" ca="1" si="49"/>
        <v/>
      </c>
      <c r="HN41" s="1200" t="str">
        <f ca="1">IF(COUNTIF(HN$10:HN40,OFFSET(A1_原単位2025,5,HL41+2))&gt;=1,"",OFFSET(A1_原単位2025,5,HL41+2)&amp;"")</f>
        <v/>
      </c>
      <c r="HO41" s="1204" t="str">
        <f t="shared" ca="1" si="50"/>
        <v/>
      </c>
      <c r="HP41" s="1205" t="str">
        <f t="shared" ca="1" si="51"/>
        <v/>
      </c>
      <c r="HQ41" s="1223" t="str">
        <f t="shared" ca="1" si="52"/>
        <v/>
      </c>
      <c r="HR41" s="1200" t="str">
        <f ca="1">IF(COUNTIF(HR$10:HR40,OFFSET(A1_原単位2025,17,HL41+2))&gt;=1,"",OFFSET(A1_原単位2025,17,HL41+2)&amp;"")</f>
        <v/>
      </c>
      <c r="HS41" s="1212" t="str">
        <f t="shared" ca="1" si="53"/>
        <v/>
      </c>
      <c r="HT41" s="1213" t="str">
        <f t="shared" ca="1" si="54"/>
        <v/>
      </c>
      <c r="HU41" s="1223" t="str">
        <f t="shared" ca="1" si="55"/>
        <v/>
      </c>
      <c r="HV41" s="1200" t="str">
        <f ca="1">IF(COUNTIF(HV$10:HV40,OFFSET(A1_原単位2025,29,HL41+2))&gt;=1,"",OFFSET(A1_原単位2025,29,HL41+2)&amp;"")</f>
        <v/>
      </c>
      <c r="HW41" s="1212" t="str">
        <f t="shared" ca="1" si="56"/>
        <v/>
      </c>
      <c r="HX41" s="1213" t="str">
        <f t="shared" ca="1" si="57"/>
        <v/>
      </c>
      <c r="HY41" s="1223" t="str">
        <f t="shared" ca="1" si="58"/>
        <v/>
      </c>
      <c r="HZ41" s="1200" t="str">
        <f ca="1">IF(COUNTIF(HZ$10:HZ40,OFFSET(A1_原単位2025,41,HL41+2))&gt;=1,"",OFFSET(A1_原単位2025,41,HL41+2)&amp;"")</f>
        <v/>
      </c>
      <c r="IA41" s="1215" t="str">
        <f t="shared" ca="1" si="59"/>
        <v/>
      </c>
      <c r="IB41" s="1216" t="str">
        <f t="shared" ca="1" si="60"/>
        <v/>
      </c>
      <c r="IE41" s="882" t="str">
        <f t="shared" ca="1" si="61"/>
        <v/>
      </c>
      <c r="IF41" s="882" t="str">
        <f t="shared" ca="1" si="62"/>
        <v/>
      </c>
      <c r="IG41" s="882" t="str">
        <f t="shared" ca="1" si="63"/>
        <v/>
      </c>
      <c r="IH41" s="882" t="str">
        <f t="shared" ca="1" si="64"/>
        <v/>
      </c>
    </row>
    <row r="42" spans="2:242" s="889" customFormat="1" ht="19.95"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399">
        <f t="shared" si="67"/>
        <v>0</v>
      </c>
      <c r="HD42" s="402">
        <f t="shared" si="67"/>
        <v>0</v>
      </c>
      <c r="HE42" s="402">
        <f t="shared" si="67"/>
        <v>0</v>
      </c>
      <c r="HF42" s="401"/>
      <c r="HG42" s="399">
        <f>SUM(SUMIFS(K42:HB42,$K$13:$HB$13,{"エネルギー管理指定工場等*","県域*"}))</f>
        <v>0</v>
      </c>
      <c r="HH42" s="402">
        <f>SUM(SUMIFS(L42:HC42,$K$13:$HB$13,{"エネルギー管理指定工場等*","県域*"}))</f>
        <v>0</v>
      </c>
      <c r="HI42" s="402">
        <f>SUM(SUMIFS(M42:HD42,$K$13:$HB$13,{"エネルギー管理指定工場等*","県域*"}))</f>
        <v>0</v>
      </c>
      <c r="HJ42" s="401"/>
      <c r="HL42" s="907">
        <v>33</v>
      </c>
      <c r="HM42" s="1192" t="str">
        <f t="shared" ref="HM42:HM59" ca="1" si="68">OFFSET(A1_原単位2024,6,$HL42+2)</f>
        <v/>
      </c>
      <c r="HN42" s="1200" t="str">
        <f ca="1">IF(COUNTIF(HN$10:HN41,OFFSET(A1_原単位2025,5,HL42+2))&gt;=1,"",OFFSET(A1_原単位2025,5,HL42+2)&amp;"")</f>
        <v/>
      </c>
      <c r="HO42" s="1204" t="str">
        <f t="shared" ref="HO42:HO59" ca="1" si="69">IF(HN42="","",HYPERLINK("#"&amp;IE42,"&lt;"&amp;IE42&amp;"&gt;"))</f>
        <v/>
      </c>
      <c r="HP42" s="1205" t="str">
        <f t="shared" ref="HP42:HP59" ca="1" si="70">IF(HN42="","",HYPERLINK("#"&amp;OFFSET(A1_原単位2025,66,$HL42+2),OFFSET(A1_原単位2025,62,$HL42+2)))</f>
        <v/>
      </c>
      <c r="HQ42" s="1223" t="str">
        <f t="shared" ref="HQ42:HQ59" ca="1" si="71">OFFSET(A1_原単位2024,18,$HL42+2)</f>
        <v/>
      </c>
      <c r="HR42" s="1200" t="str">
        <f ca="1">IF(COUNTIF(HR$10:HR41,OFFSET(A1_原単位2025,17,HL42+2))&gt;=1,"",OFFSET(A1_原単位2025,17,HL42+2)&amp;"")</f>
        <v/>
      </c>
      <c r="HS42" s="1212" t="str">
        <f t="shared" ref="HS42:HS59" ca="1" si="72">IF(HR42="","",HYPERLINK("#"&amp;IF42,"&lt;"&amp;IF42&amp;"&gt;"))</f>
        <v/>
      </c>
      <c r="HT42" s="1213" t="str">
        <f t="shared" ref="HT42:HT59" ca="1" si="73">IF(HR42="","",HYPERLINK("#"&amp;OFFSET(A1_原単位2025,67,$HL42+2),OFFSET(A1_原単位2025,63,$HL42+2)))</f>
        <v/>
      </c>
      <c r="HU42" s="1223" t="str">
        <f t="shared" ref="HU42:HU59" ca="1" si="74">OFFSET(A1_原単位2024,30,$HL42+2)</f>
        <v/>
      </c>
      <c r="HV42" s="1200" t="str">
        <f ca="1">IF(COUNTIF(HV$10:HV41,OFFSET(A1_原単位2025,29,HL42+2))&gt;=1,"",OFFSET(A1_原単位2025,29,HL42+2)&amp;"")</f>
        <v/>
      </c>
      <c r="HW42" s="1212" t="str">
        <f t="shared" ref="HW42:HW59" ca="1" si="75">IF(HV42="","",HYPERLINK("#"&amp;IG42,"&lt;"&amp;IG42&amp;"&gt;"))</f>
        <v/>
      </c>
      <c r="HX42" s="1213" t="str">
        <f t="shared" ref="HX42:HX59" ca="1" si="76">IF(HV42="","",HYPERLINK("#"&amp;OFFSET(A1_原単位2025,68,$HL42+2),OFFSET(A1_原単位2025,64,$HL42+2)))</f>
        <v/>
      </c>
      <c r="HY42" s="1223" t="str">
        <f t="shared" ref="HY42:HY59" ca="1" si="77">OFFSET(A1_原単位2024,42,$HL42+2)</f>
        <v/>
      </c>
      <c r="HZ42" s="1200" t="str">
        <f ca="1">IF(COUNTIF(HZ$10:HZ41,OFFSET(A1_原単位2025,41,HL42+2))&gt;=1,"",OFFSET(A1_原単位2025,41,HL42+2)&amp;"")</f>
        <v/>
      </c>
      <c r="IA42" s="1215" t="str">
        <f t="shared" ref="IA42:IA59" ca="1" si="78">IF(HZ42="","",HYPERLINK("#"&amp;IH42,"&lt;"&amp;IH42&amp;"&gt;"))</f>
        <v/>
      </c>
      <c r="IB42" s="1216" t="str">
        <f t="shared" ref="IB42:IB59" ca="1" si="79">IF(HZ42="","",HYPERLINK("#"&amp;OFFSET(A1_原単位2025,69,$HL42+2),OFFSET(A1_原単位2025,65,$HL42+2)))</f>
        <v/>
      </c>
      <c r="IE42" s="882" t="str">
        <f t="shared" ref="IE42:IE59" ca="1" si="80">IF($HN42="","",ADDRESS(ROW(貼付け_2025実績)+5,OFFSET(A1_原単位2025,7,$HL42+2)+COLUMN(貼付け_2025実績)+1,4))</f>
        <v/>
      </c>
      <c r="IF42" s="882" t="str">
        <f t="shared" ref="IF42:IF59" ca="1" si="81">IF($HR42="","",ADDRESS(ROW(貼付け_2025実績)+5,OFFSET(A1_原単位2025,19,$HL42+2)+COLUMN(貼付け_2025実績)+1,4))</f>
        <v/>
      </c>
      <c r="IG42" s="882" t="str">
        <f t="shared" ref="IG42:IG59" ca="1" si="82">IF($HV42="","",ADDRESS(ROW(貼付け_2025実績)+5,OFFSET(A1_原単位2025,31,$HL42+2)+COLUMN(貼付け_2025実績)+1,4))</f>
        <v/>
      </c>
      <c r="IH42" s="882" t="str">
        <f t="shared" ref="IH42:IH59" ca="1" si="83">IF($HZ42="","",ADDRESS(ROW(貼付け_2025実績)+5,OFFSET(A1_原単位2025,43,$HL42+2)+COLUMN(貼付け_2025実績)+1,4))</f>
        <v/>
      </c>
    </row>
    <row r="43" spans="2:242" s="889" customFormat="1" ht="19.95"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399">
        <f t="shared" si="67"/>
        <v>0</v>
      </c>
      <c r="HD43" s="402">
        <f t="shared" si="67"/>
        <v>0</v>
      </c>
      <c r="HE43" s="402">
        <f t="shared" si="67"/>
        <v>0</v>
      </c>
      <c r="HF43" s="401"/>
      <c r="HG43" s="399">
        <f>SUM(SUMIFS(K43:HB43,$K$13:$HB$13,{"エネルギー管理指定工場等*","県域*"}))</f>
        <v>0</v>
      </c>
      <c r="HH43" s="402">
        <f>SUM(SUMIFS(L43:HC43,$K$13:$HB$13,{"エネルギー管理指定工場等*","県域*"}))</f>
        <v>0</v>
      </c>
      <c r="HI43" s="402">
        <f>SUM(SUMIFS(M43:HD43,$K$13:$HB$13,{"エネルギー管理指定工場等*","県域*"}))</f>
        <v>0</v>
      </c>
      <c r="HJ43" s="401"/>
      <c r="HL43" s="908">
        <v>34</v>
      </c>
      <c r="HM43" s="1192" t="str">
        <f t="shared" ca="1" si="68"/>
        <v/>
      </c>
      <c r="HN43" s="1200" t="str">
        <f ca="1">IF(COUNTIF(HN$10:HN42,OFFSET(A1_原単位2025,5,HL43+2))&gt;=1,"",OFFSET(A1_原単位2025,5,HL43+2)&amp;"")</f>
        <v/>
      </c>
      <c r="HO43" s="1204" t="str">
        <f t="shared" ca="1" si="69"/>
        <v/>
      </c>
      <c r="HP43" s="1205" t="str">
        <f t="shared" ca="1" si="70"/>
        <v/>
      </c>
      <c r="HQ43" s="1223" t="str">
        <f t="shared" ca="1" si="71"/>
        <v/>
      </c>
      <c r="HR43" s="1200" t="str">
        <f ca="1">IF(COUNTIF(HR$10:HR42,OFFSET(A1_原単位2025,17,HL43+2))&gt;=1,"",OFFSET(A1_原単位2025,17,HL43+2)&amp;"")</f>
        <v/>
      </c>
      <c r="HS43" s="1212" t="str">
        <f t="shared" ca="1" si="72"/>
        <v/>
      </c>
      <c r="HT43" s="1213" t="str">
        <f t="shared" ca="1" si="73"/>
        <v/>
      </c>
      <c r="HU43" s="1223" t="str">
        <f t="shared" ca="1" si="74"/>
        <v/>
      </c>
      <c r="HV43" s="1200" t="str">
        <f ca="1">IF(COUNTIF(HV$10:HV42,OFFSET(A1_原単位2025,29,HL43+2))&gt;=1,"",OFFSET(A1_原単位2025,29,HL43+2)&amp;"")</f>
        <v/>
      </c>
      <c r="HW43" s="1212" t="str">
        <f t="shared" ca="1" si="75"/>
        <v/>
      </c>
      <c r="HX43" s="1213" t="str">
        <f t="shared" ca="1" si="76"/>
        <v/>
      </c>
      <c r="HY43" s="1223" t="str">
        <f t="shared" ca="1" si="77"/>
        <v/>
      </c>
      <c r="HZ43" s="1200" t="str">
        <f ca="1">IF(COUNTIF(HZ$10:HZ42,OFFSET(A1_原単位2025,41,HL43+2))&gt;=1,"",OFFSET(A1_原単位2025,41,HL43+2)&amp;"")</f>
        <v/>
      </c>
      <c r="IA43" s="1215" t="str">
        <f t="shared" ca="1" si="78"/>
        <v/>
      </c>
      <c r="IB43" s="1216" t="str">
        <f t="shared" ca="1" si="79"/>
        <v/>
      </c>
      <c r="IE43" s="882" t="str">
        <f t="shared" ca="1" si="80"/>
        <v/>
      </c>
      <c r="IF43" s="882" t="str">
        <f t="shared" ca="1" si="81"/>
        <v/>
      </c>
      <c r="IG43" s="882" t="str">
        <f t="shared" ca="1" si="82"/>
        <v/>
      </c>
      <c r="IH43" s="882" t="str">
        <f t="shared" ca="1" si="83"/>
        <v/>
      </c>
    </row>
    <row r="44" spans="2:242" s="889" customFormat="1" ht="19.95"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399">
        <f t="shared" si="67"/>
        <v>0</v>
      </c>
      <c r="HD44" s="402">
        <f t="shared" si="67"/>
        <v>0</v>
      </c>
      <c r="HE44" s="402">
        <f t="shared" si="67"/>
        <v>0</v>
      </c>
      <c r="HF44" s="401"/>
      <c r="HG44" s="399">
        <f>SUM(SUMIFS(K44:HB44,$K$13:$HB$13,{"エネルギー管理指定工場等*","県域*"}))</f>
        <v>0</v>
      </c>
      <c r="HH44" s="402">
        <f>SUM(SUMIFS(L44:HC44,$K$13:$HB$13,{"エネルギー管理指定工場等*","県域*"}))</f>
        <v>0</v>
      </c>
      <c r="HI44" s="402">
        <f>SUM(SUMIFS(M44:HD44,$K$13:$HB$13,{"エネルギー管理指定工場等*","県域*"}))</f>
        <v>0</v>
      </c>
      <c r="HJ44" s="401"/>
      <c r="HL44" s="907">
        <v>35</v>
      </c>
      <c r="HM44" s="1192" t="str">
        <f t="shared" ca="1" si="68"/>
        <v/>
      </c>
      <c r="HN44" s="1200" t="str">
        <f ca="1">IF(COUNTIF(HN$10:HN43,OFFSET(A1_原単位2025,5,HL44+2))&gt;=1,"",OFFSET(A1_原単位2025,5,HL44+2)&amp;"")</f>
        <v/>
      </c>
      <c r="HO44" s="1204" t="str">
        <f t="shared" ca="1" si="69"/>
        <v/>
      </c>
      <c r="HP44" s="1205" t="str">
        <f t="shared" ca="1" si="70"/>
        <v/>
      </c>
      <c r="HQ44" s="1223" t="str">
        <f t="shared" ca="1" si="71"/>
        <v/>
      </c>
      <c r="HR44" s="1200" t="str">
        <f ca="1">IF(COUNTIF(HR$10:HR43,OFFSET(A1_原単位2025,17,HL44+2))&gt;=1,"",OFFSET(A1_原単位2025,17,HL44+2)&amp;"")</f>
        <v/>
      </c>
      <c r="HS44" s="1212" t="str">
        <f t="shared" ca="1" si="72"/>
        <v/>
      </c>
      <c r="HT44" s="1213" t="str">
        <f t="shared" ca="1" si="73"/>
        <v/>
      </c>
      <c r="HU44" s="1223" t="str">
        <f t="shared" ca="1" si="74"/>
        <v/>
      </c>
      <c r="HV44" s="1200" t="str">
        <f ca="1">IF(COUNTIF(HV$10:HV43,OFFSET(A1_原単位2025,29,HL44+2))&gt;=1,"",OFFSET(A1_原単位2025,29,HL44+2)&amp;"")</f>
        <v/>
      </c>
      <c r="HW44" s="1212" t="str">
        <f t="shared" ca="1" si="75"/>
        <v/>
      </c>
      <c r="HX44" s="1213" t="str">
        <f t="shared" ca="1" si="76"/>
        <v/>
      </c>
      <c r="HY44" s="1223" t="str">
        <f t="shared" ca="1" si="77"/>
        <v/>
      </c>
      <c r="HZ44" s="1200" t="str">
        <f ca="1">IF(COUNTIF(HZ$10:HZ43,OFFSET(A1_原単位2025,41,HL44+2))&gt;=1,"",OFFSET(A1_原単位2025,41,HL44+2)&amp;"")</f>
        <v/>
      </c>
      <c r="IA44" s="1215" t="str">
        <f t="shared" ca="1" si="78"/>
        <v/>
      </c>
      <c r="IB44" s="1216" t="str">
        <f t="shared" ca="1" si="79"/>
        <v/>
      </c>
      <c r="IE44" s="882" t="str">
        <f t="shared" ca="1" si="80"/>
        <v/>
      </c>
      <c r="IF44" s="882" t="str">
        <f t="shared" ca="1" si="81"/>
        <v/>
      </c>
      <c r="IG44" s="882" t="str">
        <f t="shared" ca="1" si="82"/>
        <v/>
      </c>
      <c r="IH44" s="882" t="str">
        <f t="shared" ca="1" si="83"/>
        <v/>
      </c>
    </row>
    <row r="45" spans="2:242" s="889" customFormat="1" ht="19.95"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399">
        <f t="shared" si="67"/>
        <v>0</v>
      </c>
      <c r="HD45" s="402">
        <f t="shared" si="67"/>
        <v>0</v>
      </c>
      <c r="HE45" s="402">
        <f t="shared" si="67"/>
        <v>0</v>
      </c>
      <c r="HF45" s="401"/>
      <c r="HG45" s="399">
        <f>SUM(SUMIFS(K45:HB45,$K$13:$HB$13,{"エネルギー管理指定工場等*","県域*"}))</f>
        <v>0</v>
      </c>
      <c r="HH45" s="402">
        <f>SUM(SUMIFS(L45:HC45,$K$13:$HB$13,{"エネルギー管理指定工場等*","県域*"}))</f>
        <v>0</v>
      </c>
      <c r="HI45" s="402">
        <f>SUM(SUMIFS(M45:HD45,$K$13:$HB$13,{"エネルギー管理指定工場等*","県域*"}))</f>
        <v>0</v>
      </c>
      <c r="HJ45" s="401"/>
      <c r="HL45" s="907">
        <v>36</v>
      </c>
      <c r="HM45" s="1192" t="str">
        <f t="shared" ca="1" si="68"/>
        <v/>
      </c>
      <c r="HN45" s="1200" t="str">
        <f ca="1">IF(COUNTIF(HN$10:HN44,OFFSET(A1_原単位2025,5,HL45+2))&gt;=1,"",OFFSET(A1_原単位2025,5,HL45+2)&amp;"")</f>
        <v/>
      </c>
      <c r="HO45" s="1204" t="str">
        <f t="shared" ca="1" si="69"/>
        <v/>
      </c>
      <c r="HP45" s="1205" t="str">
        <f t="shared" ca="1" si="70"/>
        <v/>
      </c>
      <c r="HQ45" s="1223" t="str">
        <f t="shared" ca="1" si="71"/>
        <v/>
      </c>
      <c r="HR45" s="1200" t="str">
        <f ca="1">IF(COUNTIF(HR$10:HR44,OFFSET(A1_原単位2025,17,HL45+2))&gt;=1,"",OFFSET(A1_原単位2025,17,HL45+2)&amp;"")</f>
        <v/>
      </c>
      <c r="HS45" s="1212" t="str">
        <f t="shared" ca="1" si="72"/>
        <v/>
      </c>
      <c r="HT45" s="1213" t="str">
        <f t="shared" ca="1" si="73"/>
        <v/>
      </c>
      <c r="HU45" s="1223" t="str">
        <f t="shared" ca="1" si="74"/>
        <v/>
      </c>
      <c r="HV45" s="1200" t="str">
        <f ca="1">IF(COUNTIF(HV$10:HV44,OFFSET(A1_原単位2025,29,HL45+2))&gt;=1,"",OFFSET(A1_原単位2025,29,HL45+2)&amp;"")</f>
        <v/>
      </c>
      <c r="HW45" s="1212" t="str">
        <f t="shared" ca="1" si="75"/>
        <v/>
      </c>
      <c r="HX45" s="1213" t="str">
        <f t="shared" ca="1" si="76"/>
        <v/>
      </c>
      <c r="HY45" s="1223" t="str">
        <f t="shared" ca="1" si="77"/>
        <v/>
      </c>
      <c r="HZ45" s="1200" t="str">
        <f ca="1">IF(COUNTIF(HZ$10:HZ44,OFFSET(A1_原単位2025,41,HL45+2))&gt;=1,"",OFFSET(A1_原単位2025,41,HL45+2)&amp;"")</f>
        <v/>
      </c>
      <c r="IA45" s="1215" t="str">
        <f t="shared" ca="1" si="78"/>
        <v/>
      </c>
      <c r="IB45" s="1216" t="str">
        <f t="shared" ca="1" si="79"/>
        <v/>
      </c>
      <c r="IE45" s="882" t="str">
        <f t="shared" ca="1" si="80"/>
        <v/>
      </c>
      <c r="IF45" s="882" t="str">
        <f t="shared" ca="1" si="81"/>
        <v/>
      </c>
      <c r="IG45" s="882" t="str">
        <f t="shared" ca="1" si="82"/>
        <v/>
      </c>
      <c r="IH45" s="882" t="str">
        <f t="shared" ca="1" si="83"/>
        <v/>
      </c>
    </row>
    <row r="46" spans="2:242" s="889" customFormat="1" ht="19.95"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399">
        <f t="shared" si="67"/>
        <v>0</v>
      </c>
      <c r="HD46" s="402">
        <f t="shared" si="67"/>
        <v>0</v>
      </c>
      <c r="HE46" s="402">
        <f t="shared" si="67"/>
        <v>0</v>
      </c>
      <c r="HF46" s="401"/>
      <c r="HG46" s="399">
        <f>SUM(SUMIFS(K46:HB46,$K$13:$HB$13,{"エネルギー管理指定工場等*","県域*"}))</f>
        <v>0</v>
      </c>
      <c r="HH46" s="402">
        <f>SUM(SUMIFS(L46:HC46,$K$13:$HB$13,{"エネルギー管理指定工場等*","県域*"}))</f>
        <v>0</v>
      </c>
      <c r="HI46" s="402">
        <f>SUM(SUMIFS(M46:HD46,$K$13:$HB$13,{"エネルギー管理指定工場等*","県域*"}))</f>
        <v>0</v>
      </c>
      <c r="HJ46" s="401"/>
      <c r="HL46" s="908">
        <v>37</v>
      </c>
      <c r="HM46" s="1192" t="str">
        <f t="shared" ca="1" si="68"/>
        <v/>
      </c>
      <c r="HN46" s="1200" t="str">
        <f ca="1">IF(COUNTIF(HN$10:HN45,OFFSET(A1_原単位2025,5,HL46+2))&gt;=1,"",OFFSET(A1_原単位2025,5,HL46+2)&amp;"")</f>
        <v/>
      </c>
      <c r="HO46" s="1204" t="str">
        <f t="shared" ca="1" si="69"/>
        <v/>
      </c>
      <c r="HP46" s="1205" t="str">
        <f t="shared" ca="1" si="70"/>
        <v/>
      </c>
      <c r="HQ46" s="1223" t="str">
        <f t="shared" ca="1" si="71"/>
        <v/>
      </c>
      <c r="HR46" s="1200" t="str">
        <f ca="1">IF(COUNTIF(HR$10:HR45,OFFSET(A1_原単位2025,17,HL46+2))&gt;=1,"",OFFSET(A1_原単位2025,17,HL46+2)&amp;"")</f>
        <v/>
      </c>
      <c r="HS46" s="1212" t="str">
        <f t="shared" ca="1" si="72"/>
        <v/>
      </c>
      <c r="HT46" s="1213" t="str">
        <f t="shared" ca="1" si="73"/>
        <v/>
      </c>
      <c r="HU46" s="1223" t="str">
        <f t="shared" ca="1" si="74"/>
        <v/>
      </c>
      <c r="HV46" s="1200" t="str">
        <f ca="1">IF(COUNTIF(HV$10:HV45,OFFSET(A1_原単位2025,29,HL46+2))&gt;=1,"",OFFSET(A1_原単位2025,29,HL46+2)&amp;"")</f>
        <v/>
      </c>
      <c r="HW46" s="1212" t="str">
        <f t="shared" ca="1" si="75"/>
        <v/>
      </c>
      <c r="HX46" s="1213" t="str">
        <f t="shared" ca="1" si="76"/>
        <v/>
      </c>
      <c r="HY46" s="1223" t="str">
        <f t="shared" ca="1" si="77"/>
        <v/>
      </c>
      <c r="HZ46" s="1200" t="str">
        <f ca="1">IF(COUNTIF(HZ$10:HZ45,OFFSET(A1_原単位2025,41,HL46+2))&gt;=1,"",OFFSET(A1_原単位2025,41,HL46+2)&amp;"")</f>
        <v/>
      </c>
      <c r="IA46" s="1215" t="str">
        <f t="shared" ca="1" si="78"/>
        <v/>
      </c>
      <c r="IB46" s="1216" t="str">
        <f t="shared" ca="1" si="79"/>
        <v/>
      </c>
      <c r="IE46" s="882" t="str">
        <f t="shared" ca="1" si="80"/>
        <v/>
      </c>
      <c r="IF46" s="882" t="str">
        <f t="shared" ca="1" si="81"/>
        <v/>
      </c>
      <c r="IG46" s="882" t="str">
        <f t="shared" ca="1" si="82"/>
        <v/>
      </c>
      <c r="IH46" s="882" t="str">
        <f t="shared" ca="1" si="83"/>
        <v/>
      </c>
    </row>
    <row r="47" spans="2:242" s="889" customFormat="1" ht="19.95"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399">
        <f t="shared" si="67"/>
        <v>0</v>
      </c>
      <c r="HD47" s="402">
        <f t="shared" si="67"/>
        <v>0</v>
      </c>
      <c r="HE47" s="402">
        <f t="shared" si="67"/>
        <v>0</v>
      </c>
      <c r="HF47" s="401"/>
      <c r="HG47" s="399">
        <f>SUM(SUMIFS(K47:HB47,$K$13:$HB$13,{"エネルギー管理指定工場等*","県域*"}))</f>
        <v>0</v>
      </c>
      <c r="HH47" s="402">
        <f>SUM(SUMIFS(L47:HC47,$K$13:$HB$13,{"エネルギー管理指定工場等*","県域*"}))</f>
        <v>0</v>
      </c>
      <c r="HI47" s="402">
        <f>SUM(SUMIFS(M47:HD47,$K$13:$HB$13,{"エネルギー管理指定工場等*","県域*"}))</f>
        <v>0</v>
      </c>
      <c r="HJ47" s="401"/>
      <c r="HL47" s="907">
        <v>38</v>
      </c>
      <c r="HM47" s="1192" t="str">
        <f t="shared" ca="1" si="68"/>
        <v/>
      </c>
      <c r="HN47" s="1200" t="str">
        <f ca="1">IF(COUNTIF(HN$10:HN46,OFFSET(A1_原単位2025,5,HL47+2))&gt;=1,"",OFFSET(A1_原単位2025,5,HL47+2)&amp;"")</f>
        <v/>
      </c>
      <c r="HO47" s="1204" t="str">
        <f t="shared" ca="1" si="69"/>
        <v/>
      </c>
      <c r="HP47" s="1205" t="str">
        <f t="shared" ca="1" si="70"/>
        <v/>
      </c>
      <c r="HQ47" s="1223" t="str">
        <f t="shared" ca="1" si="71"/>
        <v/>
      </c>
      <c r="HR47" s="1200" t="str">
        <f ca="1">IF(COUNTIF(HR$10:HR46,OFFSET(A1_原単位2025,17,HL47+2))&gt;=1,"",OFFSET(A1_原単位2025,17,HL47+2)&amp;"")</f>
        <v/>
      </c>
      <c r="HS47" s="1212" t="str">
        <f t="shared" ca="1" si="72"/>
        <v/>
      </c>
      <c r="HT47" s="1213" t="str">
        <f t="shared" ca="1" si="73"/>
        <v/>
      </c>
      <c r="HU47" s="1223" t="str">
        <f t="shared" ca="1" si="74"/>
        <v/>
      </c>
      <c r="HV47" s="1200" t="str">
        <f ca="1">IF(COUNTIF(HV$10:HV46,OFFSET(A1_原単位2025,29,HL47+2))&gt;=1,"",OFFSET(A1_原単位2025,29,HL47+2)&amp;"")</f>
        <v/>
      </c>
      <c r="HW47" s="1212" t="str">
        <f t="shared" ca="1" si="75"/>
        <v/>
      </c>
      <c r="HX47" s="1213" t="str">
        <f t="shared" ca="1" si="76"/>
        <v/>
      </c>
      <c r="HY47" s="1223" t="str">
        <f t="shared" ca="1" si="77"/>
        <v/>
      </c>
      <c r="HZ47" s="1200" t="str">
        <f ca="1">IF(COUNTIF(HZ$10:HZ46,OFFSET(A1_原単位2025,41,HL47+2))&gt;=1,"",OFFSET(A1_原単位2025,41,HL47+2)&amp;"")</f>
        <v/>
      </c>
      <c r="IA47" s="1215" t="str">
        <f t="shared" ca="1" si="78"/>
        <v/>
      </c>
      <c r="IB47" s="1216" t="str">
        <f t="shared" ca="1" si="79"/>
        <v/>
      </c>
      <c r="IE47" s="882" t="str">
        <f t="shared" ca="1" si="80"/>
        <v/>
      </c>
      <c r="IF47" s="882" t="str">
        <f t="shared" ca="1" si="81"/>
        <v/>
      </c>
      <c r="IG47" s="882" t="str">
        <f t="shared" ca="1" si="82"/>
        <v/>
      </c>
      <c r="IH47" s="882" t="str">
        <f t="shared" ca="1" si="83"/>
        <v/>
      </c>
    </row>
    <row r="48" spans="2:242" s="889" customFormat="1" ht="19.95"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399">
        <f t="shared" si="67"/>
        <v>0</v>
      </c>
      <c r="HD48" s="402">
        <f t="shared" si="67"/>
        <v>0</v>
      </c>
      <c r="HE48" s="402">
        <f t="shared" si="67"/>
        <v>0</v>
      </c>
      <c r="HF48" s="401"/>
      <c r="HG48" s="399">
        <f>SUM(SUMIFS(K48:HB48,$K$13:$HB$13,{"エネルギー管理指定工場等*","県域*"}))</f>
        <v>0</v>
      </c>
      <c r="HH48" s="402">
        <f>SUM(SUMIFS(L48:HC48,$K$13:$HB$13,{"エネルギー管理指定工場等*","県域*"}))</f>
        <v>0</v>
      </c>
      <c r="HI48" s="402">
        <f>SUM(SUMIFS(M48:HD48,$K$13:$HB$13,{"エネルギー管理指定工場等*","県域*"}))</f>
        <v>0</v>
      </c>
      <c r="HJ48" s="401"/>
      <c r="HL48" s="907">
        <v>39</v>
      </c>
      <c r="HM48" s="1192" t="str">
        <f t="shared" ca="1" si="68"/>
        <v/>
      </c>
      <c r="HN48" s="1200" t="str">
        <f ca="1">IF(COUNTIF(HN$10:HN47,OFFSET(A1_原単位2025,5,HL48+2))&gt;=1,"",OFFSET(A1_原単位2025,5,HL48+2)&amp;"")</f>
        <v/>
      </c>
      <c r="HO48" s="1204" t="str">
        <f t="shared" ca="1" si="69"/>
        <v/>
      </c>
      <c r="HP48" s="1205" t="str">
        <f t="shared" ca="1" si="70"/>
        <v/>
      </c>
      <c r="HQ48" s="1223" t="str">
        <f t="shared" ca="1" si="71"/>
        <v/>
      </c>
      <c r="HR48" s="1200" t="str">
        <f ca="1">IF(COUNTIF(HR$10:HR47,OFFSET(A1_原単位2025,17,HL48+2))&gt;=1,"",OFFSET(A1_原単位2025,17,HL48+2)&amp;"")</f>
        <v/>
      </c>
      <c r="HS48" s="1212" t="str">
        <f t="shared" ca="1" si="72"/>
        <v/>
      </c>
      <c r="HT48" s="1213" t="str">
        <f t="shared" ca="1" si="73"/>
        <v/>
      </c>
      <c r="HU48" s="1223" t="str">
        <f t="shared" ca="1" si="74"/>
        <v/>
      </c>
      <c r="HV48" s="1200" t="str">
        <f ca="1">IF(COUNTIF(HV$10:HV47,OFFSET(A1_原単位2025,29,HL48+2))&gt;=1,"",OFFSET(A1_原単位2025,29,HL48+2)&amp;"")</f>
        <v/>
      </c>
      <c r="HW48" s="1212" t="str">
        <f t="shared" ca="1" si="75"/>
        <v/>
      </c>
      <c r="HX48" s="1213" t="str">
        <f t="shared" ca="1" si="76"/>
        <v/>
      </c>
      <c r="HY48" s="1223" t="str">
        <f t="shared" ca="1" si="77"/>
        <v/>
      </c>
      <c r="HZ48" s="1200" t="str">
        <f ca="1">IF(COUNTIF(HZ$10:HZ47,OFFSET(A1_原単位2025,41,HL48+2))&gt;=1,"",OFFSET(A1_原単位2025,41,HL48+2)&amp;"")</f>
        <v/>
      </c>
      <c r="IA48" s="1215" t="str">
        <f t="shared" ca="1" si="78"/>
        <v/>
      </c>
      <c r="IB48" s="1216" t="str">
        <f t="shared" ca="1" si="79"/>
        <v/>
      </c>
      <c r="IE48" s="882" t="str">
        <f t="shared" ca="1" si="80"/>
        <v/>
      </c>
      <c r="IF48" s="882" t="str">
        <f t="shared" ca="1" si="81"/>
        <v/>
      </c>
      <c r="IG48" s="882" t="str">
        <f t="shared" ca="1" si="82"/>
        <v/>
      </c>
      <c r="IH48" s="882" t="str">
        <f t="shared" ca="1" si="83"/>
        <v/>
      </c>
    </row>
    <row r="49" spans="2:242" s="889" customFormat="1" ht="19.95"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399">
        <f t="shared" si="67"/>
        <v>0</v>
      </c>
      <c r="HD49" s="402">
        <f t="shared" si="67"/>
        <v>0</v>
      </c>
      <c r="HE49" s="402">
        <f t="shared" si="67"/>
        <v>0</v>
      </c>
      <c r="HF49" s="401"/>
      <c r="HG49" s="399">
        <f>SUM(SUMIFS(K49:HB49,$K$13:$HB$13,{"エネルギー管理指定工場等*","県域*"}))</f>
        <v>0</v>
      </c>
      <c r="HH49" s="402">
        <f>SUM(SUMIFS(L49:HC49,$K$13:$HB$13,{"エネルギー管理指定工場等*","県域*"}))</f>
        <v>0</v>
      </c>
      <c r="HI49" s="402">
        <f>SUM(SUMIFS(M49:HD49,$K$13:$HB$13,{"エネルギー管理指定工場等*","県域*"}))</f>
        <v>0</v>
      </c>
      <c r="HJ49" s="401"/>
      <c r="HL49" s="908">
        <v>40</v>
      </c>
      <c r="HM49" s="1192" t="str">
        <f t="shared" ca="1" si="68"/>
        <v/>
      </c>
      <c r="HN49" s="1200" t="str">
        <f ca="1">IF(COUNTIF(HN$10:HN48,OFFSET(A1_原単位2025,5,HL49+2))&gt;=1,"",OFFSET(A1_原単位2025,5,HL49+2)&amp;"")</f>
        <v/>
      </c>
      <c r="HO49" s="1204" t="str">
        <f t="shared" ca="1" si="69"/>
        <v/>
      </c>
      <c r="HP49" s="1205" t="str">
        <f t="shared" ca="1" si="70"/>
        <v/>
      </c>
      <c r="HQ49" s="1223" t="str">
        <f t="shared" ca="1" si="71"/>
        <v/>
      </c>
      <c r="HR49" s="1200" t="str">
        <f ca="1">IF(COUNTIF(HR$10:HR48,OFFSET(A1_原単位2025,17,HL49+2))&gt;=1,"",OFFSET(A1_原単位2025,17,HL49+2)&amp;"")</f>
        <v/>
      </c>
      <c r="HS49" s="1212" t="str">
        <f t="shared" ca="1" si="72"/>
        <v/>
      </c>
      <c r="HT49" s="1213" t="str">
        <f t="shared" ca="1" si="73"/>
        <v/>
      </c>
      <c r="HU49" s="1223" t="str">
        <f t="shared" ca="1" si="74"/>
        <v/>
      </c>
      <c r="HV49" s="1200" t="str">
        <f ca="1">IF(COUNTIF(HV$10:HV48,OFFSET(A1_原単位2025,29,HL49+2))&gt;=1,"",OFFSET(A1_原単位2025,29,HL49+2)&amp;"")</f>
        <v/>
      </c>
      <c r="HW49" s="1212" t="str">
        <f t="shared" ca="1" si="75"/>
        <v/>
      </c>
      <c r="HX49" s="1213" t="str">
        <f t="shared" ca="1" si="76"/>
        <v/>
      </c>
      <c r="HY49" s="1223" t="str">
        <f t="shared" ca="1" si="77"/>
        <v/>
      </c>
      <c r="HZ49" s="1200" t="str">
        <f ca="1">IF(COUNTIF(HZ$10:HZ48,OFFSET(A1_原単位2025,41,HL49+2))&gt;=1,"",OFFSET(A1_原単位2025,41,HL49+2)&amp;"")</f>
        <v/>
      </c>
      <c r="IA49" s="1215" t="str">
        <f t="shared" ca="1" si="78"/>
        <v/>
      </c>
      <c r="IB49" s="1216" t="str">
        <f t="shared" ca="1" si="79"/>
        <v/>
      </c>
      <c r="IE49" s="882" t="str">
        <f t="shared" ca="1" si="80"/>
        <v/>
      </c>
      <c r="IF49" s="882" t="str">
        <f t="shared" ca="1" si="81"/>
        <v/>
      </c>
      <c r="IG49" s="882" t="str">
        <f t="shared" ca="1" si="82"/>
        <v/>
      </c>
      <c r="IH49" s="882" t="str">
        <f t="shared" ca="1" si="83"/>
        <v/>
      </c>
    </row>
    <row r="50" spans="2:242" s="889" customFormat="1" ht="19.95"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399">
        <f t="shared" si="67"/>
        <v>0</v>
      </c>
      <c r="HD50" s="402">
        <f t="shared" si="67"/>
        <v>0</v>
      </c>
      <c r="HE50" s="402">
        <f t="shared" si="67"/>
        <v>0</v>
      </c>
      <c r="HF50" s="401"/>
      <c r="HG50" s="399">
        <f>SUM(SUMIFS(K50:HB50,$K$13:$HB$13,{"エネルギー管理指定工場等*","県域*"}))</f>
        <v>0</v>
      </c>
      <c r="HH50" s="402">
        <f>SUM(SUMIFS(L50:HC50,$K$13:$HB$13,{"エネルギー管理指定工場等*","県域*"}))</f>
        <v>0</v>
      </c>
      <c r="HI50" s="402">
        <f>SUM(SUMIFS(M50:HD50,$K$13:$HB$13,{"エネルギー管理指定工場等*","県域*"}))</f>
        <v>0</v>
      </c>
      <c r="HJ50" s="401"/>
      <c r="HL50" s="907">
        <v>41</v>
      </c>
      <c r="HM50" s="1192" t="str">
        <f t="shared" ca="1" si="68"/>
        <v/>
      </c>
      <c r="HN50" s="1200" t="str">
        <f ca="1">IF(COUNTIF(HN$10:HN49,OFFSET(A1_原単位2025,5,HL50+2))&gt;=1,"",OFFSET(A1_原単位2025,5,HL50+2)&amp;"")</f>
        <v/>
      </c>
      <c r="HO50" s="1204" t="str">
        <f t="shared" ca="1" si="69"/>
        <v/>
      </c>
      <c r="HP50" s="1205" t="str">
        <f t="shared" ca="1" si="70"/>
        <v/>
      </c>
      <c r="HQ50" s="1223" t="str">
        <f t="shared" ca="1" si="71"/>
        <v/>
      </c>
      <c r="HR50" s="1200" t="str">
        <f ca="1">IF(COUNTIF(HR$10:HR49,OFFSET(A1_原単位2025,17,HL50+2))&gt;=1,"",OFFSET(A1_原単位2025,17,HL50+2)&amp;"")</f>
        <v/>
      </c>
      <c r="HS50" s="1212" t="str">
        <f t="shared" ca="1" si="72"/>
        <v/>
      </c>
      <c r="HT50" s="1213" t="str">
        <f t="shared" ca="1" si="73"/>
        <v/>
      </c>
      <c r="HU50" s="1223" t="str">
        <f t="shared" ca="1" si="74"/>
        <v/>
      </c>
      <c r="HV50" s="1200" t="str">
        <f ca="1">IF(COUNTIF(HV$10:HV49,OFFSET(A1_原単位2025,29,HL50+2))&gt;=1,"",OFFSET(A1_原単位2025,29,HL50+2)&amp;"")</f>
        <v/>
      </c>
      <c r="HW50" s="1212" t="str">
        <f t="shared" ca="1" si="75"/>
        <v/>
      </c>
      <c r="HX50" s="1213" t="str">
        <f t="shared" ca="1" si="76"/>
        <v/>
      </c>
      <c r="HY50" s="1223" t="str">
        <f t="shared" ca="1" si="77"/>
        <v/>
      </c>
      <c r="HZ50" s="1200" t="str">
        <f ca="1">IF(COUNTIF(HZ$10:HZ49,OFFSET(A1_原単位2025,41,HL50+2))&gt;=1,"",OFFSET(A1_原単位2025,41,HL50+2)&amp;"")</f>
        <v/>
      </c>
      <c r="IA50" s="1215" t="str">
        <f t="shared" ca="1" si="78"/>
        <v/>
      </c>
      <c r="IB50" s="1216" t="str">
        <f t="shared" ca="1" si="79"/>
        <v/>
      </c>
      <c r="IE50" s="882" t="str">
        <f t="shared" ca="1" si="80"/>
        <v/>
      </c>
      <c r="IF50" s="882" t="str">
        <f t="shared" ca="1" si="81"/>
        <v/>
      </c>
      <c r="IG50" s="882" t="str">
        <f t="shared" ca="1" si="82"/>
        <v/>
      </c>
      <c r="IH50" s="882" t="str">
        <f t="shared" ca="1" si="83"/>
        <v/>
      </c>
    </row>
    <row r="51" spans="2:242" s="889" customFormat="1" ht="19.95"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399">
        <f t="shared" si="67"/>
        <v>0</v>
      </c>
      <c r="HD51" s="402">
        <f t="shared" si="67"/>
        <v>0</v>
      </c>
      <c r="HE51" s="402">
        <f t="shared" si="67"/>
        <v>0</v>
      </c>
      <c r="HF51" s="401"/>
      <c r="HG51" s="399">
        <f>SUM(SUMIFS(K51:HB51,$K$13:$HB$13,{"エネルギー管理指定工場等*","県域*"}))</f>
        <v>0</v>
      </c>
      <c r="HH51" s="402">
        <f>SUM(SUMIFS(L51:HC51,$K$13:$HB$13,{"エネルギー管理指定工場等*","県域*"}))</f>
        <v>0</v>
      </c>
      <c r="HI51" s="402">
        <f>SUM(SUMIFS(M51:HD51,$K$13:$HB$13,{"エネルギー管理指定工場等*","県域*"}))</f>
        <v>0</v>
      </c>
      <c r="HJ51" s="401"/>
      <c r="HL51" s="907">
        <v>42</v>
      </c>
      <c r="HM51" s="1192" t="str">
        <f t="shared" ca="1" si="68"/>
        <v/>
      </c>
      <c r="HN51" s="1200" t="str">
        <f ca="1">IF(COUNTIF(HN$10:HN50,OFFSET(A1_原単位2025,5,HL51+2))&gt;=1,"",OFFSET(A1_原単位2025,5,HL51+2)&amp;"")</f>
        <v/>
      </c>
      <c r="HO51" s="1204" t="str">
        <f t="shared" ca="1" si="69"/>
        <v/>
      </c>
      <c r="HP51" s="1205" t="str">
        <f t="shared" ca="1" si="70"/>
        <v/>
      </c>
      <c r="HQ51" s="1223" t="str">
        <f t="shared" ca="1" si="71"/>
        <v/>
      </c>
      <c r="HR51" s="1200" t="str">
        <f ca="1">IF(COUNTIF(HR$10:HR50,OFFSET(A1_原単位2025,17,HL51+2))&gt;=1,"",OFFSET(A1_原単位2025,17,HL51+2)&amp;"")</f>
        <v/>
      </c>
      <c r="HS51" s="1212" t="str">
        <f t="shared" ca="1" si="72"/>
        <v/>
      </c>
      <c r="HT51" s="1213" t="str">
        <f t="shared" ca="1" si="73"/>
        <v/>
      </c>
      <c r="HU51" s="1223" t="str">
        <f t="shared" ca="1" si="74"/>
        <v/>
      </c>
      <c r="HV51" s="1200" t="str">
        <f ca="1">IF(COUNTIF(HV$10:HV50,OFFSET(A1_原単位2025,29,HL51+2))&gt;=1,"",OFFSET(A1_原単位2025,29,HL51+2)&amp;"")</f>
        <v/>
      </c>
      <c r="HW51" s="1212" t="str">
        <f t="shared" ca="1" si="75"/>
        <v/>
      </c>
      <c r="HX51" s="1213" t="str">
        <f t="shared" ca="1" si="76"/>
        <v/>
      </c>
      <c r="HY51" s="1223" t="str">
        <f t="shared" ca="1" si="77"/>
        <v/>
      </c>
      <c r="HZ51" s="1200" t="str">
        <f ca="1">IF(COUNTIF(HZ$10:HZ50,OFFSET(A1_原単位2025,41,HL51+2))&gt;=1,"",OFFSET(A1_原単位2025,41,HL51+2)&amp;"")</f>
        <v/>
      </c>
      <c r="IA51" s="1215" t="str">
        <f t="shared" ca="1" si="78"/>
        <v/>
      </c>
      <c r="IB51" s="1216" t="str">
        <f t="shared" ca="1" si="79"/>
        <v/>
      </c>
      <c r="IE51" s="882" t="str">
        <f t="shared" ca="1" si="80"/>
        <v/>
      </c>
      <c r="IF51" s="882" t="str">
        <f t="shared" ca="1" si="81"/>
        <v/>
      </c>
      <c r="IG51" s="882" t="str">
        <f t="shared" ca="1" si="82"/>
        <v/>
      </c>
      <c r="IH51" s="882" t="str">
        <f t="shared" ca="1" si="83"/>
        <v/>
      </c>
    </row>
    <row r="52" spans="2:242" s="889" customFormat="1" ht="19.95"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399">
        <f t="shared" si="67"/>
        <v>0</v>
      </c>
      <c r="HD52" s="402">
        <f t="shared" si="67"/>
        <v>0</v>
      </c>
      <c r="HE52" s="402">
        <f t="shared" si="67"/>
        <v>0</v>
      </c>
      <c r="HF52" s="401"/>
      <c r="HG52" s="399">
        <f>SUM(SUMIFS(K52:HB52,$K$13:$HB$13,{"エネルギー管理指定工場等*","県域*"}))</f>
        <v>0</v>
      </c>
      <c r="HH52" s="402">
        <f>SUM(SUMIFS(L52:HC52,$K$13:$HB$13,{"エネルギー管理指定工場等*","県域*"}))</f>
        <v>0</v>
      </c>
      <c r="HI52" s="402">
        <f>SUM(SUMIFS(M52:HD52,$K$13:$HB$13,{"エネルギー管理指定工場等*","県域*"}))</f>
        <v>0</v>
      </c>
      <c r="HJ52" s="401"/>
      <c r="HL52" s="908">
        <v>43</v>
      </c>
      <c r="HM52" s="1192" t="str">
        <f t="shared" ca="1" si="68"/>
        <v/>
      </c>
      <c r="HN52" s="1200" t="str">
        <f ca="1">IF(COUNTIF(HN$10:HN51,OFFSET(A1_原単位2025,5,HL52+2))&gt;=1,"",OFFSET(A1_原単位2025,5,HL52+2)&amp;"")</f>
        <v/>
      </c>
      <c r="HO52" s="1204" t="str">
        <f t="shared" ca="1" si="69"/>
        <v/>
      </c>
      <c r="HP52" s="1205" t="str">
        <f t="shared" ca="1" si="70"/>
        <v/>
      </c>
      <c r="HQ52" s="1223" t="str">
        <f t="shared" ca="1" si="71"/>
        <v/>
      </c>
      <c r="HR52" s="1200" t="str">
        <f ca="1">IF(COUNTIF(HR$10:HR51,OFFSET(A1_原単位2025,17,HL52+2))&gt;=1,"",OFFSET(A1_原単位2025,17,HL52+2)&amp;"")</f>
        <v/>
      </c>
      <c r="HS52" s="1212" t="str">
        <f t="shared" ca="1" si="72"/>
        <v/>
      </c>
      <c r="HT52" s="1213" t="str">
        <f t="shared" ca="1" si="73"/>
        <v/>
      </c>
      <c r="HU52" s="1223" t="str">
        <f t="shared" ca="1" si="74"/>
        <v/>
      </c>
      <c r="HV52" s="1200" t="str">
        <f ca="1">IF(COUNTIF(HV$10:HV51,OFFSET(A1_原単位2025,29,HL52+2))&gt;=1,"",OFFSET(A1_原単位2025,29,HL52+2)&amp;"")</f>
        <v/>
      </c>
      <c r="HW52" s="1212" t="str">
        <f t="shared" ca="1" si="75"/>
        <v/>
      </c>
      <c r="HX52" s="1213" t="str">
        <f t="shared" ca="1" si="76"/>
        <v/>
      </c>
      <c r="HY52" s="1223" t="str">
        <f t="shared" ca="1" si="77"/>
        <v/>
      </c>
      <c r="HZ52" s="1200" t="str">
        <f ca="1">IF(COUNTIF(HZ$10:HZ51,OFFSET(A1_原単位2025,41,HL52+2))&gt;=1,"",OFFSET(A1_原単位2025,41,HL52+2)&amp;"")</f>
        <v/>
      </c>
      <c r="IA52" s="1215" t="str">
        <f t="shared" ca="1" si="78"/>
        <v/>
      </c>
      <c r="IB52" s="1216" t="str">
        <f t="shared" ca="1" si="79"/>
        <v/>
      </c>
      <c r="IE52" s="882" t="str">
        <f t="shared" ca="1" si="80"/>
        <v/>
      </c>
      <c r="IF52" s="882" t="str">
        <f t="shared" ca="1" si="81"/>
        <v/>
      </c>
      <c r="IG52" s="882" t="str">
        <f t="shared" ca="1" si="82"/>
        <v/>
      </c>
      <c r="IH52" s="882" t="str">
        <f t="shared" ca="1" si="83"/>
        <v/>
      </c>
    </row>
    <row r="53" spans="2:242" s="889" customFormat="1" ht="19.95"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399">
        <f t="shared" si="67"/>
        <v>0</v>
      </c>
      <c r="HD53" s="402">
        <f t="shared" si="67"/>
        <v>0</v>
      </c>
      <c r="HE53" s="402">
        <f t="shared" si="67"/>
        <v>0</v>
      </c>
      <c r="HF53" s="401"/>
      <c r="HG53" s="399">
        <f>SUM(SUMIFS(K53:HB53,$K$13:$HB$13,{"エネルギー管理指定工場等*","県域*"}))</f>
        <v>0</v>
      </c>
      <c r="HH53" s="402">
        <f>SUM(SUMIFS(L53:HC53,$K$13:$HB$13,{"エネルギー管理指定工場等*","県域*"}))</f>
        <v>0</v>
      </c>
      <c r="HI53" s="402">
        <f>SUM(SUMIFS(M53:HD53,$K$13:$HB$13,{"エネルギー管理指定工場等*","県域*"}))</f>
        <v>0</v>
      </c>
      <c r="HJ53" s="401"/>
      <c r="HL53" s="907">
        <v>44</v>
      </c>
      <c r="HM53" s="1192" t="str">
        <f t="shared" ca="1" si="68"/>
        <v/>
      </c>
      <c r="HN53" s="1200" t="str">
        <f ca="1">IF(COUNTIF(HN$10:HN52,OFFSET(A1_原単位2025,5,HL53+2))&gt;=1,"",OFFSET(A1_原単位2025,5,HL53+2)&amp;"")</f>
        <v/>
      </c>
      <c r="HO53" s="1204" t="str">
        <f t="shared" ca="1" si="69"/>
        <v/>
      </c>
      <c r="HP53" s="1205" t="str">
        <f t="shared" ca="1" si="70"/>
        <v/>
      </c>
      <c r="HQ53" s="1223" t="str">
        <f t="shared" ca="1" si="71"/>
        <v/>
      </c>
      <c r="HR53" s="1200" t="str">
        <f ca="1">IF(COUNTIF(HR$10:HR52,OFFSET(A1_原単位2025,17,HL53+2))&gt;=1,"",OFFSET(A1_原単位2025,17,HL53+2)&amp;"")</f>
        <v/>
      </c>
      <c r="HS53" s="1212" t="str">
        <f t="shared" ca="1" si="72"/>
        <v/>
      </c>
      <c r="HT53" s="1213" t="str">
        <f t="shared" ca="1" si="73"/>
        <v/>
      </c>
      <c r="HU53" s="1223" t="str">
        <f t="shared" ca="1" si="74"/>
        <v/>
      </c>
      <c r="HV53" s="1200" t="str">
        <f ca="1">IF(COUNTIF(HV$10:HV52,OFFSET(A1_原単位2025,29,HL53+2))&gt;=1,"",OFFSET(A1_原単位2025,29,HL53+2)&amp;"")</f>
        <v/>
      </c>
      <c r="HW53" s="1212" t="str">
        <f t="shared" ca="1" si="75"/>
        <v/>
      </c>
      <c r="HX53" s="1213" t="str">
        <f t="shared" ca="1" si="76"/>
        <v/>
      </c>
      <c r="HY53" s="1223" t="str">
        <f t="shared" ca="1" si="77"/>
        <v/>
      </c>
      <c r="HZ53" s="1200" t="str">
        <f ca="1">IF(COUNTIF(HZ$10:HZ52,OFFSET(A1_原単位2025,41,HL53+2))&gt;=1,"",OFFSET(A1_原単位2025,41,HL53+2)&amp;"")</f>
        <v/>
      </c>
      <c r="IA53" s="1215" t="str">
        <f t="shared" ca="1" si="78"/>
        <v/>
      </c>
      <c r="IB53" s="1216" t="str">
        <f t="shared" ca="1" si="79"/>
        <v/>
      </c>
      <c r="IE53" s="882" t="str">
        <f t="shared" ca="1" si="80"/>
        <v/>
      </c>
      <c r="IF53" s="882" t="str">
        <f t="shared" ca="1" si="81"/>
        <v/>
      </c>
      <c r="IG53" s="882" t="str">
        <f t="shared" ca="1" si="82"/>
        <v/>
      </c>
      <c r="IH53" s="882" t="str">
        <f t="shared" ca="1" si="83"/>
        <v/>
      </c>
    </row>
    <row r="54" spans="2:242" s="889" customFormat="1" ht="19.95"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399">
        <f t="shared" si="67"/>
        <v>0</v>
      </c>
      <c r="HD54" s="402">
        <f t="shared" si="67"/>
        <v>0</v>
      </c>
      <c r="HE54" s="402">
        <f t="shared" si="67"/>
        <v>0</v>
      </c>
      <c r="HF54" s="401"/>
      <c r="HG54" s="399">
        <f>SUM(SUMIFS(K54:HB54,$K$13:$HB$13,{"エネルギー管理指定工場等*","県域*"}))</f>
        <v>0</v>
      </c>
      <c r="HH54" s="402">
        <f>SUM(SUMIFS(L54:HC54,$K$13:$HB$13,{"エネルギー管理指定工場等*","県域*"}))</f>
        <v>0</v>
      </c>
      <c r="HI54" s="402">
        <f>SUM(SUMIFS(M54:HD54,$K$13:$HB$13,{"エネルギー管理指定工場等*","県域*"}))</f>
        <v>0</v>
      </c>
      <c r="HJ54" s="401"/>
      <c r="HL54" s="907">
        <v>45</v>
      </c>
      <c r="HM54" s="1192" t="str">
        <f t="shared" ca="1" si="68"/>
        <v/>
      </c>
      <c r="HN54" s="1200" t="str">
        <f ca="1">IF(COUNTIF(HN$10:HN53,OFFSET(A1_原単位2025,5,HL54+2))&gt;=1,"",OFFSET(A1_原単位2025,5,HL54+2)&amp;"")</f>
        <v/>
      </c>
      <c r="HO54" s="1204" t="str">
        <f t="shared" ca="1" si="69"/>
        <v/>
      </c>
      <c r="HP54" s="1205" t="str">
        <f t="shared" ca="1" si="70"/>
        <v/>
      </c>
      <c r="HQ54" s="1223" t="str">
        <f t="shared" ca="1" si="71"/>
        <v/>
      </c>
      <c r="HR54" s="1200" t="str">
        <f ca="1">IF(COUNTIF(HR$10:HR53,OFFSET(A1_原単位2025,17,HL54+2))&gt;=1,"",OFFSET(A1_原単位2025,17,HL54+2)&amp;"")</f>
        <v/>
      </c>
      <c r="HS54" s="1212" t="str">
        <f t="shared" ca="1" si="72"/>
        <v/>
      </c>
      <c r="HT54" s="1213" t="str">
        <f t="shared" ca="1" si="73"/>
        <v/>
      </c>
      <c r="HU54" s="1223" t="str">
        <f t="shared" ca="1" si="74"/>
        <v/>
      </c>
      <c r="HV54" s="1200" t="str">
        <f ca="1">IF(COUNTIF(HV$10:HV53,OFFSET(A1_原単位2025,29,HL54+2))&gt;=1,"",OFFSET(A1_原単位2025,29,HL54+2)&amp;"")</f>
        <v/>
      </c>
      <c r="HW54" s="1212" t="str">
        <f t="shared" ca="1" si="75"/>
        <v/>
      </c>
      <c r="HX54" s="1213" t="str">
        <f t="shared" ca="1" si="76"/>
        <v/>
      </c>
      <c r="HY54" s="1223" t="str">
        <f t="shared" ca="1" si="77"/>
        <v/>
      </c>
      <c r="HZ54" s="1200" t="str">
        <f ca="1">IF(COUNTIF(HZ$10:HZ53,OFFSET(A1_原単位2025,41,HL54+2))&gt;=1,"",OFFSET(A1_原単位2025,41,HL54+2)&amp;"")</f>
        <v/>
      </c>
      <c r="IA54" s="1215" t="str">
        <f t="shared" ca="1" si="78"/>
        <v/>
      </c>
      <c r="IB54" s="1216" t="str">
        <f t="shared" ca="1" si="79"/>
        <v/>
      </c>
      <c r="IE54" s="882" t="str">
        <f t="shared" ca="1" si="80"/>
        <v/>
      </c>
      <c r="IF54" s="882" t="str">
        <f t="shared" ca="1" si="81"/>
        <v/>
      </c>
      <c r="IG54" s="882" t="str">
        <f t="shared" ca="1" si="82"/>
        <v/>
      </c>
      <c r="IH54" s="882" t="str">
        <f t="shared" ca="1" si="83"/>
        <v/>
      </c>
    </row>
    <row r="55" spans="2:242" s="889" customFormat="1" ht="19.95"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399">
        <f t="shared" si="67"/>
        <v>0</v>
      </c>
      <c r="HD55" s="402">
        <f t="shared" si="67"/>
        <v>0</v>
      </c>
      <c r="HE55" s="402">
        <f t="shared" si="67"/>
        <v>0</v>
      </c>
      <c r="HF55" s="401"/>
      <c r="HG55" s="399">
        <f>SUM(SUMIFS(K55:HB55,$K$13:$HB$13,{"エネルギー管理指定工場等*","県域*"}))</f>
        <v>0</v>
      </c>
      <c r="HH55" s="402">
        <f>SUM(SUMIFS(L55:HC55,$K$13:$HB$13,{"エネルギー管理指定工場等*","県域*"}))</f>
        <v>0</v>
      </c>
      <c r="HI55" s="402">
        <f>SUM(SUMIFS(M55:HD55,$K$13:$HB$13,{"エネルギー管理指定工場等*","県域*"}))</f>
        <v>0</v>
      </c>
      <c r="HJ55" s="401"/>
      <c r="HL55" s="908">
        <v>46</v>
      </c>
      <c r="HM55" s="1192" t="str">
        <f t="shared" ca="1" si="68"/>
        <v/>
      </c>
      <c r="HN55" s="1200" t="str">
        <f ca="1">IF(COUNTIF(HN$10:HN54,OFFSET(A1_原単位2025,5,HL55+2))&gt;=1,"",OFFSET(A1_原単位2025,5,HL55+2)&amp;"")</f>
        <v/>
      </c>
      <c r="HO55" s="1204" t="str">
        <f t="shared" ca="1" si="69"/>
        <v/>
      </c>
      <c r="HP55" s="1205" t="str">
        <f t="shared" ca="1" si="70"/>
        <v/>
      </c>
      <c r="HQ55" s="1223" t="str">
        <f t="shared" ca="1" si="71"/>
        <v/>
      </c>
      <c r="HR55" s="1200" t="str">
        <f ca="1">IF(COUNTIF(HR$10:HR54,OFFSET(A1_原単位2025,17,HL55+2))&gt;=1,"",OFFSET(A1_原単位2025,17,HL55+2)&amp;"")</f>
        <v/>
      </c>
      <c r="HS55" s="1212" t="str">
        <f t="shared" ca="1" si="72"/>
        <v/>
      </c>
      <c r="HT55" s="1213" t="str">
        <f t="shared" ca="1" si="73"/>
        <v/>
      </c>
      <c r="HU55" s="1223" t="str">
        <f t="shared" ca="1" si="74"/>
        <v/>
      </c>
      <c r="HV55" s="1200" t="str">
        <f ca="1">IF(COUNTIF(HV$10:HV54,OFFSET(A1_原単位2025,29,HL55+2))&gt;=1,"",OFFSET(A1_原単位2025,29,HL55+2)&amp;"")</f>
        <v/>
      </c>
      <c r="HW55" s="1212" t="str">
        <f t="shared" ca="1" si="75"/>
        <v/>
      </c>
      <c r="HX55" s="1213" t="str">
        <f t="shared" ca="1" si="76"/>
        <v/>
      </c>
      <c r="HY55" s="1223" t="str">
        <f t="shared" ca="1" si="77"/>
        <v/>
      </c>
      <c r="HZ55" s="1200" t="str">
        <f ca="1">IF(COUNTIF(HZ$10:HZ54,OFFSET(A1_原単位2025,41,HL55+2))&gt;=1,"",OFFSET(A1_原単位2025,41,HL55+2)&amp;"")</f>
        <v/>
      </c>
      <c r="IA55" s="1215" t="str">
        <f t="shared" ca="1" si="78"/>
        <v/>
      </c>
      <c r="IB55" s="1216" t="str">
        <f t="shared" ca="1" si="79"/>
        <v/>
      </c>
      <c r="IE55" s="882" t="str">
        <f t="shared" ca="1" si="80"/>
        <v/>
      </c>
      <c r="IF55" s="882" t="str">
        <f t="shared" ca="1" si="81"/>
        <v/>
      </c>
      <c r="IG55" s="882" t="str">
        <f t="shared" ca="1" si="82"/>
        <v/>
      </c>
      <c r="IH55" s="882" t="str">
        <f t="shared" ca="1" si="83"/>
        <v/>
      </c>
    </row>
    <row r="56" spans="2:242" s="889" customFormat="1" ht="19.95"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399">
        <f t="shared" si="67"/>
        <v>0</v>
      </c>
      <c r="HD56" s="402">
        <f t="shared" si="67"/>
        <v>0</v>
      </c>
      <c r="HE56" s="402">
        <f t="shared" si="67"/>
        <v>0</v>
      </c>
      <c r="HF56" s="401"/>
      <c r="HG56" s="399">
        <f>SUM(SUMIFS(K56:HB56,$K$13:$HB$13,{"エネルギー管理指定工場等*","県域*"}))</f>
        <v>0</v>
      </c>
      <c r="HH56" s="402">
        <f>SUM(SUMIFS(L56:HC56,$K$13:$HB$13,{"エネルギー管理指定工場等*","県域*"}))</f>
        <v>0</v>
      </c>
      <c r="HI56" s="402">
        <f>SUM(SUMIFS(M56:HD56,$K$13:$HB$13,{"エネルギー管理指定工場等*","県域*"}))</f>
        <v>0</v>
      </c>
      <c r="HJ56" s="401"/>
      <c r="HL56" s="907">
        <v>47</v>
      </c>
      <c r="HM56" s="1192" t="str">
        <f t="shared" ca="1" si="68"/>
        <v/>
      </c>
      <c r="HN56" s="1200" t="str">
        <f ca="1">IF(COUNTIF(HN$10:HN55,OFFSET(A1_原単位2025,5,HL56+2))&gt;=1,"",OFFSET(A1_原単位2025,5,HL56+2)&amp;"")</f>
        <v/>
      </c>
      <c r="HO56" s="1204" t="str">
        <f t="shared" ca="1" si="69"/>
        <v/>
      </c>
      <c r="HP56" s="1205" t="str">
        <f t="shared" ca="1" si="70"/>
        <v/>
      </c>
      <c r="HQ56" s="1223" t="str">
        <f t="shared" ca="1" si="71"/>
        <v/>
      </c>
      <c r="HR56" s="1200" t="str">
        <f ca="1">IF(COUNTIF(HR$10:HR55,OFFSET(A1_原単位2025,17,HL56+2))&gt;=1,"",OFFSET(A1_原単位2025,17,HL56+2)&amp;"")</f>
        <v/>
      </c>
      <c r="HS56" s="1212" t="str">
        <f t="shared" ca="1" si="72"/>
        <v/>
      </c>
      <c r="HT56" s="1213" t="str">
        <f t="shared" ca="1" si="73"/>
        <v/>
      </c>
      <c r="HU56" s="1223" t="str">
        <f t="shared" ca="1" si="74"/>
        <v/>
      </c>
      <c r="HV56" s="1200" t="str">
        <f ca="1">IF(COUNTIF(HV$10:HV55,OFFSET(A1_原単位2025,29,HL56+2))&gt;=1,"",OFFSET(A1_原単位2025,29,HL56+2)&amp;"")</f>
        <v/>
      </c>
      <c r="HW56" s="1212" t="str">
        <f t="shared" ca="1" si="75"/>
        <v/>
      </c>
      <c r="HX56" s="1213" t="str">
        <f t="shared" ca="1" si="76"/>
        <v/>
      </c>
      <c r="HY56" s="1223" t="str">
        <f t="shared" ca="1" si="77"/>
        <v/>
      </c>
      <c r="HZ56" s="1200" t="str">
        <f ca="1">IF(COUNTIF(HZ$10:HZ55,OFFSET(A1_原単位2025,41,HL56+2))&gt;=1,"",OFFSET(A1_原単位2025,41,HL56+2)&amp;"")</f>
        <v/>
      </c>
      <c r="IA56" s="1215" t="str">
        <f t="shared" ca="1" si="78"/>
        <v/>
      </c>
      <c r="IB56" s="1216" t="str">
        <f t="shared" ca="1" si="79"/>
        <v/>
      </c>
      <c r="IE56" s="882" t="str">
        <f t="shared" ca="1" si="80"/>
        <v/>
      </c>
      <c r="IF56" s="882" t="str">
        <f t="shared" ca="1" si="81"/>
        <v/>
      </c>
      <c r="IG56" s="882" t="str">
        <f t="shared" ca="1" si="82"/>
        <v/>
      </c>
      <c r="IH56" s="882" t="str">
        <f t="shared" ca="1" si="83"/>
        <v/>
      </c>
    </row>
    <row r="57" spans="2:242" s="889" customFormat="1" ht="19.95"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399">
        <f t="shared" si="67"/>
        <v>0</v>
      </c>
      <c r="HD57" s="402">
        <f t="shared" si="67"/>
        <v>0</v>
      </c>
      <c r="HE57" s="402">
        <f t="shared" si="67"/>
        <v>0</v>
      </c>
      <c r="HF57" s="401"/>
      <c r="HG57" s="399">
        <f>SUM(SUMIFS(K57:HB57,$K$13:$HB$13,{"エネルギー管理指定工場等*","県域*"}))</f>
        <v>0</v>
      </c>
      <c r="HH57" s="402">
        <f>SUM(SUMIFS(L57:HC57,$K$13:$HB$13,{"エネルギー管理指定工場等*","県域*"}))</f>
        <v>0</v>
      </c>
      <c r="HI57" s="402">
        <f>SUM(SUMIFS(M57:HD57,$K$13:$HB$13,{"エネルギー管理指定工場等*","県域*"}))</f>
        <v>0</v>
      </c>
      <c r="HJ57" s="401"/>
      <c r="HL57" s="908">
        <v>48</v>
      </c>
      <c r="HM57" s="1192" t="str">
        <f t="shared" ca="1" si="68"/>
        <v/>
      </c>
      <c r="HN57" s="1200" t="str">
        <f ca="1">IF(COUNTIF(HN$10:HN56,OFFSET(A1_原単位2025,5,HL57+2))&gt;=1,"",OFFSET(A1_原単位2025,5,HL57+2)&amp;"")</f>
        <v/>
      </c>
      <c r="HO57" s="1204" t="str">
        <f t="shared" ca="1" si="69"/>
        <v/>
      </c>
      <c r="HP57" s="1205" t="str">
        <f t="shared" ca="1" si="70"/>
        <v/>
      </c>
      <c r="HQ57" s="1223" t="str">
        <f t="shared" ca="1" si="71"/>
        <v/>
      </c>
      <c r="HR57" s="1200" t="str">
        <f ca="1">IF(COUNTIF(HR$10:HR56,OFFSET(A1_原単位2025,17,HL57+2))&gt;=1,"",OFFSET(A1_原単位2025,17,HL57+2)&amp;"")</f>
        <v/>
      </c>
      <c r="HS57" s="1212" t="str">
        <f t="shared" ca="1" si="72"/>
        <v/>
      </c>
      <c r="HT57" s="1213" t="str">
        <f t="shared" ca="1" si="73"/>
        <v/>
      </c>
      <c r="HU57" s="1223" t="str">
        <f t="shared" ca="1" si="74"/>
        <v/>
      </c>
      <c r="HV57" s="1200" t="str">
        <f ca="1">IF(COUNTIF(HV$10:HV56,OFFSET(A1_原単位2025,29,HL57+2))&gt;=1,"",OFFSET(A1_原単位2025,29,HL57+2)&amp;"")</f>
        <v/>
      </c>
      <c r="HW57" s="1212" t="str">
        <f t="shared" ca="1" si="75"/>
        <v/>
      </c>
      <c r="HX57" s="1213" t="str">
        <f t="shared" ca="1" si="76"/>
        <v/>
      </c>
      <c r="HY57" s="1223" t="str">
        <f t="shared" ca="1" si="77"/>
        <v/>
      </c>
      <c r="HZ57" s="1200" t="str">
        <f ca="1">IF(COUNTIF(HZ$10:HZ56,OFFSET(A1_原単位2025,41,HL57+2))&gt;=1,"",OFFSET(A1_原単位2025,41,HL57+2)&amp;"")</f>
        <v/>
      </c>
      <c r="IA57" s="1215" t="str">
        <f t="shared" ca="1" si="78"/>
        <v/>
      </c>
      <c r="IB57" s="1216" t="str">
        <f t="shared" ca="1" si="79"/>
        <v/>
      </c>
      <c r="IE57" s="882" t="str">
        <f t="shared" ca="1" si="80"/>
        <v/>
      </c>
      <c r="IF57" s="882" t="str">
        <f t="shared" ca="1" si="81"/>
        <v/>
      </c>
      <c r="IG57" s="882" t="str">
        <f t="shared" ca="1" si="82"/>
        <v/>
      </c>
      <c r="IH57" s="882" t="str">
        <f t="shared" ca="1" si="83"/>
        <v/>
      </c>
    </row>
    <row r="58" spans="2:242" s="889" customFormat="1" ht="19.95"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399">
        <f t="shared" si="67"/>
        <v>0</v>
      </c>
      <c r="HD58" s="402">
        <f t="shared" si="67"/>
        <v>0</v>
      </c>
      <c r="HE58" s="402">
        <f t="shared" si="67"/>
        <v>0</v>
      </c>
      <c r="HF58" s="401"/>
      <c r="HG58" s="399">
        <f>SUM(SUMIFS(K58:HB58,$K$13:$HB$13,{"エネルギー管理指定工場等*","県域*"}))</f>
        <v>0</v>
      </c>
      <c r="HH58" s="402">
        <f>SUM(SUMIFS(L58:HC58,$K$13:$HB$13,{"エネルギー管理指定工場等*","県域*"}))</f>
        <v>0</v>
      </c>
      <c r="HI58" s="402">
        <f>SUM(SUMIFS(M58:HD58,$K$13:$HB$13,{"エネルギー管理指定工場等*","県域*"}))</f>
        <v>0</v>
      </c>
      <c r="HJ58" s="401"/>
      <c r="HL58" s="907">
        <v>49</v>
      </c>
      <c r="HM58" s="1192" t="str">
        <f t="shared" ca="1" si="68"/>
        <v/>
      </c>
      <c r="HN58" s="1200" t="str">
        <f ca="1">IF(COUNTIF(HN$10:HN57,OFFSET(A1_原単位2025,5,HL58+2))&gt;=1,"",OFFSET(A1_原単位2025,5,HL58+2)&amp;"")</f>
        <v/>
      </c>
      <c r="HO58" s="1204" t="str">
        <f t="shared" ca="1" si="69"/>
        <v/>
      </c>
      <c r="HP58" s="1205" t="str">
        <f t="shared" ca="1" si="70"/>
        <v/>
      </c>
      <c r="HQ58" s="1223" t="str">
        <f t="shared" ca="1" si="71"/>
        <v/>
      </c>
      <c r="HR58" s="1200" t="str">
        <f ca="1">IF(COUNTIF(HR$10:HR57,OFFSET(A1_原単位2025,17,HL58+2))&gt;=1,"",OFFSET(A1_原単位2025,17,HL58+2)&amp;"")</f>
        <v/>
      </c>
      <c r="HS58" s="1212" t="str">
        <f t="shared" ca="1" si="72"/>
        <v/>
      </c>
      <c r="HT58" s="1213" t="str">
        <f t="shared" ca="1" si="73"/>
        <v/>
      </c>
      <c r="HU58" s="1223" t="str">
        <f t="shared" ca="1" si="74"/>
        <v/>
      </c>
      <c r="HV58" s="1200" t="str">
        <f ca="1">IF(COUNTIF(HV$10:HV57,OFFSET(A1_原単位2025,29,HL58+2))&gt;=1,"",OFFSET(A1_原単位2025,29,HL58+2)&amp;"")</f>
        <v/>
      </c>
      <c r="HW58" s="1212" t="str">
        <f t="shared" ca="1" si="75"/>
        <v/>
      </c>
      <c r="HX58" s="1213" t="str">
        <f t="shared" ca="1" si="76"/>
        <v/>
      </c>
      <c r="HY58" s="1223" t="str">
        <f t="shared" ca="1" si="77"/>
        <v/>
      </c>
      <c r="HZ58" s="1200" t="str">
        <f ca="1">IF(COUNTIF(HZ$10:HZ57,OFFSET(A1_原単位2025,41,HL58+2))&gt;=1,"",OFFSET(A1_原単位2025,41,HL58+2)&amp;"")</f>
        <v/>
      </c>
      <c r="IA58" s="1215" t="str">
        <f t="shared" ca="1" si="78"/>
        <v/>
      </c>
      <c r="IB58" s="1216" t="str">
        <f t="shared" ca="1" si="79"/>
        <v/>
      </c>
      <c r="IE58" s="882" t="str">
        <f t="shared" ca="1" si="80"/>
        <v/>
      </c>
      <c r="IF58" s="882" t="str">
        <f t="shared" ca="1" si="81"/>
        <v/>
      </c>
      <c r="IG58" s="882" t="str">
        <f t="shared" ca="1" si="82"/>
        <v/>
      </c>
      <c r="IH58" s="882" t="str">
        <f t="shared" ca="1" si="83"/>
        <v/>
      </c>
    </row>
    <row r="59" spans="2:242" s="889" customFormat="1" ht="19.95"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399">
        <f t="shared" si="67"/>
        <v>0</v>
      </c>
      <c r="HD59" s="402">
        <f t="shared" si="67"/>
        <v>0</v>
      </c>
      <c r="HE59" s="402">
        <f t="shared" si="67"/>
        <v>0</v>
      </c>
      <c r="HF59" s="401"/>
      <c r="HG59" s="399">
        <f>SUM(SUMIFS(K59:HB59,$K$13:$HB$13,{"エネルギー管理指定工場等*","県域*"}))</f>
        <v>0</v>
      </c>
      <c r="HH59" s="402">
        <f>SUM(SUMIFS(L59:HC59,$K$13:$HB$13,{"エネルギー管理指定工場等*","県域*"}))</f>
        <v>0</v>
      </c>
      <c r="HI59" s="402">
        <f>SUM(SUMIFS(M59:HD59,$K$13:$HB$13,{"エネルギー管理指定工場等*","県域*"}))</f>
        <v>0</v>
      </c>
      <c r="HJ59" s="401"/>
      <c r="HL59" s="926">
        <v>50</v>
      </c>
      <c r="HM59" s="1193" t="str">
        <f t="shared" ca="1" si="68"/>
        <v/>
      </c>
      <c r="HN59" s="1201" t="str">
        <f ca="1">IF(COUNTIF(HN$10:HN58,OFFSET(A1_原単位2025,5,HL59+2))&gt;=1,"",OFFSET(A1_原単位2025,5,HL59+2)&amp;"")</f>
        <v/>
      </c>
      <c r="HO59" s="1206" t="str">
        <f t="shared" ca="1" si="69"/>
        <v/>
      </c>
      <c r="HP59" s="1207" t="str">
        <f t="shared" ca="1" si="70"/>
        <v/>
      </c>
      <c r="HQ59" s="1224" t="str">
        <f t="shared" ca="1" si="71"/>
        <v/>
      </c>
      <c r="HR59" s="1201" t="str">
        <f ca="1">IF(COUNTIF(HR$10:HR58,OFFSET(A1_原単位2025,17,HL59+2))&gt;=1,"",OFFSET(A1_原単位2025,17,HL59+2)&amp;"")</f>
        <v/>
      </c>
      <c r="HS59" s="1217" t="str">
        <f t="shared" ca="1" si="72"/>
        <v/>
      </c>
      <c r="HT59" s="1218" t="str">
        <f t="shared" ca="1" si="73"/>
        <v/>
      </c>
      <c r="HU59" s="1224" t="str">
        <f t="shared" ca="1" si="74"/>
        <v/>
      </c>
      <c r="HV59" s="1201" t="str">
        <f ca="1">IF(COUNTIF(HV$10:HV58,OFFSET(A1_原単位2025,29,HL59+2))&gt;=1,"",OFFSET(A1_原単位2025,29,HL59+2)&amp;"")</f>
        <v/>
      </c>
      <c r="HW59" s="1217" t="str">
        <f t="shared" ca="1" si="75"/>
        <v/>
      </c>
      <c r="HX59" s="1218" t="str">
        <f t="shared" ca="1" si="76"/>
        <v/>
      </c>
      <c r="HY59" s="1224" t="str">
        <f t="shared" ca="1" si="77"/>
        <v/>
      </c>
      <c r="HZ59" s="1201" t="str">
        <f ca="1">IF(COUNTIF(HZ$10:HZ58,OFFSET(A1_原単位2025,41,HL59+2))&gt;=1,"",OFFSET(A1_原単位2025,41,HL59+2)&amp;"")</f>
        <v/>
      </c>
      <c r="IA59" s="1220" t="str">
        <f t="shared" ca="1" si="78"/>
        <v/>
      </c>
      <c r="IB59" s="1221" t="str">
        <f t="shared" ca="1" si="79"/>
        <v/>
      </c>
      <c r="IE59" s="882" t="str">
        <f t="shared" ca="1" si="80"/>
        <v/>
      </c>
      <c r="IF59" s="882" t="str">
        <f t="shared" ca="1" si="81"/>
        <v/>
      </c>
      <c r="IG59" s="882" t="str">
        <f t="shared" ca="1" si="82"/>
        <v/>
      </c>
      <c r="IH59" s="882" t="str">
        <f t="shared" ca="1" si="83"/>
        <v/>
      </c>
    </row>
    <row r="60" spans="2:242" s="889" customFormat="1" ht="19.95"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399">
        <f t="shared" si="67"/>
        <v>0</v>
      </c>
      <c r="HD60" s="402">
        <f t="shared" si="67"/>
        <v>0</v>
      </c>
      <c r="HE60" s="402">
        <f t="shared" si="67"/>
        <v>0</v>
      </c>
      <c r="HF60" s="401"/>
      <c r="HG60" s="399">
        <f>SUM(SUMIFS(K60:HB60,$K$13:$HB$13,{"エネルギー管理指定工場等*","県域*"}))</f>
        <v>0</v>
      </c>
      <c r="HH60" s="402">
        <f>SUM(SUMIFS(L60:HC60,$K$13:$HB$13,{"エネルギー管理指定工場等*","県域*"}))</f>
        <v>0</v>
      </c>
      <c r="HI60" s="402">
        <f>SUM(SUMIFS(M60:HD60,$K$13:$HB$13,{"エネルギー管理指定工場等*","県域*"}))</f>
        <v>0</v>
      </c>
      <c r="HJ60" s="401"/>
      <c r="IE60" s="927"/>
      <c r="IF60" s="927"/>
      <c r="IG60" s="927"/>
      <c r="IH60" s="927"/>
    </row>
    <row r="61" spans="2:242" s="889" customFormat="1" ht="19.95"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399">
        <f t="shared" si="67"/>
        <v>0</v>
      </c>
      <c r="HD61" s="402">
        <f t="shared" si="67"/>
        <v>0</v>
      </c>
      <c r="HE61" s="402">
        <f t="shared" si="67"/>
        <v>0</v>
      </c>
      <c r="HF61" s="401"/>
      <c r="HG61" s="399">
        <f>SUM(SUMIFS(K61:HB61,$K$13:$HB$13,{"エネルギー管理指定工場等*","県域*"}))</f>
        <v>0</v>
      </c>
      <c r="HH61" s="402">
        <f>SUM(SUMIFS(L61:HC61,$K$13:$HB$13,{"エネルギー管理指定工場等*","県域*"}))</f>
        <v>0</v>
      </c>
      <c r="HI61" s="402">
        <f>SUM(SUMIFS(M61:HD61,$K$13:$HB$13,{"エネルギー管理指定工場等*","県域*"}))</f>
        <v>0</v>
      </c>
      <c r="HJ61" s="401"/>
      <c r="IE61" s="927"/>
      <c r="IF61" s="927"/>
      <c r="IG61" s="927"/>
      <c r="IH61" s="927"/>
    </row>
    <row r="62" spans="2:242" s="889" customFormat="1" ht="19.95"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399">
        <f t="shared" si="67"/>
        <v>0</v>
      </c>
      <c r="HD62" s="402">
        <f t="shared" si="67"/>
        <v>0</v>
      </c>
      <c r="HE62" s="402">
        <f t="shared" si="67"/>
        <v>0</v>
      </c>
      <c r="HF62" s="401"/>
      <c r="HG62" s="399">
        <f>SUM(SUMIFS(K62:HB62,$K$13:$HB$13,{"エネルギー管理指定工場等*","県域*"}))</f>
        <v>0</v>
      </c>
      <c r="HH62" s="402">
        <f>SUM(SUMIFS(L62:HC62,$K$13:$HB$13,{"エネルギー管理指定工場等*","県域*"}))</f>
        <v>0</v>
      </c>
      <c r="HI62" s="402">
        <f>SUM(SUMIFS(M62:HD62,$K$13:$HB$13,{"エネルギー管理指定工場等*","県域*"}))</f>
        <v>0</v>
      </c>
      <c r="HJ62" s="401"/>
      <c r="IE62" s="927"/>
      <c r="IF62" s="927"/>
      <c r="IG62" s="927"/>
      <c r="IH62" s="927"/>
    </row>
    <row r="63" spans="2:242" s="889" customFormat="1" ht="19.95"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399">
        <f t="shared" si="67"/>
        <v>0</v>
      </c>
      <c r="HD63" s="402">
        <f t="shared" si="67"/>
        <v>0</v>
      </c>
      <c r="HE63" s="402">
        <f t="shared" si="67"/>
        <v>0</v>
      </c>
      <c r="HF63" s="401"/>
      <c r="HG63" s="399">
        <f>SUM(SUMIFS(K63:HB63,$K$13:$HB$13,{"エネルギー管理指定工場等*","県域*"}))</f>
        <v>0</v>
      </c>
      <c r="HH63" s="402">
        <f>SUM(SUMIFS(L63:HC63,$K$13:$HB$13,{"エネルギー管理指定工場等*","県域*"}))</f>
        <v>0</v>
      </c>
      <c r="HI63" s="402">
        <f>SUM(SUMIFS(M63:HD63,$K$13:$HB$13,{"エネルギー管理指定工場等*","県域*"}))</f>
        <v>0</v>
      </c>
      <c r="HJ63" s="401"/>
      <c r="IE63" s="927"/>
      <c r="IF63" s="927"/>
      <c r="IG63" s="927"/>
      <c r="IH63" s="927"/>
    </row>
    <row r="64" spans="2:242" s="889" customFormat="1" ht="19.95"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399">
        <f t="shared" si="67"/>
        <v>0</v>
      </c>
      <c r="HD64" s="402">
        <f t="shared" si="67"/>
        <v>0</v>
      </c>
      <c r="HE64" s="402">
        <f t="shared" si="67"/>
        <v>0</v>
      </c>
      <c r="HF64" s="401"/>
      <c r="HG64" s="399">
        <f>SUM(SUMIFS(K64:HB64,$K$13:$HB$13,{"エネルギー管理指定工場等*","県域*"}))</f>
        <v>0</v>
      </c>
      <c r="HH64" s="402">
        <f>SUM(SUMIFS(L64:HC64,$K$13:$HB$13,{"エネルギー管理指定工場等*","県域*"}))</f>
        <v>0</v>
      </c>
      <c r="HI64" s="402">
        <f>SUM(SUMIFS(M64:HD64,$K$13:$HB$13,{"エネルギー管理指定工場等*","県域*"}))</f>
        <v>0</v>
      </c>
      <c r="HJ64" s="401"/>
      <c r="IE64" s="927"/>
      <c r="IF64" s="927"/>
      <c r="IG64" s="927"/>
      <c r="IH64" s="927"/>
    </row>
    <row r="65" spans="2:242" s="889" customFormat="1" ht="19.95" customHeight="1">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399">
        <f t="shared" si="67"/>
        <v>0</v>
      </c>
      <c r="HD65" s="408"/>
      <c r="HE65" s="402">
        <f t="shared" si="67"/>
        <v>0</v>
      </c>
      <c r="HF65" s="400">
        <f t="shared" si="67"/>
        <v>0</v>
      </c>
      <c r="HG65" s="399">
        <f>SUM(SUMIFS(K65:HB65,$K$13:$HB$13,{"エネルギー管理指定工場等*","県域*"}))</f>
        <v>0</v>
      </c>
      <c r="HH65" s="408"/>
      <c r="HI65" s="402">
        <f>SUM(SUMIFS(M65:HD65,$K$13:$HB$13,{"エネルギー管理指定工場等*","県域*"}))</f>
        <v>0</v>
      </c>
      <c r="HJ65" s="400">
        <f>SUM(SUMIFS(N65:HE65,$K$13:$HB$13,{"エネルギー管理指定工場等*","県域*"}))</f>
        <v>0</v>
      </c>
      <c r="IE65" s="927"/>
      <c r="IF65" s="927"/>
      <c r="IG65" s="927"/>
      <c r="IH65" s="927"/>
    </row>
    <row r="66" spans="2:242" s="889" customFormat="1" ht="19.95"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399">
        <f t="shared" si="67"/>
        <v>0</v>
      </c>
      <c r="HD66" s="408"/>
      <c r="HE66" s="402">
        <f t="shared" si="67"/>
        <v>0</v>
      </c>
      <c r="HF66" s="400">
        <f t="shared" si="67"/>
        <v>0</v>
      </c>
      <c r="HG66" s="399">
        <f>SUM(SUMIFS(K66:HB66,$K$13:$HB$13,{"エネルギー管理指定工場等*","県域*"}))</f>
        <v>0</v>
      </c>
      <c r="HH66" s="408"/>
      <c r="HI66" s="402">
        <f>SUM(SUMIFS(M66:HD66,$K$13:$HB$13,{"エネルギー管理指定工場等*","県域*"}))</f>
        <v>0</v>
      </c>
      <c r="HJ66" s="400">
        <f>SUM(SUMIFS(N66:HE66,$K$13:$HB$13,{"エネルギー管理指定工場等*","県域*"}))</f>
        <v>0</v>
      </c>
      <c r="IE66" s="927"/>
      <c r="IF66" s="927"/>
      <c r="IG66" s="927"/>
      <c r="IH66" s="927"/>
    </row>
    <row r="67" spans="2:242" s="889" customFormat="1" ht="19.95"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399">
        <f t="shared" si="67"/>
        <v>0</v>
      </c>
      <c r="HD67" s="408"/>
      <c r="HE67" s="402">
        <f t="shared" si="67"/>
        <v>0</v>
      </c>
      <c r="HF67" s="400">
        <f t="shared" si="67"/>
        <v>0</v>
      </c>
      <c r="HG67" s="399">
        <f>SUM(SUMIFS(K67:HB67,$K$13:$HB$13,{"エネルギー管理指定工場等*","県域*"}))</f>
        <v>0</v>
      </c>
      <c r="HH67" s="408"/>
      <c r="HI67" s="402">
        <f>SUM(SUMIFS(M67:HD67,$K$13:$HB$13,{"エネルギー管理指定工場等*","県域*"}))</f>
        <v>0</v>
      </c>
      <c r="HJ67" s="400">
        <f>SUM(SUMIFS(N67:HE67,$K$13:$HB$13,{"エネルギー管理指定工場等*","県域*"}))</f>
        <v>0</v>
      </c>
      <c r="IE67" s="927"/>
      <c r="IF67" s="927"/>
      <c r="IG67" s="927"/>
      <c r="IH67" s="927"/>
    </row>
    <row r="68" spans="2:242" s="889" customFormat="1" ht="19.95"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399">
        <f t="shared" si="67"/>
        <v>0</v>
      </c>
      <c r="HD68" s="408"/>
      <c r="HE68" s="402">
        <f t="shared" si="67"/>
        <v>0</v>
      </c>
      <c r="HF68" s="400">
        <f t="shared" si="67"/>
        <v>0</v>
      </c>
      <c r="HG68" s="399">
        <f>SUM(SUMIFS(K68:HB68,$K$13:$HB$13,{"エネルギー管理指定工場等*","県域*"}))</f>
        <v>0</v>
      </c>
      <c r="HH68" s="408"/>
      <c r="HI68" s="402">
        <f>SUM(SUMIFS(M68:HD68,$K$13:$HB$13,{"エネルギー管理指定工場等*","県域*"}))</f>
        <v>0</v>
      </c>
      <c r="HJ68" s="400">
        <f>SUM(SUMIFS(N68:HE68,$K$13:$HB$13,{"エネルギー管理指定工場等*","県域*"}))</f>
        <v>0</v>
      </c>
      <c r="IE68" s="927"/>
      <c r="IF68" s="927"/>
      <c r="IG68" s="927"/>
      <c r="IH68" s="927"/>
    </row>
    <row r="69" spans="2:242" s="889" customFormat="1" ht="19.95"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399">
        <f t="shared" si="67"/>
        <v>0</v>
      </c>
      <c r="HD69" s="408"/>
      <c r="HE69" s="402">
        <f t="shared" si="67"/>
        <v>0</v>
      </c>
      <c r="HF69" s="400">
        <f t="shared" si="67"/>
        <v>0</v>
      </c>
      <c r="HG69" s="399">
        <f>SUM(SUMIFS(K69:HB69,$K$13:$HB$13,{"エネルギー管理指定工場等*","県域*"}))</f>
        <v>0</v>
      </c>
      <c r="HH69" s="408"/>
      <c r="HI69" s="402">
        <f>SUM(SUMIFS(M69:HD69,$K$13:$HB$13,{"エネルギー管理指定工場等*","県域*"}))</f>
        <v>0</v>
      </c>
      <c r="HJ69" s="400">
        <f>SUM(SUMIFS(N69:HE69,$K$13:$HB$13,{"エネルギー管理指定工場等*","県域*"}))</f>
        <v>0</v>
      </c>
      <c r="IE69" s="927"/>
      <c r="IF69" s="927"/>
      <c r="IG69" s="927"/>
      <c r="IH69" s="927"/>
    </row>
    <row r="70" spans="2:242" s="889" customFormat="1" ht="19.95"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399">
        <f t="shared" si="67"/>
        <v>0</v>
      </c>
      <c r="HD70" s="408"/>
      <c r="HE70" s="402">
        <f t="shared" si="67"/>
        <v>0</v>
      </c>
      <c r="HF70" s="400">
        <f t="shared" si="67"/>
        <v>0</v>
      </c>
      <c r="HG70" s="399">
        <f>SUM(SUMIFS(K70:HB70,$K$13:$HB$13,{"エネルギー管理指定工場等*","県域*"}))</f>
        <v>0</v>
      </c>
      <c r="HH70" s="408"/>
      <c r="HI70" s="402">
        <f>SUM(SUMIFS(M70:HD70,$K$13:$HB$13,{"エネルギー管理指定工場等*","県域*"}))</f>
        <v>0</v>
      </c>
      <c r="HJ70" s="400">
        <f>SUM(SUMIFS(N70:HE70,$K$13:$HB$13,{"エネルギー管理指定工場等*","県域*"}))</f>
        <v>0</v>
      </c>
      <c r="IE70" s="927"/>
      <c r="IF70" s="927"/>
      <c r="IG70" s="927"/>
      <c r="IH70" s="927"/>
    </row>
    <row r="71" spans="2:242" s="889" customFormat="1" ht="19.95"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399">
        <f t="shared" si="67"/>
        <v>0</v>
      </c>
      <c r="HD71" s="408"/>
      <c r="HE71" s="402">
        <f t="shared" si="67"/>
        <v>0</v>
      </c>
      <c r="HF71" s="400">
        <f t="shared" si="67"/>
        <v>0</v>
      </c>
      <c r="HG71" s="399">
        <f>SUM(SUMIFS(K71:HB71,$K$13:$HB$13,{"エネルギー管理指定工場等*","県域*"}))</f>
        <v>0</v>
      </c>
      <c r="HH71" s="408"/>
      <c r="HI71" s="402">
        <f>SUM(SUMIFS(M71:HD71,$K$13:$HB$13,{"エネルギー管理指定工場等*","県域*"}))</f>
        <v>0</v>
      </c>
      <c r="HJ71" s="400">
        <f>SUM(SUMIFS(N71:HE71,$K$13:$HB$13,{"エネルギー管理指定工場等*","県域*"}))</f>
        <v>0</v>
      </c>
      <c r="IE71" s="927"/>
      <c r="IF71" s="927"/>
      <c r="IG71" s="927"/>
      <c r="IH71" s="927"/>
    </row>
    <row r="72" spans="2:242" s="889" customFormat="1" ht="19.95"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399">
        <f t="shared" si="67"/>
        <v>0</v>
      </c>
      <c r="HD72" s="408"/>
      <c r="HE72" s="402">
        <f t="shared" si="67"/>
        <v>0</v>
      </c>
      <c r="HF72" s="400">
        <f t="shared" si="67"/>
        <v>0</v>
      </c>
      <c r="HG72" s="399">
        <f>SUM(SUMIFS(K72:HB72,$K$13:$HB$13,{"エネルギー管理指定工場等*","県域*"}))</f>
        <v>0</v>
      </c>
      <c r="HH72" s="408"/>
      <c r="HI72" s="402">
        <f>SUM(SUMIFS(M72:HD72,$K$13:$HB$13,{"エネルギー管理指定工場等*","県域*"}))</f>
        <v>0</v>
      </c>
      <c r="HJ72" s="400">
        <f>SUM(SUMIFS(N72:HE72,$K$13:$HB$13,{"エネルギー管理指定工場等*","県域*"}))</f>
        <v>0</v>
      </c>
      <c r="IE72" s="927"/>
      <c r="IF72" s="927"/>
      <c r="IG72" s="927"/>
      <c r="IH72" s="927"/>
    </row>
    <row r="73" spans="2:242" s="889" customFormat="1" ht="19.95"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399">
        <f t="shared" si="67"/>
        <v>0</v>
      </c>
      <c r="HD73" s="408"/>
      <c r="HE73" s="402">
        <f t="shared" si="67"/>
        <v>0</v>
      </c>
      <c r="HF73" s="400">
        <f t="shared" si="67"/>
        <v>0</v>
      </c>
      <c r="HG73" s="399">
        <f>SUM(SUMIFS(K73:HB73,$K$13:$HB$13,{"エネルギー管理指定工場等*","県域*"}))</f>
        <v>0</v>
      </c>
      <c r="HH73" s="408"/>
      <c r="HI73" s="402">
        <f>SUM(SUMIFS(M73:HD73,$K$13:$HB$13,{"エネルギー管理指定工場等*","県域*"}))</f>
        <v>0</v>
      </c>
      <c r="HJ73" s="400">
        <f>SUM(SUMIFS(N73:HE73,$K$13:$HB$13,{"エネルギー管理指定工場等*","県域*"}))</f>
        <v>0</v>
      </c>
      <c r="IE73" s="927"/>
      <c r="IF73" s="927"/>
      <c r="IG73" s="927"/>
      <c r="IH73" s="927"/>
    </row>
    <row r="74" spans="2:242" s="889" customFormat="1" ht="19.95"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406">
        <f t="shared" si="67"/>
        <v>0</v>
      </c>
      <c r="HD74" s="409"/>
      <c r="HE74" s="403">
        <f t="shared" si="67"/>
        <v>0</v>
      </c>
      <c r="HF74" s="410">
        <f t="shared" si="67"/>
        <v>0</v>
      </c>
      <c r="HG74" s="406">
        <f>SUM(SUMIFS(K74:HB74,$K$13:$HB$13,{"エネルギー管理指定工場等*","県域*"}))</f>
        <v>0</v>
      </c>
      <c r="HH74" s="409"/>
      <c r="HI74" s="403">
        <f>SUM(SUMIFS(M74:HD74,$K$13:$HB$13,{"エネルギー管理指定工場等*","県域*"}))</f>
        <v>0</v>
      </c>
      <c r="HJ74" s="410">
        <f>SUM(SUMIFS(N74:HE74,$K$13:$HB$13,{"エネルギー管理指定工場等*","県域*"}))</f>
        <v>0</v>
      </c>
      <c r="IE74" s="927"/>
      <c r="IF74" s="927"/>
      <c r="IG74" s="927"/>
      <c r="IH74" s="927"/>
    </row>
    <row r="75" spans="2:242" s="889" customFormat="1" ht="19.95" customHeight="1">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406">
        <f t="shared" si="67"/>
        <v>0</v>
      </c>
      <c r="HD75" s="409"/>
      <c r="HE75" s="403">
        <f t="shared" si="67"/>
        <v>0</v>
      </c>
      <c r="HF75" s="410">
        <f t="shared" si="67"/>
        <v>0</v>
      </c>
      <c r="HG75" s="406">
        <f>SUM(SUMIFS(K75:HB75,$K$13:$HB$13,{"エネルギー管理指定工場等*","県域*"}))</f>
        <v>0</v>
      </c>
      <c r="HH75" s="409"/>
      <c r="HI75" s="403">
        <f>SUM(SUMIFS(M75:HD75,$K$13:$HB$13,{"エネルギー管理指定工場等*","県域*"}))</f>
        <v>0</v>
      </c>
      <c r="HJ75" s="410">
        <f>SUM(SUMIFS(N75:HE75,$K$13:$HB$13,{"エネルギー管理指定工場等*","県域*"}))</f>
        <v>0</v>
      </c>
      <c r="IE75" s="927"/>
      <c r="IF75" s="927"/>
      <c r="IG75" s="927"/>
      <c r="IH75" s="927"/>
    </row>
    <row r="76" spans="2:242" s="889" customFormat="1" ht="19.95"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406">
        <f t="shared" si="67"/>
        <v>0</v>
      </c>
      <c r="HD76" s="409"/>
      <c r="HE76" s="403">
        <f t="shared" si="67"/>
        <v>0</v>
      </c>
      <c r="HF76" s="410">
        <f t="shared" si="67"/>
        <v>0</v>
      </c>
      <c r="HG76" s="406">
        <f>SUM(SUMIFS(K76:HB76,$K$13:$HB$13,{"エネルギー管理指定工場等*","県域*"}))</f>
        <v>0</v>
      </c>
      <c r="HH76" s="409"/>
      <c r="HI76" s="403">
        <f>SUM(SUMIFS(M76:HD76,$K$13:$HB$13,{"エネルギー管理指定工場等*","県域*"}))</f>
        <v>0</v>
      </c>
      <c r="HJ76" s="410">
        <f>SUM(SUMIFS(N76:HE76,$K$13:$HB$13,{"エネルギー管理指定工場等*","県域*"}))</f>
        <v>0</v>
      </c>
      <c r="IE76" s="927"/>
      <c r="IF76" s="927"/>
      <c r="IG76" s="927"/>
      <c r="IH76" s="927"/>
    </row>
    <row r="77" spans="2:242" s="889" customFormat="1" ht="19.95"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406">
        <f t="shared" si="67"/>
        <v>0</v>
      </c>
      <c r="HD77" s="409"/>
      <c r="HE77" s="403">
        <f t="shared" si="67"/>
        <v>0</v>
      </c>
      <c r="HF77" s="410">
        <f t="shared" si="67"/>
        <v>0</v>
      </c>
      <c r="HG77" s="406">
        <f>SUM(SUMIFS(K77:HB77,$K$13:$HB$13,{"エネルギー管理指定工場等*","県域*"}))</f>
        <v>0</v>
      </c>
      <c r="HH77" s="409"/>
      <c r="HI77" s="403">
        <f>SUM(SUMIFS(M77:HD77,$K$13:$HB$13,{"エネルギー管理指定工場等*","県域*"}))</f>
        <v>0</v>
      </c>
      <c r="HJ77" s="410">
        <f>SUM(SUMIFS(N77:HE77,$K$13:$HB$13,{"エネルギー管理指定工場等*","県域*"}))</f>
        <v>0</v>
      </c>
      <c r="IE77" s="927"/>
      <c r="IF77" s="927"/>
      <c r="IG77" s="927"/>
      <c r="IH77" s="927"/>
    </row>
    <row r="78" spans="2:242" s="889" customFormat="1" ht="19.95"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406">
        <f t="shared" si="67"/>
        <v>0</v>
      </c>
      <c r="HD78" s="409"/>
      <c r="HE78" s="403">
        <f t="shared" si="67"/>
        <v>0</v>
      </c>
      <c r="HF78" s="410">
        <f t="shared" si="67"/>
        <v>0</v>
      </c>
      <c r="HG78" s="406">
        <f>SUM(SUMIFS(K78:HB78,$K$13:$HB$13,{"エネルギー管理指定工場等*","県域*"}))</f>
        <v>0</v>
      </c>
      <c r="HH78" s="409"/>
      <c r="HI78" s="403">
        <f>SUM(SUMIFS(M78:HD78,$K$13:$HB$13,{"エネルギー管理指定工場等*","県域*"}))</f>
        <v>0</v>
      </c>
      <c r="HJ78" s="410">
        <f>SUM(SUMIFS(N78:HE78,$K$13:$HB$13,{"エネルギー管理指定工場等*","県域*"}))</f>
        <v>0</v>
      </c>
      <c r="IE78" s="927"/>
      <c r="IF78" s="927"/>
      <c r="IG78" s="927"/>
      <c r="IH78" s="927"/>
    </row>
    <row r="79" spans="2:242" s="889" customFormat="1" ht="19.95"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406">
        <f t="shared" si="67"/>
        <v>0</v>
      </c>
      <c r="HD79" s="409"/>
      <c r="HE79" s="403">
        <f t="shared" si="67"/>
        <v>0</v>
      </c>
      <c r="HF79" s="410">
        <f t="shared" si="67"/>
        <v>0</v>
      </c>
      <c r="HG79" s="406">
        <f>SUM(SUMIFS(K79:HB79,$K$13:$HB$13,{"エネルギー管理指定工場等*","県域*"}))</f>
        <v>0</v>
      </c>
      <c r="HH79" s="409"/>
      <c r="HI79" s="403">
        <f>SUM(SUMIFS(M79:HD79,$K$13:$HB$13,{"エネルギー管理指定工場等*","県域*"}))</f>
        <v>0</v>
      </c>
      <c r="HJ79" s="410">
        <f>SUM(SUMIFS(N79:HE79,$K$13:$HB$13,{"エネルギー管理指定工場等*","県域*"}))</f>
        <v>0</v>
      </c>
      <c r="IE79" s="927"/>
      <c r="IF79" s="927"/>
      <c r="IG79" s="927"/>
      <c r="IH79" s="927"/>
    </row>
    <row r="80" spans="2:242" s="889" customFormat="1" ht="19.95"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399">
        <f t="shared" si="67"/>
        <v>0</v>
      </c>
      <c r="HD80" s="408"/>
      <c r="HE80" s="402">
        <f t="shared" si="67"/>
        <v>0</v>
      </c>
      <c r="HF80" s="400">
        <f t="shared" si="67"/>
        <v>0</v>
      </c>
      <c r="HG80" s="399">
        <f>SUM(SUMIFS(K80:HB80,$K$13:$HB$13,{"エネルギー管理指定工場等*","県域*"}))</f>
        <v>0</v>
      </c>
      <c r="HH80" s="408"/>
      <c r="HI80" s="402">
        <f>SUM(SUMIFS(M80:HD80,$K$13:$HB$13,{"エネルギー管理指定工場等*","県域*"}))</f>
        <v>0</v>
      </c>
      <c r="HJ80" s="400">
        <f>SUM(SUMIFS(N80:HE80,$K$13:$HB$13,{"エネルギー管理指定工場等*","県域*"}))</f>
        <v>0</v>
      </c>
      <c r="IE80" s="927"/>
      <c r="IF80" s="927"/>
      <c r="IG80" s="927"/>
      <c r="IH80" s="927"/>
    </row>
    <row r="81" spans="2:242" s="889" customFormat="1" ht="19.95" customHeight="1">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405">
        <f t="shared" si="67"/>
        <v>0</v>
      </c>
      <c r="HD81" s="412"/>
      <c r="HE81" s="412"/>
      <c r="HF81" s="411"/>
      <c r="HG81" s="405">
        <f>SUM(SUMIFS(K81:HB81,$K$13:$HB$13,{"エネルギー管理指定工場等*","県域*"}))</f>
        <v>0</v>
      </c>
      <c r="HH81" s="412"/>
      <c r="HI81" s="412"/>
      <c r="HJ81" s="411"/>
      <c r="IE81" s="927"/>
      <c r="IF81" s="927"/>
      <c r="IG81" s="927"/>
      <c r="IH81" s="927"/>
    </row>
    <row r="82" spans="2:242" s="889" customFormat="1" ht="19.95"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399">
        <f t="shared" ref="HC82:HC107" si="84">K82+O82+S82+W82+AA82+AE82+AI82+AM82+AQ82+AU82+AY82+BC82+BG82+BK82+BO82+BS82+BW82+CA82+CE82+CI82+CM82+CQ82+CU82+CY82+DC82+DG82+DK82+DO82+DS82+DW82+EA82+EE82+EI82+EM82+EQ82+EU82+EY82+FC82+FG82+FK82+FO82+FS82+FW82+GA82+GE82+GI82+GM82+GQ82+GU82+GY82</f>
        <v>0</v>
      </c>
      <c r="HD82" s="408"/>
      <c r="HE82" s="408"/>
      <c r="HF82" s="401"/>
      <c r="HG82" s="399">
        <f>SUM(SUMIFS(K82:HB82,$K$13:$HB$13,{"エネルギー管理指定工場等*","県域*"}))</f>
        <v>0</v>
      </c>
      <c r="HH82" s="408"/>
      <c r="HI82" s="408"/>
      <c r="HJ82" s="401"/>
      <c r="IE82" s="927"/>
      <c r="IF82" s="927"/>
      <c r="IG82" s="927"/>
      <c r="IH82" s="927"/>
    </row>
    <row r="83" spans="2:242" s="889" customFormat="1" ht="19.95"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399">
        <f t="shared" si="84"/>
        <v>0</v>
      </c>
      <c r="HD83" s="408"/>
      <c r="HE83" s="408"/>
      <c r="HF83" s="401"/>
      <c r="HG83" s="399">
        <f>SUM(SUMIFS(K83:HB83,$K$13:$HB$13,{"エネルギー管理指定工場等*","県域*"}))</f>
        <v>0</v>
      </c>
      <c r="HH83" s="408"/>
      <c r="HI83" s="408"/>
      <c r="HJ83" s="401"/>
      <c r="IE83" s="927"/>
      <c r="IF83" s="927"/>
      <c r="IG83" s="927"/>
      <c r="IH83" s="927"/>
    </row>
    <row r="84" spans="2:242" s="889" customFormat="1" ht="19.95"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399">
        <f t="shared" si="84"/>
        <v>0</v>
      </c>
      <c r="HD84" s="408"/>
      <c r="HE84" s="408"/>
      <c r="HF84" s="401"/>
      <c r="HG84" s="399">
        <f>SUM(SUMIFS(K84:HB84,$K$13:$HB$13,{"エネルギー管理指定工場等*","県域*"}))</f>
        <v>0</v>
      </c>
      <c r="HH84" s="408"/>
      <c r="HI84" s="408"/>
      <c r="HJ84" s="401"/>
      <c r="IE84" s="927"/>
      <c r="IF84" s="927"/>
      <c r="IG84" s="927"/>
      <c r="IH84" s="927"/>
    </row>
    <row r="85" spans="2:242" s="889" customFormat="1" ht="19.95"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399">
        <f t="shared" si="84"/>
        <v>0</v>
      </c>
      <c r="HD85" s="408"/>
      <c r="HE85" s="408"/>
      <c r="HF85" s="401"/>
      <c r="HG85" s="399">
        <f>SUM(SUMIFS(K85:HB85,$K$13:$HB$13,{"エネルギー管理指定工場等*","県域*"}))</f>
        <v>0</v>
      </c>
      <c r="HH85" s="408"/>
      <c r="HI85" s="408"/>
      <c r="HJ85" s="401"/>
      <c r="IE85" s="927"/>
      <c r="IF85" s="927"/>
      <c r="IG85" s="927"/>
      <c r="IH85" s="927"/>
    </row>
    <row r="86" spans="2:242" s="889" customFormat="1" ht="19.95"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399">
        <f t="shared" si="84"/>
        <v>0</v>
      </c>
      <c r="HD86" s="408"/>
      <c r="HE86" s="408"/>
      <c r="HF86" s="401"/>
      <c r="HG86" s="399">
        <f>SUM(SUMIFS(K86:HB86,$K$13:$HB$13,{"エネルギー管理指定工場等*","県域*"}))</f>
        <v>0</v>
      </c>
      <c r="HH86" s="408"/>
      <c r="HI86" s="408"/>
      <c r="HJ86" s="401"/>
      <c r="IE86" s="927"/>
      <c r="IF86" s="927"/>
      <c r="IG86" s="927"/>
      <c r="IH86" s="927"/>
    </row>
    <row r="87" spans="2:242" s="889" customFormat="1" ht="19.95"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399">
        <f t="shared" si="84"/>
        <v>0</v>
      </c>
      <c r="HD87" s="408"/>
      <c r="HE87" s="408"/>
      <c r="HF87" s="401"/>
      <c r="HG87" s="399">
        <f>SUM(SUMIFS(K87:HB87,$K$13:$HB$13,{"エネルギー管理指定工場等*","県域*"}))</f>
        <v>0</v>
      </c>
      <c r="HH87" s="408"/>
      <c r="HI87" s="408"/>
      <c r="HJ87" s="401"/>
      <c r="IE87" s="927"/>
      <c r="IF87" s="927"/>
      <c r="IG87" s="927"/>
      <c r="IH87" s="927"/>
    </row>
    <row r="88" spans="2:242" s="889" customFormat="1" ht="19.95"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399">
        <f t="shared" si="84"/>
        <v>0</v>
      </c>
      <c r="HD88" s="408"/>
      <c r="HE88" s="408"/>
      <c r="HF88" s="401"/>
      <c r="HG88" s="399">
        <f>SUM(SUMIFS(K88:HB88,$K$13:$HB$13,{"エネルギー管理指定工場等*","県域*"}))</f>
        <v>0</v>
      </c>
      <c r="HH88" s="408"/>
      <c r="HI88" s="408"/>
      <c r="HJ88" s="401"/>
      <c r="IE88" s="927"/>
      <c r="IF88" s="927"/>
      <c r="IG88" s="927"/>
      <c r="IH88" s="927"/>
    </row>
    <row r="89" spans="2:242" s="889" customFormat="1" ht="19.95" customHeight="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399">
        <f t="shared" si="84"/>
        <v>0</v>
      </c>
      <c r="HD89" s="408"/>
      <c r="HE89" s="408"/>
      <c r="HF89" s="401"/>
      <c r="HG89" s="399">
        <f>SUM(SUMIFS(K89:HB89,$K$13:$HB$13,{"エネルギー管理指定工場等*","県域*"}))</f>
        <v>0</v>
      </c>
      <c r="HH89" s="408"/>
      <c r="HI89" s="408"/>
      <c r="HJ89" s="401"/>
      <c r="IE89" s="927"/>
      <c r="IF89" s="927"/>
      <c r="IG89" s="927"/>
      <c r="IH89" s="927"/>
    </row>
    <row r="90" spans="2:242" s="889" customFormat="1" ht="19.95"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399">
        <f t="shared" si="84"/>
        <v>0</v>
      </c>
      <c r="HD90" s="408"/>
      <c r="HE90" s="408"/>
      <c r="HF90" s="401"/>
      <c r="HG90" s="399">
        <f>SUM(SUMIFS(K90:HB90,$K$13:$HB$13,{"エネルギー管理指定工場等*","県域*"}))</f>
        <v>0</v>
      </c>
      <c r="HH90" s="408"/>
      <c r="HI90" s="408"/>
      <c r="HJ90" s="401"/>
      <c r="IE90" s="927"/>
      <c r="IF90" s="927"/>
      <c r="IG90" s="927"/>
      <c r="IH90" s="927"/>
    </row>
    <row r="91" spans="2:242" s="889" customFormat="1" ht="19.95"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399">
        <f t="shared" si="84"/>
        <v>0</v>
      </c>
      <c r="HD91" s="408"/>
      <c r="HE91" s="408"/>
      <c r="HF91" s="401"/>
      <c r="HG91" s="399">
        <f>SUM(SUMIFS(K91:HB91,$K$13:$HB$13,{"エネルギー管理指定工場等*","県域*"}))</f>
        <v>0</v>
      </c>
      <c r="HH91" s="408"/>
      <c r="HI91" s="408"/>
      <c r="HJ91" s="401"/>
      <c r="IE91" s="927"/>
      <c r="IF91" s="927"/>
      <c r="IG91" s="927"/>
      <c r="IH91" s="927"/>
    </row>
    <row r="92" spans="2:242" s="889" customFormat="1" ht="19.95"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399">
        <f t="shared" si="84"/>
        <v>0</v>
      </c>
      <c r="HD92" s="408"/>
      <c r="HE92" s="402">
        <f t="shared" ref="HE92:HE107" si="85">M92+Q92+U92+Y92+AC92+AG92+AK92+AO92+AS92+AW92+BA92+BE92+BI92+BM92+BQ92+BU92+BY92+CC92+CG92+CK92+CO92+CS92+CW92+DA92+DE92+DI92+DM92+DQ92+DU92+DY92+EC92+EG92+EK92+EO92+ES92+EW92+FA92+FE92+FI92+FM92+FQ92+FU92+FY92+GC92+GG92+GK92+GO92+GS92+GW92+HA92</f>
        <v>0</v>
      </c>
      <c r="HF92" s="401"/>
      <c r="HG92" s="399">
        <f>SUM(SUMIFS(K92:HB92,$K$13:$HB$13,{"エネルギー管理指定工場等*","県域*"}))</f>
        <v>0</v>
      </c>
      <c r="HH92" s="408"/>
      <c r="HI92" s="402">
        <f>SUM(SUMIFS(M92:HD92,$K$13:$HB$13,{"エネルギー管理指定工場等*","県域*"}))</f>
        <v>0</v>
      </c>
      <c r="HJ92" s="401"/>
      <c r="IE92" s="927"/>
      <c r="IF92" s="927"/>
      <c r="IG92" s="927"/>
      <c r="IH92" s="927"/>
    </row>
    <row r="93" spans="2:242" s="889" customFormat="1" ht="19.95"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399">
        <f t="shared" si="84"/>
        <v>0</v>
      </c>
      <c r="HD93" s="408"/>
      <c r="HE93" s="408"/>
      <c r="HF93" s="401"/>
      <c r="HG93" s="399">
        <f>SUM(SUMIFS(K93:HB93,$K$13:$HB$13,{"エネルギー管理指定工場等*","県域*"}))</f>
        <v>0</v>
      </c>
      <c r="HH93" s="408"/>
      <c r="HI93" s="408"/>
      <c r="HJ93" s="401"/>
      <c r="IE93" s="927"/>
      <c r="IF93" s="927"/>
      <c r="IG93" s="927"/>
      <c r="IH93" s="927"/>
    </row>
    <row r="94" spans="2:242" s="889" customFormat="1" ht="19.95"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399">
        <f t="shared" si="84"/>
        <v>0</v>
      </c>
      <c r="HD94" s="408"/>
      <c r="HE94" s="402">
        <f t="shared" ref="HE94" si="86">M94+Q94+U94+Y94+AC94+AG94+AK94+AO94+AS94+AW94+BA94+BE94+BI94+BM94+BQ94+BU94+BY94+CC94+CG94+CK94+CO94+CS94+CW94+DA94+DE94+DI94+DM94+DQ94+DU94+DY94+EC94+EG94+EK94+EO94+ES94+EW94+FA94+FE94+FI94+FM94+FQ94+FU94+FY94+GC94+GG94+GK94+GO94+GS94+GW94+HA94</f>
        <v>0</v>
      </c>
      <c r="HF94" s="401"/>
      <c r="HG94" s="399">
        <f>SUM(SUMIFS(K94:HB94,$K$13:$HB$13,{"エネルギー管理指定工場等*","県域*"}))</f>
        <v>0</v>
      </c>
      <c r="HH94" s="408"/>
      <c r="HI94" s="402">
        <f>SUM(SUMIFS(M94:HD94,$K$13:$HB$13,{"エネルギー管理指定工場等*","県域*"}))</f>
        <v>0</v>
      </c>
      <c r="HJ94" s="401"/>
      <c r="IE94" s="927"/>
      <c r="IF94" s="927"/>
      <c r="IG94" s="927"/>
      <c r="IH94" s="927"/>
    </row>
    <row r="95" spans="2:242" s="889" customFormat="1" ht="19.95"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399">
        <f t="shared" si="84"/>
        <v>0</v>
      </c>
      <c r="HD95" s="408"/>
      <c r="HE95" s="408"/>
      <c r="HF95" s="401"/>
      <c r="HG95" s="399">
        <f>SUM(SUMIFS(K95:HB95,$K$13:$HB$13,{"エネルギー管理指定工場等*","県域*"}))</f>
        <v>0</v>
      </c>
      <c r="HH95" s="408"/>
      <c r="HI95" s="408"/>
      <c r="HJ95" s="401"/>
      <c r="IE95" s="927"/>
      <c r="IF95" s="927"/>
      <c r="IG95" s="927"/>
      <c r="IH95" s="927"/>
    </row>
    <row r="96" spans="2:242" s="889" customFormat="1" ht="19.95"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399">
        <f t="shared" si="84"/>
        <v>0</v>
      </c>
      <c r="HD96" s="408"/>
      <c r="HE96" s="402">
        <f t="shared" si="85"/>
        <v>0</v>
      </c>
      <c r="HF96" s="401"/>
      <c r="HG96" s="399">
        <f>SUM(SUMIFS(K96:HB96,$K$13:$HB$13,{"エネルギー管理指定工場等*","県域*"}))</f>
        <v>0</v>
      </c>
      <c r="HH96" s="408"/>
      <c r="HI96" s="402">
        <f>SUM(SUMIFS(M96:HD96,$K$13:$HB$13,{"エネルギー管理指定工場等*","県域*"}))</f>
        <v>0</v>
      </c>
      <c r="HJ96" s="401"/>
      <c r="IE96" s="927"/>
      <c r="IF96" s="927"/>
      <c r="IG96" s="927"/>
      <c r="IH96" s="927"/>
    </row>
    <row r="97" spans="2:242" s="889" customFormat="1" ht="19.95"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399">
        <f t="shared" si="84"/>
        <v>0</v>
      </c>
      <c r="HD97" s="408"/>
      <c r="HE97" s="408"/>
      <c r="HF97" s="401"/>
      <c r="HG97" s="399">
        <f>SUM(SUMIFS(K97:HB97,$K$13:$HB$13,{"エネルギー管理指定工場等*","県域*"}))</f>
        <v>0</v>
      </c>
      <c r="HH97" s="408"/>
      <c r="HI97" s="408"/>
      <c r="HJ97" s="401"/>
      <c r="IE97" s="927"/>
      <c r="IF97" s="927"/>
      <c r="IG97" s="927"/>
      <c r="IH97" s="927"/>
    </row>
    <row r="98" spans="2:242" s="889" customFormat="1" ht="19.95"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399">
        <f t="shared" si="84"/>
        <v>0</v>
      </c>
      <c r="HD98" s="408"/>
      <c r="HE98" s="402">
        <f t="shared" si="85"/>
        <v>0</v>
      </c>
      <c r="HF98" s="401"/>
      <c r="HG98" s="399">
        <f>SUM(SUMIFS(K98:HB98,$K$13:$HB$13,{"エネルギー管理指定工場等*","県域*"}))</f>
        <v>0</v>
      </c>
      <c r="HH98" s="408"/>
      <c r="HI98" s="402">
        <f>SUM(SUMIFS(M98:HD98,$K$13:$HB$13,{"エネルギー管理指定工場等*","県域*"}))</f>
        <v>0</v>
      </c>
      <c r="HJ98" s="401"/>
      <c r="IE98" s="927"/>
      <c r="IF98" s="927"/>
      <c r="IG98" s="927"/>
      <c r="IH98" s="927"/>
    </row>
    <row r="99" spans="2:242" s="889" customFormat="1" ht="19.95"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399">
        <f t="shared" si="84"/>
        <v>0</v>
      </c>
      <c r="HD99" s="408"/>
      <c r="HE99" s="408"/>
      <c r="HF99" s="401"/>
      <c r="HG99" s="399">
        <f>SUM(SUMIFS(K99:HB99,$K$13:$HB$13,{"エネルギー管理指定工場等*","県域*"}))</f>
        <v>0</v>
      </c>
      <c r="HH99" s="408"/>
      <c r="HI99" s="408"/>
      <c r="HJ99" s="401"/>
      <c r="IE99" s="927"/>
      <c r="IF99" s="927"/>
      <c r="IG99" s="927"/>
      <c r="IH99" s="927"/>
    </row>
    <row r="100" spans="2:242" s="889" customFormat="1" ht="19.95" customHeight="1">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399">
        <f t="shared" si="84"/>
        <v>0</v>
      </c>
      <c r="HD100" s="408"/>
      <c r="HE100" s="402">
        <f t="shared" si="85"/>
        <v>0</v>
      </c>
      <c r="HF100" s="401"/>
      <c r="HG100" s="399">
        <f>SUM(SUMIFS(K100:HB100,$K$13:$HB$13,{"エネルギー管理指定工場等*","県域*"}))</f>
        <v>0</v>
      </c>
      <c r="HH100" s="408"/>
      <c r="HI100" s="402">
        <f>SUM(SUMIFS(M100:HD100,$K$13:$HB$13,{"エネルギー管理指定工場等*","県域*"}))</f>
        <v>0</v>
      </c>
      <c r="HJ100" s="401"/>
      <c r="IE100" s="927"/>
      <c r="IF100" s="927"/>
      <c r="IG100" s="927"/>
      <c r="IH100" s="927"/>
    </row>
    <row r="101" spans="2:242" s="889" customFormat="1" ht="19.95"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399">
        <f t="shared" si="84"/>
        <v>0</v>
      </c>
      <c r="HD101" s="408"/>
      <c r="HE101" s="408"/>
      <c r="HF101" s="401"/>
      <c r="HG101" s="399">
        <f>SUM(SUMIFS(K101:HB101,$K$13:$HB$13,{"エネルギー管理指定工場等*","県域*"}))</f>
        <v>0</v>
      </c>
      <c r="HH101" s="408"/>
      <c r="HI101" s="408"/>
      <c r="HJ101" s="401"/>
      <c r="IE101" s="927"/>
      <c r="IF101" s="927"/>
      <c r="IG101" s="927"/>
      <c r="IH101" s="927"/>
    </row>
    <row r="102" spans="2:242" s="889" customFormat="1" ht="19.95" customHeight="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399">
        <f t="shared" si="84"/>
        <v>0</v>
      </c>
      <c r="HD102" s="408"/>
      <c r="HE102" s="402">
        <f t="shared" si="85"/>
        <v>0</v>
      </c>
      <c r="HF102" s="401"/>
      <c r="HG102" s="399">
        <f>SUM(SUMIFS(K102:HB102,$K$13:$HB$13,{"エネルギー管理指定工場等*","県域*"}))</f>
        <v>0</v>
      </c>
      <c r="HH102" s="408"/>
      <c r="HI102" s="402">
        <f>SUM(SUMIFS(M102:HD102,$K$13:$HB$13,{"エネルギー管理指定工場等*","県域*"}))</f>
        <v>0</v>
      </c>
      <c r="HJ102" s="401"/>
      <c r="IE102" s="927"/>
      <c r="IF102" s="927"/>
      <c r="IG102" s="927"/>
      <c r="IH102" s="927"/>
    </row>
    <row r="103" spans="2:242" s="889" customFormat="1" ht="19.95"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399">
        <f t="shared" si="84"/>
        <v>0</v>
      </c>
      <c r="HD103" s="408"/>
      <c r="HE103" s="408"/>
      <c r="HF103" s="401"/>
      <c r="HG103" s="399">
        <f>SUM(SUMIFS(K103:HB103,$K$13:$HB$13,{"エネルギー管理指定工場等*","県域*"}))</f>
        <v>0</v>
      </c>
      <c r="HH103" s="408"/>
      <c r="HI103" s="408"/>
      <c r="HJ103" s="401"/>
      <c r="IE103" s="927"/>
      <c r="IF103" s="927"/>
      <c r="IG103" s="927"/>
      <c r="IH103" s="927"/>
    </row>
    <row r="104" spans="2:242" s="889" customFormat="1" ht="19.95"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399">
        <f t="shared" si="84"/>
        <v>0</v>
      </c>
      <c r="HD104" s="408"/>
      <c r="HE104" s="402">
        <f t="shared" si="85"/>
        <v>0</v>
      </c>
      <c r="HF104" s="401"/>
      <c r="HG104" s="399">
        <f>SUM(SUMIFS(K104:HB104,$K$13:$HB$13,{"エネルギー管理指定工場等*","県域*"}))</f>
        <v>0</v>
      </c>
      <c r="HH104" s="408"/>
      <c r="HI104" s="402">
        <f>SUM(SUMIFS(M104:HD104,$K$13:$HB$13,{"エネルギー管理指定工場等*","県域*"}))</f>
        <v>0</v>
      </c>
      <c r="HJ104" s="401"/>
      <c r="IE104" s="927"/>
      <c r="IF104" s="927"/>
      <c r="IG104" s="927"/>
      <c r="IH104" s="927"/>
    </row>
    <row r="105" spans="2:242" s="889" customFormat="1" ht="19.95"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399">
        <f t="shared" si="84"/>
        <v>0</v>
      </c>
      <c r="HD105" s="408"/>
      <c r="HE105" s="402">
        <f t="shared" si="85"/>
        <v>0</v>
      </c>
      <c r="HF105" s="401"/>
      <c r="HG105" s="399">
        <f>SUM(SUMIFS(K105:HB105,$K$13:$HB$13,{"エネルギー管理指定工場等*","県域*"}))</f>
        <v>0</v>
      </c>
      <c r="HH105" s="408"/>
      <c r="HI105" s="402">
        <f>SUM(SUMIFS(M105:HD105,$K$13:$HB$13,{"エネルギー管理指定工場等*","県域*"}))</f>
        <v>0</v>
      </c>
      <c r="HJ105" s="401"/>
      <c r="IE105" s="927"/>
      <c r="IF105" s="927"/>
      <c r="IG105" s="927"/>
      <c r="IH105" s="927"/>
    </row>
    <row r="106" spans="2:242" s="889" customFormat="1" ht="19.95"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399">
        <f t="shared" si="84"/>
        <v>0</v>
      </c>
      <c r="HD106" s="408"/>
      <c r="HE106" s="402">
        <f t="shared" si="85"/>
        <v>0</v>
      </c>
      <c r="HF106" s="401"/>
      <c r="HG106" s="399">
        <f>SUM(SUMIFS(K106:HB106,$K$13:$HB$13,{"エネルギー管理指定工場等*","県域*"}))</f>
        <v>0</v>
      </c>
      <c r="HH106" s="408"/>
      <c r="HI106" s="402">
        <f>SUM(SUMIFS(M106:HD106,$K$13:$HB$13,{"エネルギー管理指定工場等*","県域*"}))</f>
        <v>0</v>
      </c>
      <c r="HJ106" s="401"/>
      <c r="IE106" s="927"/>
      <c r="IF106" s="927"/>
      <c r="IG106" s="927"/>
      <c r="IH106" s="927"/>
    </row>
    <row r="107" spans="2:242" s="889" customFormat="1" ht="19.95"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413">
        <f t="shared" si="84"/>
        <v>0</v>
      </c>
      <c r="HD107" s="414"/>
      <c r="HE107" s="416">
        <f t="shared" si="85"/>
        <v>0</v>
      </c>
      <c r="HF107" s="415"/>
      <c r="HG107" s="413">
        <f>SUM(SUMIFS(K107:HB107,$K$13:$HB$13,{"エネルギー管理指定工場等*","県域*"}))</f>
        <v>0</v>
      </c>
      <c r="HH107" s="414"/>
      <c r="HI107" s="416">
        <f>SUM(SUMIFS(M107:HD107,$K$13:$HB$13,{"エネルギー管理指定工場等*","県域*"}))</f>
        <v>0</v>
      </c>
      <c r="HJ107" s="415"/>
      <c r="IE107" s="927"/>
      <c r="IF107" s="927"/>
      <c r="IG107" s="927"/>
      <c r="IH107" s="927"/>
    </row>
    <row r="108" spans="2:242" s="889" customFormat="1" ht="19.95"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363"/>
      <c r="HD108" s="363"/>
      <c r="HE108" s="363"/>
      <c r="HF108" s="363"/>
      <c r="HG108" s="363"/>
      <c r="HH108" s="363"/>
      <c r="HI108" s="363"/>
      <c r="HJ108" s="363"/>
      <c r="IE108" s="927"/>
      <c r="IF108" s="927"/>
      <c r="IG108" s="927"/>
      <c r="IH108" s="927"/>
    </row>
    <row r="109" spans="2:242" s="889" customFormat="1" ht="19.95"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363"/>
      <c r="HD109" s="363"/>
      <c r="HE109" s="363"/>
      <c r="HF109" s="363"/>
      <c r="HG109" s="363"/>
      <c r="HH109" s="363"/>
      <c r="HI109" s="363"/>
      <c r="HJ109" s="363"/>
      <c r="IE109" s="927"/>
      <c r="IF109" s="927"/>
      <c r="IG109" s="927"/>
      <c r="IH109" s="927"/>
    </row>
    <row r="110" spans="2:242" s="889" customFormat="1" ht="19.95"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363"/>
      <c r="HD110" s="363"/>
      <c r="HE110" s="363"/>
      <c r="HF110" s="363"/>
      <c r="HG110" s="363"/>
      <c r="HH110" s="363"/>
      <c r="HI110" s="363"/>
      <c r="HJ110" s="363"/>
      <c r="IE110" s="927"/>
      <c r="IF110" s="927"/>
      <c r="IG110" s="927"/>
      <c r="IH110" s="927"/>
    </row>
    <row r="111" spans="2:242" s="889" customFormat="1" ht="19.95"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417" t="s">
        <v>579</v>
      </c>
      <c r="HD111" s="418" t="s">
        <v>536</v>
      </c>
      <c r="HE111" s="418" t="s">
        <v>537</v>
      </c>
      <c r="HF111" s="419" t="s">
        <v>538</v>
      </c>
      <c r="HG111" s="417" t="s">
        <v>579</v>
      </c>
      <c r="HH111" s="418" t="s">
        <v>536</v>
      </c>
      <c r="HI111" s="418" t="s">
        <v>537</v>
      </c>
      <c r="HJ111" s="419" t="s">
        <v>538</v>
      </c>
      <c r="IE111" s="927"/>
      <c r="IF111" s="927"/>
      <c r="IG111" s="927"/>
      <c r="IH111" s="927"/>
    </row>
    <row r="112" spans="2:242" s="889" customFormat="1" ht="19.95"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42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422">
        <f t="shared" si="87"/>
        <v>0</v>
      </c>
      <c r="HE112" s="422">
        <f t="shared" si="87"/>
        <v>0</v>
      </c>
      <c r="HF112" s="420"/>
      <c r="HG112" s="421">
        <f>SUM(SUMIFS(K112:HB112,$K$13:$HB$13,{"エネルギー管理指定工場等*","県域*"}))</f>
        <v>0</v>
      </c>
      <c r="HH112" s="422">
        <f>SUM(SUMIFS(L112:HC112,$K$13:$HB$13,{"エネルギー管理指定工場等*","県域*"}))</f>
        <v>0</v>
      </c>
      <c r="HI112" s="422">
        <f>SUM(SUMIFS(M112:HD112,$K$13:$HB$13,{"エネルギー管理指定工場等*","県域*"}))</f>
        <v>0</v>
      </c>
      <c r="HJ112" s="420"/>
      <c r="IE112" s="927"/>
      <c r="IF112" s="927"/>
      <c r="IG112" s="927"/>
      <c r="IH112" s="927"/>
    </row>
    <row r="113" spans="2:242" s="889" customFormat="1" ht="19.95"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424">
        <f t="shared" si="87"/>
        <v>0</v>
      </c>
      <c r="HD113" s="425">
        <f t="shared" si="87"/>
        <v>0</v>
      </c>
      <c r="HE113" s="425">
        <f t="shared" si="87"/>
        <v>0</v>
      </c>
      <c r="HF113" s="426"/>
      <c r="HG113" s="424">
        <f>SUM(SUMIFS(K113:HB113,$K$13:$HB$13,{"エネルギー管理指定工場等*","県域*"}))</f>
        <v>0</v>
      </c>
      <c r="HH113" s="427">
        <f>SUM(SUMIFS(L113:HC113,$K$13:$HB$13,{"エネルギー管理指定工場等*","県域*"}))</f>
        <v>0</v>
      </c>
      <c r="HI113" s="427">
        <f>SUM(SUMIFS(M113:HD113,$K$13:$HB$13,{"エネルギー管理指定工場等*","県域*"}))</f>
        <v>0</v>
      </c>
      <c r="HJ113" s="423"/>
      <c r="IE113" s="927"/>
      <c r="IF113" s="927"/>
      <c r="IG113" s="927"/>
      <c r="IH113" s="927"/>
    </row>
    <row r="114" spans="2:242" s="889" customFormat="1" ht="19.95"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428">
        <f t="shared" si="87"/>
        <v>0</v>
      </c>
      <c r="HD114" s="427">
        <f t="shared" si="87"/>
        <v>0</v>
      </c>
      <c r="HE114" s="427">
        <f t="shared" si="87"/>
        <v>0</v>
      </c>
      <c r="HF114" s="423"/>
      <c r="HG114" s="428">
        <f>SUM(SUMIFS(K114:HB114,$K$13:$HB$13,{"エネルギー管理指定工場等*","県域*"}))</f>
        <v>0</v>
      </c>
      <c r="HH114" s="427">
        <f>SUM(SUMIFS(L114:HC114,$K$13:$HB$13,{"エネルギー管理指定工場等*","県域*"}))</f>
        <v>0</v>
      </c>
      <c r="HI114" s="427">
        <f>SUM(SUMIFS(M114:HD114,$K$13:$HB$13,{"エネルギー管理指定工場等*","県域*"}))</f>
        <v>0</v>
      </c>
      <c r="HJ114" s="423"/>
      <c r="IE114" s="927"/>
      <c r="IF114" s="927"/>
      <c r="IG114" s="927"/>
      <c r="IH114" s="927"/>
    </row>
    <row r="115" spans="2:242" s="889" customFormat="1" ht="19.95"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428">
        <f t="shared" si="87"/>
        <v>0</v>
      </c>
      <c r="HD115" s="427">
        <f t="shared" si="87"/>
        <v>0</v>
      </c>
      <c r="HE115" s="427">
        <f t="shared" si="87"/>
        <v>0</v>
      </c>
      <c r="HF115" s="423"/>
      <c r="HG115" s="428">
        <f>SUM(SUMIFS(K115:HB115,$K$13:$HB$13,{"エネルギー管理指定工場等*","県域*"}))</f>
        <v>0</v>
      </c>
      <c r="HH115" s="427">
        <f>SUM(SUMIFS(L115:HC115,$K$13:$HB$13,{"エネルギー管理指定工場等*","県域*"}))</f>
        <v>0</v>
      </c>
      <c r="HI115" s="427">
        <f>SUM(SUMIFS(M115:HD115,$K$13:$HB$13,{"エネルギー管理指定工場等*","県域*"}))</f>
        <v>0</v>
      </c>
      <c r="HJ115" s="423"/>
      <c r="IE115" s="927"/>
      <c r="IF115" s="927"/>
      <c r="IG115" s="927"/>
      <c r="IH115" s="927"/>
    </row>
    <row r="116" spans="2:242" s="889" customFormat="1" ht="19.95"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428">
        <f t="shared" si="87"/>
        <v>0</v>
      </c>
      <c r="HD116" s="427">
        <f t="shared" si="87"/>
        <v>0</v>
      </c>
      <c r="HE116" s="427">
        <f t="shared" si="87"/>
        <v>0</v>
      </c>
      <c r="HF116" s="423"/>
      <c r="HG116" s="428">
        <f>SUM(SUMIFS(K116:HB116,$K$13:$HB$13,{"エネルギー管理指定工場等*","県域*"}))</f>
        <v>0</v>
      </c>
      <c r="HH116" s="427">
        <f>SUM(SUMIFS(L116:HC116,$K$13:$HB$13,{"エネルギー管理指定工場等*","県域*"}))</f>
        <v>0</v>
      </c>
      <c r="HI116" s="427">
        <f>SUM(SUMIFS(M116:HD116,$K$13:$HB$13,{"エネルギー管理指定工場等*","県域*"}))</f>
        <v>0</v>
      </c>
      <c r="HJ116" s="423"/>
      <c r="IE116" s="927"/>
      <c r="IF116" s="927"/>
      <c r="IG116" s="927"/>
      <c r="IH116" s="927"/>
    </row>
    <row r="117" spans="2:242" s="889" customFormat="1" ht="19.95"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424">
        <f t="shared" si="87"/>
        <v>0</v>
      </c>
      <c r="HD117" s="425">
        <f t="shared" si="87"/>
        <v>0</v>
      </c>
      <c r="HE117" s="425">
        <f t="shared" si="87"/>
        <v>0</v>
      </c>
      <c r="HF117" s="426"/>
      <c r="HG117" s="424">
        <f>SUM(SUMIFS(K117:HB117,$K$13:$HB$13,{"エネルギー管理指定工場等*","県域*"}))</f>
        <v>0</v>
      </c>
      <c r="HH117" s="425">
        <f>SUM(SUMIFS(L117:HC117,$K$13:$HB$13,{"エネルギー管理指定工場等*","県域*"}))</f>
        <v>0</v>
      </c>
      <c r="HI117" s="425">
        <f>SUM(SUMIFS(M117:HD117,$K$13:$HB$13,{"エネルギー管理指定工場等*","県域*"}))</f>
        <v>0</v>
      </c>
      <c r="HJ117" s="426"/>
      <c r="IE117" s="927"/>
      <c r="IF117" s="927"/>
      <c r="IG117" s="927"/>
      <c r="IH117" s="927"/>
    </row>
    <row r="118" spans="2:242" s="889" customFormat="1" ht="19.95"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428">
        <f t="shared" si="87"/>
        <v>0</v>
      </c>
      <c r="HD118" s="427">
        <f t="shared" si="87"/>
        <v>0</v>
      </c>
      <c r="HE118" s="427">
        <f t="shared" si="87"/>
        <v>0</v>
      </c>
      <c r="HF118" s="423"/>
      <c r="HG118" s="428">
        <f>SUM(SUMIFS(K118:HB118,$K$13:$HB$13,{"エネルギー管理指定工場等*","県域*"}))</f>
        <v>0</v>
      </c>
      <c r="HH118" s="427">
        <f>SUM(SUMIFS(L118:HC118,$K$13:$HB$13,{"エネルギー管理指定工場等*","県域*"}))</f>
        <v>0</v>
      </c>
      <c r="HI118" s="427">
        <f>SUM(SUMIFS(M118:HD118,$K$13:$HB$13,{"エネルギー管理指定工場等*","県域*"}))</f>
        <v>0</v>
      </c>
      <c r="HJ118" s="423"/>
      <c r="IE118" s="927"/>
      <c r="IF118" s="927"/>
      <c r="IG118" s="927"/>
      <c r="IH118" s="927"/>
    </row>
    <row r="119" spans="2:242" s="889" customFormat="1" ht="19.95"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428">
        <f t="shared" si="87"/>
        <v>0</v>
      </c>
      <c r="HD119" s="427">
        <f t="shared" si="87"/>
        <v>0</v>
      </c>
      <c r="HE119" s="427">
        <f t="shared" si="87"/>
        <v>0</v>
      </c>
      <c r="HF119" s="423"/>
      <c r="HG119" s="428">
        <f>SUM(SUMIFS(K119:HB119,$K$13:$HB$13,{"エネルギー管理指定工場等*","県域*"}))</f>
        <v>0</v>
      </c>
      <c r="HH119" s="427">
        <f>SUM(SUMIFS(L119:HC119,$K$13:$HB$13,{"エネルギー管理指定工場等*","県域*"}))</f>
        <v>0</v>
      </c>
      <c r="HI119" s="427">
        <f>SUM(SUMIFS(M119:HD119,$K$13:$HB$13,{"エネルギー管理指定工場等*","県域*"}))</f>
        <v>0</v>
      </c>
      <c r="HJ119" s="423"/>
      <c r="IE119" s="927"/>
      <c r="IF119" s="927"/>
      <c r="IG119" s="927"/>
      <c r="IH119" s="927"/>
    </row>
    <row r="120" spans="2:242" s="889" customFormat="1" ht="19.95"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428">
        <f t="shared" si="87"/>
        <v>0</v>
      </c>
      <c r="HD120" s="427">
        <f t="shared" si="87"/>
        <v>0</v>
      </c>
      <c r="HE120" s="427">
        <f t="shared" si="87"/>
        <v>0</v>
      </c>
      <c r="HF120" s="423"/>
      <c r="HG120" s="428">
        <f>SUM(SUMIFS(K120:HB120,$K$13:$HB$13,{"エネルギー管理指定工場等*","県域*"}))</f>
        <v>0</v>
      </c>
      <c r="HH120" s="427">
        <f>SUM(SUMIFS(L120:HC120,$K$13:$HB$13,{"エネルギー管理指定工場等*","県域*"}))</f>
        <v>0</v>
      </c>
      <c r="HI120" s="427">
        <f>SUM(SUMIFS(M120:HD120,$K$13:$HB$13,{"エネルギー管理指定工場等*","県域*"}))</f>
        <v>0</v>
      </c>
      <c r="HJ120" s="423"/>
      <c r="IE120" s="927"/>
      <c r="IF120" s="927"/>
      <c r="IG120" s="927"/>
      <c r="IH120" s="927"/>
    </row>
    <row r="121" spans="2:242" s="889" customFormat="1" ht="19.95"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429">
        <f t="shared" si="87"/>
        <v>0</v>
      </c>
      <c r="HD121" s="430">
        <f t="shared" si="87"/>
        <v>0</v>
      </c>
      <c r="HE121" s="430">
        <f t="shared" si="87"/>
        <v>0</v>
      </c>
      <c r="HF121" s="431"/>
      <c r="HG121" s="429">
        <f>SUM(SUMIFS(K121:HB121,$K$13:$HB$13,{"エネルギー管理指定工場等*","県域*"}))</f>
        <v>0</v>
      </c>
      <c r="HH121" s="430">
        <f>SUM(SUMIFS(L121:HC121,$K$13:$HB$13,{"エネルギー管理指定工場等*","県域*"}))</f>
        <v>0</v>
      </c>
      <c r="HI121" s="430">
        <f>SUM(SUMIFS(M121:HD121,$K$13:$HB$13,{"エネルギー管理指定工場等*","県域*"}))</f>
        <v>0</v>
      </c>
      <c r="HJ121" s="431"/>
      <c r="IE121" s="927"/>
      <c r="IF121" s="927"/>
      <c r="IG121" s="927"/>
      <c r="IH121" s="927"/>
    </row>
    <row r="122" spans="2:242" s="889" customFormat="1" ht="19.95"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421">
        <f t="shared" si="87"/>
        <v>0</v>
      </c>
      <c r="HD122" s="432"/>
      <c r="HE122" s="422">
        <f t="shared" si="87"/>
        <v>0</v>
      </c>
      <c r="HF122" s="422">
        <f t="shared" si="87"/>
        <v>0</v>
      </c>
      <c r="HG122" s="421">
        <f>SUM(SUMIFS(K122:HB122,$K$13:$HB$13,{"エネルギー管理指定工場等*","県域*"}))</f>
        <v>0</v>
      </c>
      <c r="HH122" s="432"/>
      <c r="HI122" s="422">
        <f>SUM(SUMIFS(M122:HD122,$K$13:$HB$13,{"エネルギー管理指定工場等*","県域*"}))</f>
        <v>0</v>
      </c>
      <c r="HJ122" s="433">
        <f>SUM(SUMIFS(N122:HE122,$K$13:$HB$13,{"エネルギー管理指定工場等*","県域*"}))</f>
        <v>0</v>
      </c>
      <c r="IE122" s="927"/>
      <c r="IF122" s="927"/>
      <c r="IG122" s="927"/>
      <c r="IH122" s="927"/>
    </row>
    <row r="123" spans="2:242" s="889" customFormat="1" ht="19.95"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428">
        <f t="shared" si="87"/>
        <v>0</v>
      </c>
      <c r="HD123" s="434"/>
      <c r="HE123" s="427">
        <f t="shared" si="87"/>
        <v>0</v>
      </c>
      <c r="HF123" s="427">
        <f t="shared" si="87"/>
        <v>0</v>
      </c>
      <c r="HG123" s="428">
        <f>SUM(SUMIFS(K123:HB123,$K$13:$HB$13,{"エネルギー管理指定工場等*","県域*"}))</f>
        <v>0</v>
      </c>
      <c r="HH123" s="434"/>
      <c r="HI123" s="427">
        <f>SUM(SUMIFS(M123:HD123,$K$13:$HB$13,{"エネルギー管理指定工場等*","県域*"}))</f>
        <v>0</v>
      </c>
      <c r="HJ123" s="435">
        <f>SUM(SUMIFS(N123:HE123,$K$13:$HB$13,{"エネルギー管理指定工場等*","県域*"}))</f>
        <v>0</v>
      </c>
      <c r="IE123" s="927"/>
      <c r="IF123" s="927"/>
      <c r="IG123" s="927"/>
      <c r="IH123" s="927"/>
    </row>
    <row r="124" spans="2:242" s="889" customFormat="1" ht="19.95"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437">
        <f t="shared" si="87"/>
        <v>0</v>
      </c>
      <c r="HD124" s="436"/>
      <c r="HE124" s="438">
        <f t="shared" si="87"/>
        <v>0</v>
      </c>
      <c r="HF124" s="438">
        <f t="shared" si="87"/>
        <v>0</v>
      </c>
      <c r="HG124" s="437">
        <f>SUM(SUMIFS(K124:HB124,$K$13:$HB$13,{"エネルギー管理指定工場等*","県域*"}))</f>
        <v>0</v>
      </c>
      <c r="HH124" s="436"/>
      <c r="HI124" s="438">
        <f>SUM(SUMIFS(M124:HD124,$K$13:$HB$13,{"エネルギー管理指定工場等*","県域*"}))</f>
        <v>0</v>
      </c>
      <c r="HJ124" s="439">
        <f>SUM(SUMIFS(N124:HE124,$K$13:$HB$13,{"エネルギー管理指定工場等*","県域*"}))</f>
        <v>0</v>
      </c>
      <c r="IE124" s="927"/>
      <c r="IF124" s="927"/>
      <c r="IG124" s="927"/>
      <c r="IH124" s="927"/>
    </row>
    <row r="125" spans="2:242" s="889" customFormat="1" ht="19.95"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421">
        <f t="shared" si="87"/>
        <v>0</v>
      </c>
      <c r="HD125" s="432"/>
      <c r="HE125" s="422">
        <f t="shared" si="87"/>
        <v>0</v>
      </c>
      <c r="HF125" s="422">
        <f t="shared" si="87"/>
        <v>0</v>
      </c>
      <c r="HG125" s="421">
        <f>SUM(SUMIFS(K125:HB125,$K$13:$HB$13,{"エネルギー管理指定工場等*","県域*"}))</f>
        <v>0</v>
      </c>
      <c r="HH125" s="432"/>
      <c r="HI125" s="422">
        <f>SUM(SUMIFS(M125:HD125,$K$13:$HB$13,{"エネルギー管理指定工場等*","県域*"}))</f>
        <v>0</v>
      </c>
      <c r="HJ125" s="433">
        <f>SUM(SUMIFS(N125:HE125,$K$13:$HB$13,{"エネルギー管理指定工場等*","県域*"}))</f>
        <v>0</v>
      </c>
      <c r="IE125" s="927"/>
      <c r="IF125" s="927"/>
      <c r="IG125" s="927"/>
      <c r="IH125" s="927"/>
    </row>
    <row r="126" spans="2:242" s="889" customFormat="1" ht="19.95"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428">
        <f t="shared" si="87"/>
        <v>0</v>
      </c>
      <c r="HD126" s="434"/>
      <c r="HE126" s="427">
        <f t="shared" si="87"/>
        <v>0</v>
      </c>
      <c r="HF126" s="427">
        <f t="shared" si="87"/>
        <v>0</v>
      </c>
      <c r="HG126" s="428">
        <f>SUM(SUMIFS(K126:HB126,$K$13:$HB$13,{"エネルギー管理指定工場等*","県域*"}))</f>
        <v>0</v>
      </c>
      <c r="HH126" s="434"/>
      <c r="HI126" s="427">
        <f>SUM(SUMIFS(M126:HD126,$K$13:$HB$13,{"エネルギー管理指定工場等*","県域*"}))</f>
        <v>0</v>
      </c>
      <c r="HJ126" s="435">
        <f>SUM(SUMIFS(N126:HE126,$K$13:$HB$13,{"エネルギー管理指定工場等*","県域*"}))</f>
        <v>0</v>
      </c>
      <c r="IE126" s="927"/>
      <c r="IF126" s="927"/>
      <c r="IG126" s="927"/>
      <c r="IH126" s="927"/>
    </row>
    <row r="127" spans="2:242" s="889" customFormat="1" ht="19.95"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429">
        <f t="shared" si="87"/>
        <v>0</v>
      </c>
      <c r="HD127" s="440"/>
      <c r="HE127" s="430">
        <f t="shared" si="87"/>
        <v>0</v>
      </c>
      <c r="HF127" s="430">
        <f t="shared" si="87"/>
        <v>0</v>
      </c>
      <c r="HG127" s="429">
        <f>SUM(SUMIFS(K127:HB127,$K$13:$HB$13,{"エネルギー管理指定工場等*","県域*"}))</f>
        <v>0</v>
      </c>
      <c r="HH127" s="440"/>
      <c r="HI127" s="430">
        <f>SUM(SUMIFS(M127:HD127,$K$13:$HB$13,{"エネルギー管理指定工場等*","県域*"}))</f>
        <v>0</v>
      </c>
      <c r="HJ127" s="441">
        <f>SUM(SUMIFS(N127:HE127,$K$13:$HB$13,{"エネルギー管理指定工場等*","県域*"}))</f>
        <v>0</v>
      </c>
      <c r="IE127" s="927"/>
      <c r="IF127" s="927"/>
      <c r="IG127" s="927"/>
      <c r="IH127" s="927"/>
    </row>
    <row r="128" spans="2:242" s="889" customFormat="1" ht="19.95"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398">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442"/>
      <c r="HE128" s="404">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404">
        <f t="shared" si="89"/>
        <v>0</v>
      </c>
      <c r="HG128" s="398">
        <f>SUM(SUMIFS(K128:HB128,$K$13:$HB$13,{"エネルギー管理指定工場等*","県域*"}))</f>
        <v>0</v>
      </c>
      <c r="HH128" s="442"/>
      <c r="HI128" s="404">
        <f>SUM(SUMIFS(M128:HD128,$K$13:$HB$13,{"エネルギー管理指定工場等*","県域*"}))</f>
        <v>0</v>
      </c>
      <c r="HJ128" s="443">
        <f>SUM(SUMIFS(N128:HE128,$K$13:$HB$13,{"エネルギー管理指定工場等*","県域*"}))</f>
        <v>0</v>
      </c>
      <c r="IE128" s="927"/>
      <c r="IF128" s="927"/>
      <c r="IG128" s="927"/>
      <c r="IH128" s="927"/>
    </row>
    <row r="129" spans="1:242" s="889" customFormat="1" ht="19.95"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437">
        <f t="shared" si="88"/>
        <v>0</v>
      </c>
      <c r="HD129" s="436"/>
      <c r="HE129" s="438">
        <f t="shared" si="89"/>
        <v>0</v>
      </c>
      <c r="HF129" s="438">
        <f t="shared" si="89"/>
        <v>0</v>
      </c>
      <c r="HG129" s="437">
        <f>SUM(SUMIFS(K129:HB129,$K$13:$HB$13,{"エネルギー管理指定工場等*","県域*"}))</f>
        <v>0</v>
      </c>
      <c r="HH129" s="436"/>
      <c r="HI129" s="438">
        <f>SUM(SUMIFS(M129:HD129,$K$13:$HB$13,{"エネルギー管理指定工場等*","県域*"}))</f>
        <v>0</v>
      </c>
      <c r="HJ129" s="439">
        <f>SUM(SUMIFS(N129:HE129,$K$13:$HB$13,{"エネルギー管理指定工場等*","県域*"}))</f>
        <v>0</v>
      </c>
      <c r="IE129" s="927"/>
      <c r="IF129" s="927"/>
      <c r="IG129" s="927"/>
      <c r="IH129" s="927"/>
    </row>
    <row r="130" spans="1:242" ht="19.95" customHeight="1">
      <c r="A130" s="889"/>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429">
        <f t="shared" si="88"/>
        <v>0</v>
      </c>
      <c r="HD130" s="440"/>
      <c r="HE130" s="430">
        <f t="shared" si="89"/>
        <v>0</v>
      </c>
      <c r="HF130" s="430">
        <f t="shared" si="89"/>
        <v>0</v>
      </c>
      <c r="HG130" s="429">
        <f>SUM(SUMIFS(K130:HB130,$K$13:$HB$13,{"エネルギー管理指定工場等*","県域*"}))</f>
        <v>0</v>
      </c>
      <c r="HH130" s="440"/>
      <c r="HI130" s="430">
        <f>SUM(SUMIFS(M130:HD130,$K$13:$HB$13,{"エネルギー管理指定工場等*","県域*"}))</f>
        <v>0</v>
      </c>
      <c r="HJ130" s="441">
        <f>SUM(SUMIFS(N130:HE130,$K$13:$HB$13,{"エネルギー管理指定工場等*","県域*"}))</f>
        <v>0</v>
      </c>
      <c r="HK130" s="889"/>
    </row>
    <row r="131" spans="1:242" ht="19.95"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421">
        <f t="shared" si="88"/>
        <v>0</v>
      </c>
      <c r="HD131" s="432"/>
      <c r="HE131" s="432"/>
      <c r="HF131" s="420"/>
      <c r="HG131" s="421">
        <f>SUM(SUMIFS(K131:HB131,$K$13:$HB$13,{"エネルギー管理指定工場等*","県域*"}))</f>
        <v>0</v>
      </c>
      <c r="HH131" s="432"/>
      <c r="HI131" s="432"/>
      <c r="HJ131" s="420"/>
    </row>
    <row r="132" spans="1:242" ht="19.95"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428">
        <f t="shared" si="88"/>
        <v>0</v>
      </c>
      <c r="HD132" s="434"/>
      <c r="HE132" s="434"/>
      <c r="HF132" s="423"/>
      <c r="HG132" s="428">
        <f>SUM(SUMIFS(K132:HB132,$K$13:$HB$13,{"エネルギー管理指定工場等*","県域*"}))</f>
        <v>0</v>
      </c>
      <c r="HH132" s="434"/>
      <c r="HI132" s="434"/>
      <c r="HJ132" s="423"/>
    </row>
    <row r="133" spans="1:242" ht="19.95"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428">
        <f t="shared" si="88"/>
        <v>0</v>
      </c>
      <c r="HD133" s="434"/>
      <c r="HE133" s="434"/>
      <c r="HF133" s="423"/>
      <c r="HG133" s="428">
        <f>SUM(SUMIFS(K133:HB133,$K$13:$HB$13,{"エネルギー管理指定工場等*","県域*"}))</f>
        <v>0</v>
      </c>
      <c r="HH133" s="434"/>
      <c r="HI133" s="434"/>
      <c r="HJ133" s="423"/>
    </row>
    <row r="134" spans="1:242" ht="19.95"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428">
        <f t="shared" si="88"/>
        <v>0</v>
      </c>
      <c r="HD134" s="434"/>
      <c r="HE134" s="434"/>
      <c r="HF134" s="423"/>
      <c r="HG134" s="428">
        <f>SUM(SUMIFS(K134:HB134,$K$13:$HB$13,{"エネルギー管理指定工場等*","県域*"}))</f>
        <v>0</v>
      </c>
      <c r="HH134" s="434"/>
      <c r="HI134" s="434"/>
      <c r="HJ134" s="423"/>
    </row>
    <row r="135" spans="1:242" ht="19.95"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428">
        <f t="shared" si="88"/>
        <v>0</v>
      </c>
      <c r="HD135" s="434"/>
      <c r="HE135" s="434"/>
      <c r="HF135" s="423"/>
      <c r="HG135" s="428">
        <f>SUM(SUMIFS(K135:HB135,$K$13:$HB$13,{"エネルギー管理指定工場等*","県域*"}))</f>
        <v>0</v>
      </c>
      <c r="HH135" s="434"/>
      <c r="HI135" s="434"/>
      <c r="HJ135" s="423"/>
    </row>
    <row r="136" spans="1:242" ht="19.95"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428">
        <f t="shared" si="88"/>
        <v>0</v>
      </c>
      <c r="HD136" s="434"/>
      <c r="HE136" s="434"/>
      <c r="HF136" s="423"/>
      <c r="HG136" s="428">
        <f>SUM(SUMIFS(K136:HB136,$K$13:$HB$13,{"エネルギー管理指定工場等*","県域*"}))</f>
        <v>0</v>
      </c>
      <c r="HH136" s="434"/>
      <c r="HI136" s="434"/>
      <c r="HJ136" s="423"/>
    </row>
    <row r="137" spans="1:242" ht="19.95"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428">
        <f t="shared" si="88"/>
        <v>0</v>
      </c>
      <c r="HD137" s="434"/>
      <c r="HE137" s="434"/>
      <c r="HF137" s="423"/>
      <c r="HG137" s="428">
        <f>SUM(SUMIFS(K137:HB137,$K$13:$HB$13,{"エネルギー管理指定工場等*","県域*"}))</f>
        <v>0</v>
      </c>
      <c r="HH137" s="434"/>
      <c r="HI137" s="434"/>
      <c r="HJ137" s="423"/>
    </row>
    <row r="138" spans="1:242" ht="19.95"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428">
        <f t="shared" si="88"/>
        <v>0</v>
      </c>
      <c r="HD138" s="434"/>
      <c r="HE138" s="434"/>
      <c r="HF138" s="423"/>
      <c r="HG138" s="428">
        <f>SUM(SUMIFS(K138:HB138,$K$13:$HB$13,{"エネルギー管理指定工場等*","県域*"}))</f>
        <v>0</v>
      </c>
      <c r="HH138" s="434"/>
      <c r="HI138" s="434"/>
      <c r="HJ138" s="423"/>
    </row>
    <row r="139" spans="1:242" ht="19.95"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428">
        <f t="shared" si="88"/>
        <v>0</v>
      </c>
      <c r="HD139" s="434"/>
      <c r="HE139" s="434"/>
      <c r="HF139" s="423"/>
      <c r="HG139" s="428">
        <f>SUM(SUMIFS(K139:HB139,$K$13:$HB$13,{"エネルギー管理指定工場等*","県域*"}))</f>
        <v>0</v>
      </c>
      <c r="HH139" s="434"/>
      <c r="HI139" s="434"/>
      <c r="HJ139" s="423"/>
    </row>
    <row r="140" spans="1:242" ht="19.95"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429">
        <f t="shared" si="88"/>
        <v>0</v>
      </c>
      <c r="HD140" s="440"/>
      <c r="HE140" s="440"/>
      <c r="HF140" s="431"/>
      <c r="HG140" s="429">
        <f>SUM(SUMIFS(K140:HB140,$K$13:$HB$13,{"エネルギー管理指定工場等*","県域*"}))</f>
        <v>0</v>
      </c>
      <c r="HH140" s="440"/>
      <c r="HI140" s="440"/>
      <c r="HJ140" s="431"/>
    </row>
    <row r="141" spans="1:242" ht="19.95"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421">
        <f t="shared" si="88"/>
        <v>0</v>
      </c>
      <c r="HD141" s="432"/>
      <c r="HE141" s="432"/>
      <c r="HF141" s="420"/>
      <c r="HG141" s="421">
        <f>SUM(SUMIFS(K141:HB141,$K$13:$HB$13,{"エネルギー管理指定工場等*","県域*"}))</f>
        <v>0</v>
      </c>
      <c r="HH141" s="432"/>
      <c r="HI141" s="432"/>
      <c r="HJ141" s="420"/>
    </row>
    <row r="142" spans="1:242" ht="19.95"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428">
        <f t="shared" si="88"/>
        <v>0</v>
      </c>
      <c r="HD142" s="434"/>
      <c r="HE142" s="434"/>
      <c r="HF142" s="423"/>
      <c r="HG142" s="428">
        <f>SUM(SUMIFS(K142:HB142,$K$13:$HB$13,{"エネルギー管理指定工場等*","県域*"}))</f>
        <v>0</v>
      </c>
      <c r="HH142" s="434"/>
      <c r="HI142" s="434"/>
      <c r="HJ142" s="423"/>
    </row>
    <row r="143" spans="1:242" ht="19.95"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428">
        <f t="shared" si="88"/>
        <v>0</v>
      </c>
      <c r="HD143" s="434"/>
      <c r="HE143" s="434"/>
      <c r="HF143" s="423"/>
      <c r="HG143" s="428">
        <f>SUM(SUMIFS(K143:HB143,$K$13:$HB$13,{"エネルギー管理指定工場等*","県域*"}))</f>
        <v>0</v>
      </c>
      <c r="HH143" s="434"/>
      <c r="HI143" s="434"/>
      <c r="HJ143" s="423"/>
    </row>
    <row r="144" spans="1:242" ht="19.95"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428">
        <f t="shared" si="88"/>
        <v>0</v>
      </c>
      <c r="HD144" s="434"/>
      <c r="HE144" s="434"/>
      <c r="HF144" s="423"/>
      <c r="HG144" s="428">
        <f>SUM(SUMIFS(K144:HB144,$K$13:$HB$13,{"エネルギー管理指定工場等*","県域*"}))</f>
        <v>0</v>
      </c>
      <c r="HH144" s="434"/>
      <c r="HI144" s="434"/>
      <c r="HJ144" s="423"/>
    </row>
    <row r="145" spans="1:218" ht="19.95"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428">
        <f t="shared" si="88"/>
        <v>0</v>
      </c>
      <c r="HD145" s="434"/>
      <c r="HE145" s="434"/>
      <c r="HF145" s="423"/>
      <c r="HG145" s="428">
        <f>SUM(SUMIFS(K145:HB145,$K$13:$HB$13,{"エネルギー管理指定工場等*","県域*"}))</f>
        <v>0</v>
      </c>
      <c r="HH145" s="434"/>
      <c r="HI145" s="434"/>
      <c r="HJ145" s="423"/>
    </row>
    <row r="146" spans="1:218" ht="19.95"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428">
        <f t="shared" si="88"/>
        <v>0</v>
      </c>
      <c r="HD146" s="434"/>
      <c r="HE146" s="434"/>
      <c r="HF146" s="423"/>
      <c r="HG146" s="428">
        <f>SUM(SUMIFS(K146:HB146,$K$13:$HB$13,{"エネルギー管理指定工場等*","県域*"}))</f>
        <v>0</v>
      </c>
      <c r="HH146" s="434"/>
      <c r="HI146" s="434"/>
      <c r="HJ146" s="423"/>
    </row>
    <row r="147" spans="1:218" ht="19.95"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428">
        <f t="shared" si="88"/>
        <v>0</v>
      </c>
      <c r="HD147" s="434"/>
      <c r="HE147" s="434"/>
      <c r="HF147" s="423"/>
      <c r="HG147" s="428">
        <f>SUM(SUMIFS(K147:HB147,$K$13:$HB$13,{"エネルギー管理指定工場等*","県域*"}))</f>
        <v>0</v>
      </c>
      <c r="HH147" s="434"/>
      <c r="HI147" s="434"/>
      <c r="HJ147" s="423"/>
    </row>
    <row r="148" spans="1:218" ht="19.95"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428">
        <f t="shared" si="88"/>
        <v>0</v>
      </c>
      <c r="HD148" s="434"/>
      <c r="HE148" s="434"/>
      <c r="HF148" s="423"/>
      <c r="HG148" s="428">
        <f>SUM(SUMIFS(K148:HB148,$K$13:$HB$13,{"エネルギー管理指定工場等*","県域*"}))</f>
        <v>0</v>
      </c>
      <c r="HH148" s="434"/>
      <c r="HI148" s="434"/>
      <c r="HJ148" s="423"/>
    </row>
    <row r="149" spans="1:218" ht="19.95"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428">
        <f t="shared" si="88"/>
        <v>0</v>
      </c>
      <c r="HD149" s="434"/>
      <c r="HE149" s="434"/>
      <c r="HF149" s="423"/>
      <c r="HG149" s="428">
        <f>SUM(SUMIFS(K149:HB149,$K$13:$HB$13,{"エネルギー管理指定工場等*","県域*"}))</f>
        <v>0</v>
      </c>
      <c r="HH149" s="434"/>
      <c r="HI149" s="434"/>
      <c r="HJ149" s="423"/>
    </row>
    <row r="150" spans="1:218" ht="19.95"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429">
        <f t="shared" si="88"/>
        <v>0</v>
      </c>
      <c r="HD150" s="440"/>
      <c r="HE150" s="440"/>
      <c r="HF150" s="431"/>
      <c r="HG150" s="429">
        <f>SUM(SUMIFS(K150:HB150,$K$13:$HB$13,{"エネルギー管理指定工場等*","県域*"}))</f>
        <v>0</v>
      </c>
      <c r="HH150" s="440"/>
      <c r="HI150" s="440"/>
      <c r="HJ150" s="431"/>
    </row>
    <row r="151" spans="1:218" ht="19.95"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421">
        <f t="shared" si="88"/>
        <v>0</v>
      </c>
      <c r="HD151" s="432"/>
      <c r="HE151" s="432"/>
      <c r="HF151" s="420"/>
      <c r="HG151" s="421">
        <f>SUM(SUMIFS(K151:HB151,$K$13:$HB$13,{"エネルギー管理指定工場等*","県域*"}))</f>
        <v>0</v>
      </c>
      <c r="HH151" s="432"/>
      <c r="HI151" s="432"/>
      <c r="HJ151" s="420"/>
    </row>
    <row r="152" spans="1:218" ht="19.95"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428">
        <f t="shared" si="88"/>
        <v>0</v>
      </c>
      <c r="HD152" s="434"/>
      <c r="HE152" s="434"/>
      <c r="HF152" s="423"/>
      <c r="HG152" s="428">
        <f>SUM(SUMIFS(K152:HB152,$K$13:$HB$13,{"エネルギー管理指定工場等*","県域*"}))</f>
        <v>0</v>
      </c>
      <c r="HH152" s="434"/>
      <c r="HI152" s="434"/>
      <c r="HJ152" s="423"/>
    </row>
    <row r="153" spans="1:218" ht="19.95"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428">
        <f t="shared" si="88"/>
        <v>0</v>
      </c>
      <c r="HD153" s="434"/>
      <c r="HE153" s="434"/>
      <c r="HF153" s="423"/>
      <c r="HG153" s="428">
        <f>SUM(SUMIFS(K153:HB153,$K$13:$HB$13,{"エネルギー管理指定工場等*","県域*"}))</f>
        <v>0</v>
      </c>
      <c r="HH153" s="434"/>
      <c r="HI153" s="434"/>
      <c r="HJ153" s="423"/>
    </row>
    <row r="154" spans="1:218" ht="19.95"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428">
        <f t="shared" si="88"/>
        <v>0</v>
      </c>
      <c r="HD154" s="434"/>
      <c r="HE154" s="434"/>
      <c r="HF154" s="423"/>
      <c r="HG154" s="428">
        <f>SUM(SUMIFS(K154:HB154,$K$13:$HB$13,{"エネルギー管理指定工場等*","県域*"}))</f>
        <v>0</v>
      </c>
      <c r="HH154" s="434"/>
      <c r="HI154" s="434"/>
      <c r="HJ154" s="423"/>
    </row>
    <row r="155" spans="1:218" ht="19.95"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428">
        <f t="shared" si="88"/>
        <v>0</v>
      </c>
      <c r="HD155" s="434"/>
      <c r="HE155" s="434"/>
      <c r="HF155" s="423"/>
      <c r="HG155" s="428">
        <f>SUM(SUMIFS(K155:HB155,$K$13:$HB$13,{"エネルギー管理指定工場等*","県域*"}))</f>
        <v>0</v>
      </c>
      <c r="HH155" s="434"/>
      <c r="HI155" s="434"/>
      <c r="HJ155" s="423"/>
    </row>
    <row r="156" spans="1:218" ht="19.95"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428">
        <f t="shared" si="88"/>
        <v>0</v>
      </c>
      <c r="HD156" s="434"/>
      <c r="HE156" s="434"/>
      <c r="HF156" s="423"/>
      <c r="HG156" s="428">
        <f>SUM(SUMIFS(K156:HB156,$K$13:$HB$13,{"エネルギー管理指定工場等*","県域*"}))</f>
        <v>0</v>
      </c>
      <c r="HH156" s="434"/>
      <c r="HI156" s="434"/>
      <c r="HJ156" s="423"/>
    </row>
    <row r="157" spans="1:218" ht="19.95"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428">
        <f t="shared" si="88"/>
        <v>0</v>
      </c>
      <c r="HD157" s="434"/>
      <c r="HE157" s="434"/>
      <c r="HF157" s="423"/>
      <c r="HG157" s="428">
        <f>SUM(SUMIFS(K157:HB157,$K$13:$HB$13,{"エネルギー管理指定工場等*","県域*"}))</f>
        <v>0</v>
      </c>
      <c r="HH157" s="434"/>
      <c r="HI157" s="434"/>
      <c r="HJ157" s="423"/>
    </row>
    <row r="158" spans="1:218" ht="19.95"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428">
        <f t="shared" si="88"/>
        <v>0</v>
      </c>
      <c r="HD158" s="434"/>
      <c r="HE158" s="434"/>
      <c r="HF158" s="423"/>
      <c r="HG158" s="428">
        <f>SUM(SUMIFS(K158:HB158,$K$13:$HB$13,{"エネルギー管理指定工場等*","県域*"}))</f>
        <v>0</v>
      </c>
      <c r="HH158" s="434"/>
      <c r="HI158" s="434"/>
      <c r="HJ158" s="423"/>
    </row>
    <row r="159" spans="1:218" ht="19.95"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428">
        <f t="shared" si="88"/>
        <v>0</v>
      </c>
      <c r="HD159" s="434"/>
      <c r="HE159" s="434"/>
      <c r="HF159" s="423"/>
      <c r="HG159" s="428">
        <f>SUM(SUMIFS(K159:HB159,$K$13:$HB$13,{"エネルギー管理指定工場等*","県域*"}))</f>
        <v>0</v>
      </c>
      <c r="HH159" s="434"/>
      <c r="HI159" s="434"/>
      <c r="HJ159" s="423"/>
    </row>
    <row r="160" spans="1:218" ht="19.95"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446">
        <f t="shared" si="88"/>
        <v>0</v>
      </c>
      <c r="HD160" s="444"/>
      <c r="HE160" s="444"/>
      <c r="HF160" s="445"/>
      <c r="HG160" s="446">
        <f>SUM(SUMIFS(K160:HB160,$K$13:$HB$13,{"エネルギー管理指定工場等*","県域*"}))</f>
        <v>0</v>
      </c>
      <c r="HH160" s="444"/>
      <c r="HI160" s="444"/>
      <c r="HJ160" s="445"/>
    </row>
    <row r="161" spans="1:210" ht="19.95"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19.95"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19.95"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19.95"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19.95"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19.95"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95" customHeight="1">
      <c r="A167" s="889"/>
      <c r="B167" s="617"/>
      <c r="C167" s="812"/>
      <c r="D167" s="815"/>
      <c r="E167" s="808" t="s">
        <v>1349</v>
      </c>
      <c r="F167" s="810"/>
      <c r="G167" s="811" t="s">
        <v>587</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19.95"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19.95"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19.95"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95" customHeight="1">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19.95" customHeight="1">
      <c r="A172" s="889"/>
      <c r="B172" s="617"/>
      <c r="C172" s="812"/>
      <c r="D172" s="816"/>
      <c r="E172" s="808" t="s">
        <v>1354</v>
      </c>
      <c r="F172" s="810"/>
      <c r="G172" s="811" t="s">
        <v>587</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19.95"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19.95"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19.95"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19.95"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19.95"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19.95"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19.95"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19.95"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19.95"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19.95"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19.95"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19.95"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19.95"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19.95"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19.95"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19.95"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19.95"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19.95"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19.95"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19.95"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19.95"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19.95"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19.95"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19.95"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19.95"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19.95"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19.95"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19.95"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19.95"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19.95"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19.95"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19.95"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19.95"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19.95"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s="889" customFormat="1" ht="19.95" customHeight="1" thickBot="1">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c r="HC207" s="881"/>
      <c r="HD207" s="881"/>
      <c r="HE207" s="881"/>
      <c r="HF207" s="881"/>
      <c r="HG207" s="881"/>
      <c r="HH207" s="881"/>
      <c r="HI207" s="881"/>
      <c r="HJ207" s="881"/>
      <c r="HK207" s="881"/>
      <c r="IE207" s="927"/>
      <c r="IF207" s="927"/>
      <c r="IG207" s="927"/>
      <c r="IH207" s="927"/>
    </row>
    <row r="208" spans="1:242" s="889" customFormat="1" ht="19.95"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19.95"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19.95"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19.95"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ht="19.95" customHeight="1">
      <c r="A212" s="889"/>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HC212" s="889"/>
      <c r="HD212" s="889"/>
      <c r="HE212" s="889"/>
      <c r="HF212" s="889"/>
      <c r="HG212" s="889"/>
      <c r="HH212" s="889"/>
      <c r="HI212" s="889"/>
      <c r="HJ212" s="889"/>
      <c r="HK212" s="889"/>
    </row>
    <row r="213" spans="1:242" ht="19.95"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19.95"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19.95"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19.95"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19.95"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19.95"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19.95"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19.95"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19.95"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19.95"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19.95"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42" s="879" customFormat="1" ht="20.100000000000001" customHeight="1">
      <c r="A224" s="881"/>
      <c r="B224" s="881"/>
      <c r="C224" s="881"/>
      <c r="D224" s="881"/>
      <c r="E224" s="881"/>
      <c r="F224" s="881"/>
      <c r="G224" s="881"/>
      <c r="H224" s="881"/>
      <c r="I224" s="881"/>
      <c r="J224" s="881"/>
      <c r="K224" s="881"/>
      <c r="L224" s="881"/>
      <c r="M224" s="881"/>
      <c r="N224" s="881"/>
      <c r="O224" s="881"/>
      <c r="P224" s="881"/>
      <c r="Q224" s="881"/>
      <c r="R224" s="881"/>
      <c r="S224" s="881"/>
      <c r="T224" s="881"/>
      <c r="U224" s="881"/>
      <c r="V224" s="881"/>
      <c r="W224" s="881"/>
      <c r="X224" s="881"/>
      <c r="Y224" s="881"/>
      <c r="Z224" s="881"/>
      <c r="AA224" s="881"/>
      <c r="AB224" s="881"/>
      <c r="AC224" s="881"/>
      <c r="AD224" s="881"/>
      <c r="AE224" s="881"/>
      <c r="AF224" s="881"/>
      <c r="AG224" s="881"/>
      <c r="AH224" s="881"/>
      <c r="AI224" s="881"/>
      <c r="AJ224" s="881"/>
      <c r="AK224" s="881"/>
      <c r="AL224" s="881"/>
      <c r="AM224" s="881"/>
      <c r="AN224" s="881"/>
      <c r="AO224" s="881"/>
      <c r="AP224" s="881"/>
      <c r="AQ224" s="881"/>
      <c r="AR224" s="881"/>
      <c r="AS224" s="881"/>
      <c r="AT224" s="881"/>
      <c r="AU224" s="881"/>
      <c r="AV224" s="881"/>
      <c r="AW224" s="881"/>
      <c r="AX224" s="881"/>
      <c r="AY224" s="881"/>
      <c r="AZ224" s="881"/>
      <c r="BA224" s="881"/>
      <c r="BB224" s="881"/>
      <c r="BC224" s="881"/>
      <c r="BD224" s="881"/>
      <c r="BE224" s="881"/>
      <c r="BF224" s="881"/>
      <c r="BG224" s="881"/>
      <c r="BH224" s="881"/>
      <c r="BI224" s="881"/>
      <c r="BJ224" s="881"/>
      <c r="BK224" s="881"/>
      <c r="BL224" s="881"/>
      <c r="BM224" s="881"/>
      <c r="BN224" s="881"/>
      <c r="BO224" s="881"/>
      <c r="BP224" s="881"/>
      <c r="BQ224" s="881"/>
      <c r="BR224" s="881"/>
      <c r="BS224" s="881"/>
      <c r="BT224" s="881"/>
      <c r="BU224" s="881"/>
      <c r="BV224" s="881"/>
      <c r="BW224" s="881"/>
      <c r="BX224" s="881"/>
      <c r="BY224" s="881"/>
      <c r="BZ224" s="881"/>
      <c r="CA224" s="881"/>
      <c r="CB224" s="881"/>
      <c r="CC224" s="881"/>
      <c r="CD224" s="881"/>
      <c r="CE224" s="881"/>
      <c r="CF224" s="881"/>
      <c r="CG224" s="881"/>
      <c r="CH224" s="881"/>
      <c r="CI224" s="881"/>
      <c r="CJ224" s="881"/>
      <c r="CK224" s="881"/>
      <c r="CL224" s="881"/>
      <c r="CM224" s="881"/>
      <c r="CN224" s="881"/>
      <c r="CO224" s="881"/>
      <c r="CP224" s="881"/>
      <c r="CQ224" s="881"/>
      <c r="CR224" s="881"/>
      <c r="CS224" s="881"/>
      <c r="CT224" s="881"/>
      <c r="CU224" s="881"/>
      <c r="CV224" s="881"/>
      <c r="CW224" s="881"/>
      <c r="CX224" s="881"/>
      <c r="CY224" s="881"/>
      <c r="CZ224" s="881"/>
      <c r="DA224" s="881"/>
      <c r="DB224" s="881"/>
      <c r="DC224" s="881"/>
      <c r="DD224" s="881"/>
      <c r="DE224" s="881"/>
      <c r="DF224" s="881"/>
      <c r="DG224" s="881"/>
      <c r="DH224" s="881"/>
      <c r="DI224" s="881"/>
      <c r="DJ224" s="881"/>
      <c r="DK224" s="881"/>
      <c r="DL224" s="881"/>
      <c r="DM224" s="881"/>
      <c r="DN224" s="881"/>
      <c r="DO224" s="881"/>
      <c r="DP224" s="881"/>
      <c r="DQ224" s="881"/>
      <c r="DR224" s="881"/>
      <c r="DS224" s="881"/>
      <c r="DT224" s="881"/>
      <c r="DU224" s="881"/>
      <c r="DV224" s="881"/>
      <c r="DW224" s="881"/>
      <c r="DX224" s="881"/>
      <c r="DY224" s="881"/>
      <c r="DZ224" s="881"/>
      <c r="EA224" s="881"/>
      <c r="EB224" s="881"/>
      <c r="EC224" s="881"/>
      <c r="ED224" s="881"/>
      <c r="EE224" s="881"/>
      <c r="EF224" s="881"/>
      <c r="EG224" s="881"/>
      <c r="EH224" s="881"/>
      <c r="EI224" s="881"/>
      <c r="EJ224" s="881"/>
      <c r="EK224" s="881"/>
      <c r="EL224" s="881"/>
      <c r="EM224" s="881"/>
      <c r="EN224" s="881"/>
      <c r="EO224" s="881"/>
      <c r="EP224" s="881"/>
      <c r="EQ224" s="881"/>
      <c r="ER224" s="881"/>
      <c r="ES224" s="881"/>
      <c r="ET224" s="881"/>
      <c r="EU224" s="881"/>
      <c r="EV224" s="881"/>
      <c r="EW224" s="881"/>
      <c r="EX224" s="881"/>
      <c r="EY224" s="881"/>
      <c r="EZ224" s="881"/>
      <c r="FA224" s="881"/>
      <c r="FB224" s="881"/>
      <c r="FC224" s="881"/>
      <c r="FD224" s="881"/>
      <c r="FE224" s="881"/>
      <c r="FF224" s="881"/>
      <c r="FG224" s="881"/>
      <c r="FH224" s="881"/>
      <c r="FI224" s="881"/>
      <c r="FJ224" s="881"/>
      <c r="FK224" s="881"/>
      <c r="FL224" s="881"/>
      <c r="FM224" s="881"/>
      <c r="FN224" s="881"/>
      <c r="FO224" s="881"/>
      <c r="FP224" s="881"/>
      <c r="FQ224" s="881"/>
      <c r="FR224" s="881"/>
      <c r="FS224" s="881"/>
      <c r="FT224" s="881"/>
      <c r="FU224" s="881"/>
      <c r="FV224" s="881"/>
      <c r="FW224" s="881"/>
      <c r="FX224" s="881"/>
      <c r="FY224" s="881"/>
      <c r="FZ224" s="881"/>
      <c r="GA224" s="881"/>
      <c r="GB224" s="881"/>
      <c r="GC224" s="881"/>
      <c r="GD224" s="881"/>
      <c r="GE224" s="881"/>
      <c r="GF224" s="881"/>
      <c r="GG224" s="881"/>
      <c r="GH224" s="881"/>
      <c r="GI224" s="881"/>
      <c r="GJ224" s="881"/>
      <c r="GK224" s="881"/>
      <c r="GL224" s="881"/>
      <c r="GM224" s="881"/>
      <c r="GN224" s="881"/>
      <c r="GO224" s="881"/>
      <c r="GP224" s="881"/>
      <c r="GQ224" s="881"/>
      <c r="GR224" s="881"/>
      <c r="GS224" s="881"/>
      <c r="GT224" s="881"/>
      <c r="GU224" s="881"/>
      <c r="GV224" s="881"/>
      <c r="GW224" s="881"/>
      <c r="GX224" s="881"/>
      <c r="GY224" s="881"/>
      <c r="GZ224" s="881"/>
      <c r="HA224" s="881"/>
      <c r="HB224" s="881"/>
      <c r="HC224" s="881"/>
      <c r="HD224" s="881"/>
      <c r="HE224" s="881"/>
      <c r="HF224" s="881"/>
      <c r="HG224" s="881"/>
      <c r="HH224" s="881"/>
      <c r="HI224" s="881"/>
      <c r="HJ224" s="881"/>
      <c r="HK224" s="881"/>
      <c r="IE224" s="975"/>
      <c r="IF224" s="975"/>
      <c r="IG224" s="975"/>
      <c r="IH224" s="975"/>
    </row>
    <row r="225" spans="1:242" s="889" customFormat="1" ht="20.100000000000001" hidden="1" customHeight="1">
      <c r="A225" s="898" t="s">
        <v>650</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AO225" s="879"/>
      <c r="AP225" s="879"/>
      <c r="AQ225" s="879"/>
      <c r="AR225" s="879"/>
      <c r="AS225" s="879"/>
      <c r="AT225" s="879"/>
      <c r="AU225" s="879"/>
      <c r="AV225" s="879"/>
      <c r="AW225" s="879"/>
      <c r="AX225" s="879"/>
      <c r="AY225" s="879"/>
      <c r="AZ225" s="879"/>
      <c r="BA225" s="879"/>
      <c r="BB225" s="879"/>
      <c r="BC225" s="879"/>
      <c r="BD225" s="879"/>
      <c r="BE225" s="879"/>
      <c r="BF225" s="879"/>
      <c r="BG225" s="879"/>
      <c r="BH225" s="879"/>
      <c r="BI225" s="879"/>
      <c r="BJ225" s="879"/>
      <c r="BK225" s="879"/>
      <c r="BL225" s="879"/>
      <c r="BM225" s="879"/>
      <c r="BN225" s="879"/>
      <c r="BO225" s="879"/>
      <c r="BP225" s="879"/>
      <c r="BQ225" s="879"/>
      <c r="BR225" s="879"/>
      <c r="BS225" s="879"/>
      <c r="BT225" s="879"/>
      <c r="BU225" s="879"/>
      <c r="BV225" s="879"/>
      <c r="BW225" s="879"/>
      <c r="BX225" s="879"/>
      <c r="BY225" s="879"/>
      <c r="BZ225" s="879"/>
      <c r="CA225" s="879"/>
      <c r="CB225" s="879"/>
      <c r="CC225" s="879"/>
      <c r="CD225" s="879"/>
      <c r="CE225" s="879"/>
      <c r="CF225" s="879"/>
      <c r="CG225" s="879"/>
      <c r="CH225" s="879"/>
      <c r="CI225" s="879"/>
      <c r="CJ225" s="879"/>
      <c r="CK225" s="879"/>
      <c r="CL225" s="879"/>
      <c r="CM225" s="879"/>
      <c r="CN225" s="879"/>
      <c r="CO225" s="879"/>
      <c r="CP225" s="879"/>
      <c r="CQ225" s="879"/>
      <c r="CR225" s="879"/>
      <c r="CS225" s="879"/>
      <c r="CT225" s="879"/>
      <c r="CU225" s="879"/>
      <c r="CV225" s="879"/>
      <c r="CW225" s="879"/>
      <c r="CX225" s="879"/>
      <c r="CY225" s="879"/>
      <c r="CZ225" s="879"/>
      <c r="DA225" s="879"/>
      <c r="DB225" s="879"/>
      <c r="DC225" s="879"/>
      <c r="DD225" s="879"/>
      <c r="DE225" s="879"/>
      <c r="DF225" s="879"/>
      <c r="DG225" s="879"/>
      <c r="DH225" s="879"/>
      <c r="DI225" s="879"/>
      <c r="DJ225" s="879"/>
      <c r="DK225" s="879"/>
      <c r="DL225" s="879"/>
      <c r="DM225" s="879"/>
      <c r="DN225" s="879"/>
      <c r="DO225" s="879"/>
      <c r="DP225" s="879"/>
      <c r="DQ225" s="879"/>
      <c r="DR225" s="879"/>
      <c r="DS225" s="879"/>
      <c r="DT225" s="879"/>
      <c r="DU225" s="879"/>
      <c r="DV225" s="879"/>
      <c r="DW225" s="879"/>
      <c r="DX225" s="879"/>
      <c r="DY225" s="879"/>
      <c r="DZ225" s="879"/>
      <c r="EA225" s="879"/>
      <c r="EB225" s="879"/>
      <c r="EC225" s="879"/>
      <c r="ED225" s="879"/>
      <c r="EE225" s="879"/>
      <c r="EF225" s="879"/>
      <c r="EG225" s="879"/>
      <c r="EH225" s="879"/>
      <c r="EI225" s="879"/>
      <c r="EJ225" s="879"/>
      <c r="EK225" s="879"/>
      <c r="EL225" s="879"/>
      <c r="EM225" s="879"/>
      <c r="EN225" s="879"/>
      <c r="EO225" s="879"/>
      <c r="EP225" s="879"/>
      <c r="EQ225" s="879"/>
      <c r="ER225" s="879"/>
      <c r="ES225" s="879"/>
      <c r="ET225" s="879"/>
      <c r="EU225" s="879"/>
      <c r="EV225" s="879"/>
      <c r="EW225" s="879"/>
      <c r="EX225" s="879"/>
      <c r="EY225" s="879"/>
      <c r="EZ225" s="879"/>
      <c r="FA225" s="879"/>
      <c r="FB225" s="879"/>
      <c r="FC225" s="879"/>
      <c r="FD225" s="879"/>
      <c r="FE225" s="879"/>
      <c r="FF225" s="879"/>
      <c r="FG225" s="879"/>
      <c r="FH225" s="879"/>
      <c r="FI225" s="879"/>
      <c r="FJ225" s="879"/>
      <c r="FK225" s="879"/>
      <c r="FL225" s="879"/>
      <c r="FM225" s="879"/>
      <c r="FN225" s="879"/>
      <c r="FO225" s="879"/>
      <c r="FP225" s="879"/>
      <c r="FQ225" s="879"/>
      <c r="FR225" s="879"/>
      <c r="FS225" s="879"/>
      <c r="FT225" s="879"/>
      <c r="FU225" s="879"/>
      <c r="FV225" s="879"/>
      <c r="FW225" s="879"/>
      <c r="FX225" s="879"/>
      <c r="FY225" s="879"/>
      <c r="FZ225" s="879"/>
      <c r="GA225" s="879"/>
      <c r="GB225" s="879"/>
      <c r="GC225" s="879"/>
      <c r="GD225" s="879"/>
      <c r="GE225" s="879"/>
      <c r="GF225" s="879"/>
      <c r="GG225" s="879"/>
      <c r="GH225" s="879"/>
      <c r="GI225" s="879"/>
      <c r="GJ225" s="879"/>
      <c r="GK225" s="879"/>
      <c r="GL225" s="879"/>
      <c r="GM225" s="879"/>
      <c r="GN225" s="879"/>
      <c r="GO225" s="879"/>
      <c r="GP225" s="879"/>
      <c r="GQ225" s="879"/>
      <c r="GR225" s="879"/>
      <c r="GS225" s="879"/>
      <c r="GT225" s="879"/>
      <c r="GU225" s="879"/>
      <c r="GV225" s="879"/>
      <c r="GW225" s="879"/>
      <c r="GX225" s="879"/>
      <c r="GY225" s="879"/>
      <c r="GZ225" s="879"/>
      <c r="HA225" s="879"/>
      <c r="HB225" s="879"/>
      <c r="HC225" s="879"/>
      <c r="HD225" s="879"/>
      <c r="HE225" s="879"/>
      <c r="HF225" s="879"/>
      <c r="HG225" s="879"/>
      <c r="HH225" s="879"/>
      <c r="HI225" s="879"/>
      <c r="HJ225" s="879"/>
      <c r="HK225" s="879"/>
      <c r="IE225" s="927"/>
      <c r="IF225" s="927"/>
      <c r="IG225" s="927"/>
      <c r="IH225" s="927"/>
    </row>
    <row r="226" spans="1:242" s="889" customFormat="1" ht="19.8" hidden="1">
      <c r="A226" s="976">
        <v>0</v>
      </c>
      <c r="B226" s="977" t="s">
        <v>651</v>
      </c>
      <c r="E226" s="881"/>
      <c r="F226" s="1368" t="s">
        <v>596</v>
      </c>
      <c r="G226" s="1369" t="s">
        <v>597</v>
      </c>
      <c r="H226" s="1369"/>
      <c r="I226" s="978" t="s">
        <v>598</v>
      </c>
      <c r="J226" s="979"/>
      <c r="K226" s="980" t="str">
        <f ca="1">OFFSET(貼付け_2025実績,4,SUM(COLUMN()-COLUMN(貼付け_2025実績)))</f>
        <v>横浜1</v>
      </c>
      <c r="L226" s="981"/>
      <c r="M226" s="981"/>
      <c r="N226" s="982"/>
      <c r="O226" s="980" t="str">
        <f ca="1">OFFSET(貼付け_2025実績,4,SUM(COLUMN()-COLUMN(貼付け_2025実績)))</f>
        <v>横浜2</v>
      </c>
      <c r="P226" s="981"/>
      <c r="Q226" s="981"/>
      <c r="R226" s="982"/>
      <c r="S226" s="980" t="str">
        <f ca="1">OFFSET(貼付け_2025実績,4,SUM(COLUMN()-COLUMN(貼付け_2025実績)))</f>
        <v>横浜3</v>
      </c>
      <c r="T226" s="981"/>
      <c r="U226" s="981"/>
      <c r="V226" s="982"/>
      <c r="W226" s="980" t="str">
        <f ca="1">OFFSET(貼付け_2025実績,4,SUM(COLUMN()-COLUMN(貼付け_2025実績)))</f>
        <v>県域1</v>
      </c>
      <c r="X226" s="981"/>
      <c r="Y226" s="981"/>
      <c r="Z226" s="982"/>
      <c r="AA226" s="980" t="str">
        <f ca="1">OFFSET(貼付け_2025実績,4,SUM(COLUMN()-COLUMN(貼付け_2025実績)))</f>
        <v>県域2</v>
      </c>
      <c r="AB226" s="981"/>
      <c r="AC226" s="981"/>
      <c r="AD226" s="982"/>
      <c r="AE226" s="980" t="str">
        <f ca="1">OFFSET(貼付け_2025実績,4,SUM(COLUMN()-COLUMN(貼付け_2025実績)))</f>
        <v>県域3</v>
      </c>
      <c r="AF226" s="981"/>
      <c r="AG226" s="981"/>
      <c r="AH226" s="982"/>
      <c r="AI226" s="980" t="str">
        <f ca="1">OFFSET(貼付け_2025実績,4,SUM(COLUMN()-COLUMN(貼付け_2025実績)))</f>
        <v>エネルギー管理指定工場等1</v>
      </c>
      <c r="AJ226" s="981"/>
      <c r="AK226" s="981"/>
      <c r="AL226" s="982"/>
      <c r="AM226" s="980" t="str">
        <f ca="1">OFFSET(貼付け_2025実績,4,SUM(COLUMN()-COLUMN(貼付け_2025実績)))</f>
        <v>エネルギー管理指定工場等2</v>
      </c>
      <c r="AN226" s="981"/>
      <c r="AO226" s="981"/>
      <c r="AP226" s="982"/>
      <c r="AQ226" s="980" t="str">
        <f ca="1">OFFSET(貼付け_2025実績,4,SUM(COLUMN()-COLUMN(貼付け_2025実績)))</f>
        <v>エネルギー管理指定工場等3</v>
      </c>
      <c r="AR226" s="981"/>
      <c r="AS226" s="981"/>
      <c r="AT226" s="982"/>
      <c r="AU226" s="980" t="str">
        <f ca="1">OFFSET(貼付け_2025実績,4,SUM(COLUMN()-COLUMN(貼付け_2025実績)))</f>
        <v>エネルギー管理指定工場等4</v>
      </c>
      <c r="AV226" s="981"/>
      <c r="AW226" s="981"/>
      <c r="AX226" s="982"/>
      <c r="AY226" s="980" t="str">
        <f ca="1">OFFSET(貼付け_2025実績,4,SUM(COLUMN()-COLUMN(貼付け_2025実績)))</f>
        <v>エネルギー管理指定工場等5</v>
      </c>
      <c r="AZ226" s="981"/>
      <c r="BA226" s="981"/>
      <c r="BB226" s="982"/>
      <c r="BC226" s="980" t="str">
        <f ca="1">OFFSET(貼付け_2025実績,4,SUM(COLUMN()-COLUMN(貼付け_2025実績)))</f>
        <v>エネルギー管理指定工場等6</v>
      </c>
      <c r="BD226" s="981"/>
      <c r="BE226" s="981"/>
      <c r="BF226" s="982"/>
      <c r="BG226" s="980" t="str">
        <f ca="1">OFFSET(貼付け_2025実績,4,SUM(COLUMN()-COLUMN(貼付け_2025実績)))</f>
        <v>エネルギー管理指定工場等7</v>
      </c>
      <c r="BH226" s="981"/>
      <c r="BI226" s="981"/>
      <c r="BJ226" s="982"/>
      <c r="BK226" s="980" t="str">
        <f ca="1">OFFSET(貼付け_2025実績,4,SUM(COLUMN()-COLUMN(貼付け_2025実績)))</f>
        <v>エネルギー管理指定工場等8</v>
      </c>
      <c r="BL226" s="981"/>
      <c r="BM226" s="981"/>
      <c r="BN226" s="982"/>
      <c r="BO226" s="980" t="str">
        <f ca="1">OFFSET(貼付け_2025実績,4,SUM(COLUMN()-COLUMN(貼付け_2025実績)))</f>
        <v>エネルギー管理指定工場等9</v>
      </c>
      <c r="BP226" s="981"/>
      <c r="BQ226" s="981"/>
      <c r="BR226" s="982"/>
      <c r="BS226" s="980" t="str">
        <f ca="1">OFFSET(貼付け_2025実績,4,SUM(COLUMN()-COLUMN(貼付け_2025実績)))</f>
        <v>エネルギー管理指定工場等10</v>
      </c>
      <c r="BT226" s="981"/>
      <c r="BU226" s="981"/>
      <c r="BV226" s="982"/>
      <c r="BW226" s="980">
        <f ca="1">OFFSET(貼付け_2025実績,4,SUM(COLUMN()-COLUMN(貼付け_2025実績)))</f>
        <v>0</v>
      </c>
      <c r="BX226" s="981"/>
      <c r="BY226" s="981"/>
      <c r="BZ226" s="982"/>
      <c r="CA226" s="980" t="str">
        <f ca="1">OFFSET(貼付け_2025実績,4,SUM(COLUMN()-COLUMN(貼付け_2025実績)))</f>
        <v>県域4</v>
      </c>
      <c r="CB226" s="981"/>
      <c r="CC226" s="981"/>
      <c r="CD226" s="982"/>
      <c r="CE226" s="980" t="str">
        <f ca="1">OFFSET(貼付け_2025実績,4,SUM(COLUMN()-COLUMN(貼付け_2025実績)))</f>
        <v>県域5</v>
      </c>
      <c r="CF226" s="981"/>
      <c r="CG226" s="981"/>
      <c r="CH226" s="982"/>
      <c r="CI226" s="980" t="str">
        <f ca="1">OFFSET(貼付け_2025実績,4,SUM(COLUMN()-COLUMN(貼付け_2025実績)))</f>
        <v>県域6</v>
      </c>
      <c r="CJ226" s="981"/>
      <c r="CK226" s="981"/>
      <c r="CL226" s="982"/>
      <c r="CM226" s="980" t="str">
        <f ca="1">OFFSET(貼付け_2025実績,4,SUM(COLUMN()-COLUMN(貼付け_2025実績)))</f>
        <v>県域7</v>
      </c>
      <c r="CN226" s="981"/>
      <c r="CO226" s="981"/>
      <c r="CP226" s="982"/>
      <c r="CQ226" s="980" t="str">
        <f ca="1">OFFSET(貼付け_2025実績,4,SUM(COLUMN()-COLUMN(貼付け_2025実績)))</f>
        <v>県域8</v>
      </c>
      <c r="CR226" s="981"/>
      <c r="CS226" s="981"/>
      <c r="CT226" s="982"/>
      <c r="CU226" s="980" t="str">
        <f ca="1">OFFSET(貼付け_2025実績,4,SUM(COLUMN()-COLUMN(貼付け_2025実績)))</f>
        <v>県域9</v>
      </c>
      <c r="CV226" s="981"/>
      <c r="CW226" s="981"/>
      <c r="CX226" s="982"/>
      <c r="CY226" s="980" t="str">
        <f ca="1">OFFSET(貼付け_2025実績,4,SUM(COLUMN()-COLUMN(貼付け_2025実績)))</f>
        <v>県域10</v>
      </c>
      <c r="CZ226" s="981"/>
      <c r="DA226" s="981"/>
      <c r="DB226" s="982"/>
      <c r="DC226" s="980" t="str">
        <f ca="1">OFFSET(貼付け_2025実績,4,SUM(COLUMN()-COLUMN(貼付け_2025実績)))</f>
        <v>横浜3</v>
      </c>
      <c r="DD226" s="981"/>
      <c r="DE226" s="981"/>
      <c r="DF226" s="982"/>
      <c r="DG226" s="980" t="str">
        <f ca="1">OFFSET(貼付け_2025実績,4,SUM(COLUMN()-COLUMN(貼付け_2025実績)))</f>
        <v>横浜4</v>
      </c>
      <c r="DH226" s="981"/>
      <c r="DI226" s="981"/>
      <c r="DJ226" s="982"/>
      <c r="DK226" s="980" t="str">
        <f ca="1">OFFSET(貼付け_2025実績,4,SUM(COLUMN()-COLUMN(貼付け_2025実績)))</f>
        <v>横浜5</v>
      </c>
      <c r="DL226" s="981"/>
      <c r="DM226" s="981"/>
      <c r="DN226" s="982"/>
      <c r="DO226" s="980" t="str">
        <f ca="1">OFFSET(貼付け_2025実績,4,SUM(COLUMN()-COLUMN(貼付け_2025実績)))</f>
        <v>横浜6</v>
      </c>
      <c r="DP226" s="981"/>
      <c r="DQ226" s="981"/>
      <c r="DR226" s="982"/>
      <c r="DS226" s="980" t="str">
        <f ca="1">OFFSET(貼付け_2025実績,4,SUM(COLUMN()-COLUMN(貼付け_2025実績)))</f>
        <v>横浜7</v>
      </c>
      <c r="DT226" s="981"/>
      <c r="DU226" s="981"/>
      <c r="DV226" s="982"/>
      <c r="DW226" s="980" t="str">
        <f ca="1">OFFSET(貼付け_2025実績,4,SUM(COLUMN()-COLUMN(貼付け_2025実績)))</f>
        <v>横浜8</v>
      </c>
      <c r="DX226" s="981"/>
      <c r="DY226" s="981"/>
      <c r="DZ226" s="982"/>
      <c r="EA226" s="980" t="str">
        <f ca="1">OFFSET(貼付け_2025実績,4,SUM(COLUMN()-COLUMN(貼付け_2025実績)))</f>
        <v>横浜9</v>
      </c>
      <c r="EB226" s="981"/>
      <c r="EC226" s="981"/>
      <c r="ED226" s="982"/>
      <c r="EE226" s="980" t="str">
        <f ca="1">OFFSET(貼付け_2025実績,4,SUM(COLUMN()-COLUMN(貼付け_2025実績)))</f>
        <v>横浜10</v>
      </c>
      <c r="EF226" s="981"/>
      <c r="EG226" s="981"/>
      <c r="EH226" s="982"/>
      <c r="EI226" s="980" t="str">
        <f ca="1">OFFSET(貼付け_2025実績,4,SUM(COLUMN()-COLUMN(貼付け_2025実績)))</f>
        <v>川崎1</v>
      </c>
      <c r="EJ226" s="981"/>
      <c r="EK226" s="981"/>
      <c r="EL226" s="982"/>
      <c r="EM226" s="980" t="str">
        <f ca="1">OFFSET(貼付け_2025実績,4,SUM(COLUMN()-COLUMN(貼付け_2025実績)))</f>
        <v>川崎2</v>
      </c>
      <c r="EN226" s="981"/>
      <c r="EO226" s="981"/>
      <c r="EP226" s="982"/>
      <c r="EQ226" s="980" t="str">
        <f ca="1">OFFSET(貼付け_2025実績,4,SUM(COLUMN()-COLUMN(貼付け_2025実績)))</f>
        <v>川崎3</v>
      </c>
      <c r="ER226" s="981"/>
      <c r="ES226" s="981"/>
      <c r="ET226" s="982"/>
      <c r="EU226" s="980" t="str">
        <f ca="1">OFFSET(貼付け_2025実績,4,SUM(COLUMN()-COLUMN(貼付け_2025実績)))</f>
        <v>川崎6</v>
      </c>
      <c r="EV226" s="981"/>
      <c r="EW226" s="981"/>
      <c r="EX226" s="982"/>
      <c r="EY226" s="980" t="str">
        <f ca="1">OFFSET(貼付け_2025実績,4,SUM(COLUMN()-COLUMN(貼付け_2025実績)))</f>
        <v>川崎7</v>
      </c>
      <c r="EZ226" s="981"/>
      <c r="FA226" s="981"/>
      <c r="FB226" s="982"/>
      <c r="FC226" s="980" t="str">
        <f ca="1">OFFSET(貼付け_2025実績,4,SUM(COLUMN()-COLUMN(貼付け_2025実績)))</f>
        <v>川崎8</v>
      </c>
      <c r="FD226" s="981"/>
      <c r="FE226" s="981"/>
      <c r="FF226" s="982"/>
      <c r="FG226" s="980" t="str">
        <f ca="1">OFFSET(貼付け_2025実績,4,SUM(COLUMN()-COLUMN(貼付け_2025実績)))</f>
        <v>川崎9</v>
      </c>
      <c r="FH226" s="981"/>
      <c r="FI226" s="981"/>
      <c r="FJ226" s="982"/>
      <c r="FK226" s="980" t="str">
        <f ca="1">OFFSET(貼付け_2025実績,4,SUM(COLUMN()-COLUMN(貼付け_2025実績)))</f>
        <v>川崎10</v>
      </c>
      <c r="FL226" s="981"/>
      <c r="FM226" s="981"/>
      <c r="FN226" s="982"/>
      <c r="FO226" s="980" t="str">
        <f ca="1">OFFSET(貼付け_2025実績,4,SUM(COLUMN()-COLUMN(貼付け_2025実績)))</f>
        <v>川崎11</v>
      </c>
      <c r="FP226" s="981"/>
      <c r="FQ226" s="981"/>
      <c r="FR226" s="982"/>
      <c r="FS226" s="980" t="str">
        <f ca="1">OFFSET(貼付け_2025実績,4,SUM(COLUMN()-COLUMN(貼付け_2025実績)))</f>
        <v>川崎12</v>
      </c>
      <c r="FT226" s="981"/>
      <c r="FU226" s="981"/>
      <c r="FV226" s="982"/>
      <c r="FW226" s="980" t="str">
        <f ca="1">OFFSET(貼付け_2025実績,4,SUM(COLUMN()-COLUMN(貼付け_2025実績)))</f>
        <v>川崎13</v>
      </c>
      <c r="FX226" s="981"/>
      <c r="FY226" s="981"/>
      <c r="FZ226" s="982"/>
      <c r="GA226" s="980" t="str">
        <f ca="1">OFFSET(貼付け_2025実績,4,SUM(COLUMN()-COLUMN(貼付け_2025実績)))</f>
        <v>川崎14</v>
      </c>
      <c r="GB226" s="981"/>
      <c r="GC226" s="981"/>
      <c r="GD226" s="982"/>
      <c r="GE226" s="980" t="str">
        <f ca="1">OFFSET(貼付け_2025実績,4,SUM(COLUMN()-COLUMN(貼付け_2025実績)))</f>
        <v>川崎15</v>
      </c>
      <c r="GF226" s="981"/>
      <c r="GG226" s="981"/>
      <c r="GH226" s="982"/>
      <c r="GI226" s="980" t="str">
        <f ca="1">OFFSET(貼付け_2025実績,4,SUM(COLUMN()-COLUMN(貼付け_2025実績)))</f>
        <v>川崎16</v>
      </c>
      <c r="GJ226" s="981"/>
      <c r="GK226" s="981"/>
      <c r="GL226" s="982"/>
      <c r="GM226" s="980" t="str">
        <f ca="1">OFFSET(貼付け_2025実績,4,SUM(COLUMN()-COLUMN(貼付け_2025実績)))</f>
        <v>川崎17</v>
      </c>
      <c r="GN226" s="981"/>
      <c r="GO226" s="981"/>
      <c r="GP226" s="982"/>
      <c r="GQ226" s="980" t="str">
        <f ca="1">OFFSET(貼付け_2025実績,4,SUM(COLUMN()-COLUMN(貼付け_2025実績)))</f>
        <v>川崎18</v>
      </c>
      <c r="GR226" s="981"/>
      <c r="GS226" s="981"/>
      <c r="GT226" s="982"/>
      <c r="GU226" s="980" t="str">
        <f ca="1">OFFSET(貼付け_2025実績,4,SUM(COLUMN()-COLUMN(貼付け_2025実績)))</f>
        <v>川崎19</v>
      </c>
      <c r="GV226" s="981"/>
      <c r="GW226" s="981"/>
      <c r="GX226" s="982"/>
      <c r="GY226" s="980" t="str">
        <f ca="1">OFFSET(貼付け_2025実績,4,SUM(COLUMN()-COLUMN(貼付け_2025実績)))</f>
        <v>川崎20</v>
      </c>
      <c r="GZ226" s="981"/>
      <c r="HA226" s="981"/>
      <c r="HB226" s="982"/>
      <c r="IE226" s="927"/>
      <c r="IF226" s="927"/>
      <c r="IG226" s="927"/>
      <c r="IH226" s="927"/>
    </row>
    <row r="227" spans="1:242" s="889" customFormat="1" ht="19.8" hidden="1">
      <c r="A227" s="976">
        <v>1</v>
      </c>
      <c r="C227" s="881"/>
      <c r="D227" s="881"/>
      <c r="E227" s="881"/>
      <c r="F227" s="1368"/>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SUMPRODUCT(OFFSET(貼付け_2025実績,$F228,6,5,1),OFFSET(貼付け_2025実績,$F228,SUM(COLUMN()-COLUMN(貼付け_2025実績)),5,1))</f>
        <v>0</v>
      </c>
      <c r="J228" s="989">
        <f ca="1">SUMPRODUCT(OFFSET(貼付け_2025実績,$F228,6,5,1),OFFSET(貼付け_2025実績,$F228,SUM(COLUMN()-COLUMN(貼付け_2025実績)),5,1))</f>
        <v>0</v>
      </c>
      <c r="K228" s="989">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SUMPRODUCT(OFFSET(貼付け_2025実績,$G230,5,($H230-$G230+1),1),OFFSET(貼付け_2025実績,$G230,SUM(COLUMN()-COLUMN(貼付け_2025実績)),($H230-$G230+1),1))*0.0258</f>
        <v>0</v>
      </c>
      <c r="L230" s="990"/>
      <c r="M230" s="990"/>
      <c r="N230" s="990"/>
      <c r="O230" s="989">
        <f ca="1">SUMPRODUCT(OFFSET(貼付け_2025実績,$G230,5,($H230-$G230+1),1),OFFSET(貼付け_2025実績,$G230,SUM(COLUMN()-COLUMN(貼付け_2025実績)),($H230-$G230+1),1))*0.0258</f>
        <v>0</v>
      </c>
      <c r="P230" s="990"/>
      <c r="Q230" s="990"/>
      <c r="R230" s="990"/>
      <c r="S230" s="989">
        <f ca="1">SUMPRODUCT(OFFSET(貼付け_2025実績,$G230,5,($H230-$G230+1),1),OFFSET(貼付け_2025実績,$G230,SUM(COLUMN()-COLUMN(貼付け_2025実績)),($H230-$G230+1),1))*0.0258</f>
        <v>0</v>
      </c>
      <c r="T230" s="990"/>
      <c r="U230" s="990"/>
      <c r="V230" s="990"/>
      <c r="W230" s="989">
        <f ca="1">SUMPRODUCT(OFFSET(貼付け_2025実績,$G230,5,($H230-$G230+1),1),OFFSET(貼付け_2025実績,$G230,SUM(COLUMN()-COLUMN(貼付け_2025実績)),($H230-$G230+1),1))*0.0258</f>
        <v>0</v>
      </c>
      <c r="X230" s="990"/>
      <c r="Y230" s="990"/>
      <c r="Z230" s="990"/>
      <c r="AA230" s="989">
        <f ca="1">SUMPRODUCT(OFFSET(貼付け_2025実績,$G230,5,($H230-$G230+1),1),OFFSET(貼付け_2025実績,$G230,SUM(COLUMN()-COLUMN(貼付け_2025実績)),($H230-$G230+1),1))*0.0258</f>
        <v>0</v>
      </c>
      <c r="AB230" s="990"/>
      <c r="AC230" s="990"/>
      <c r="AD230" s="990"/>
      <c r="AE230" s="989">
        <f ca="1">SUMPRODUCT(OFFSET(貼付け_2025実績,$G230,5,($H230-$G230+1),1),OFFSET(貼付け_2025実績,$G230,SUM(COLUMN()-COLUMN(貼付け_2025実績)),($H230-$G230+1),1))*0.0258</f>
        <v>0</v>
      </c>
      <c r="AF230" s="990"/>
      <c r="AG230" s="990"/>
      <c r="AH230" s="990"/>
      <c r="AI230" s="989">
        <f ca="1">SUMPRODUCT(OFFSET(貼付け_2025実績,$G230,5,($H230-$G230+1),1),OFFSET(貼付け_2025実績,$G230,SUM(COLUMN()-COLUMN(貼付け_2025実績)),($H230-$G230+1),1))*0.0258</f>
        <v>0</v>
      </c>
      <c r="AJ230" s="990"/>
      <c r="AK230" s="990"/>
      <c r="AL230" s="990"/>
      <c r="AM230" s="989">
        <f ca="1">SUMPRODUCT(OFFSET(貼付け_2025実績,$G230,5,($H230-$G230+1),1),OFFSET(貼付け_2025実績,$G230,SUM(COLUMN()-COLUMN(貼付け_2025実績)),($H230-$G230+1),1))*0.0258</f>
        <v>0</v>
      </c>
      <c r="AN230" s="990"/>
      <c r="AO230" s="990"/>
      <c r="AP230" s="990"/>
      <c r="AQ230" s="989">
        <f ca="1">SUMPRODUCT(OFFSET(貼付け_2025実績,$G230,5,($H230-$G230+1),1),OFFSET(貼付け_2025実績,$G230,SUM(COLUMN()-COLUMN(貼付け_2025実績)),($H230-$G230+1),1))*0.0258</f>
        <v>0</v>
      </c>
      <c r="AR230" s="990"/>
      <c r="AS230" s="990"/>
      <c r="AT230" s="990"/>
      <c r="AU230" s="989">
        <f ca="1">SUMPRODUCT(OFFSET(貼付け_2025実績,$G230,5,($H230-$G230+1),1),OFFSET(貼付け_2025実績,$G230,SUM(COLUMN()-COLUMN(貼付け_2025実績)),($H230-$G230+1),1))*0.0258</f>
        <v>0</v>
      </c>
      <c r="AV230" s="990"/>
      <c r="AW230" s="990"/>
      <c r="AX230" s="990"/>
      <c r="AY230" s="989">
        <f ca="1">SUMPRODUCT(OFFSET(貼付け_2025実績,$G230,5,($H230-$G230+1),1),OFFSET(貼付け_2025実績,$G230,SUM(COLUMN()-COLUMN(貼付け_2025実績)),($H230-$G230+1),1))*0.0258</f>
        <v>0</v>
      </c>
      <c r="AZ230" s="990"/>
      <c r="BA230" s="990"/>
      <c r="BB230" s="990"/>
      <c r="BC230" s="989">
        <f ca="1">SUMPRODUCT(OFFSET(貼付け_2025実績,$G230,5,($H230-$G230+1),1),OFFSET(貼付け_2025実績,$G230,SUM(COLUMN()-COLUMN(貼付け_2025実績)),($H230-$G230+1),1))*0.0258</f>
        <v>0</v>
      </c>
      <c r="BD230" s="990"/>
      <c r="BE230" s="990"/>
      <c r="BF230" s="990"/>
      <c r="BG230" s="989">
        <f ca="1">SUMPRODUCT(OFFSET(貼付け_2025実績,$G230,5,($H230-$G230+1),1),OFFSET(貼付け_2025実績,$G230,SUM(COLUMN()-COLUMN(貼付け_2025実績)),($H230-$G230+1),1))*0.0258</f>
        <v>0</v>
      </c>
      <c r="BH230" s="990"/>
      <c r="BI230" s="990"/>
      <c r="BJ230" s="990"/>
      <c r="BK230" s="989">
        <f ca="1">SUMPRODUCT(OFFSET(貼付け_2025実績,$G230,5,($H230-$G230+1),1),OFFSET(貼付け_2025実績,$G230,SUM(COLUMN()-COLUMN(貼付け_2025実績)),($H230-$G230+1),1))*0.0258</f>
        <v>0</v>
      </c>
      <c r="BL230" s="990"/>
      <c r="BM230" s="990"/>
      <c r="BN230" s="990"/>
      <c r="BO230" s="989">
        <f ca="1">SUMPRODUCT(OFFSET(貼付け_2025実績,$G230,5,($H230-$G230+1),1),OFFSET(貼付け_2025実績,$G230,SUM(COLUMN()-COLUMN(貼付け_2025実績)),($H230-$G230+1),1))*0.0258</f>
        <v>0</v>
      </c>
      <c r="BP230" s="990"/>
      <c r="BQ230" s="990"/>
      <c r="BR230" s="990"/>
      <c r="BS230" s="989">
        <f ca="1">SUMPRODUCT(OFFSET(貼付け_2025実績,$G230,5,($H230-$G230+1),1),OFFSET(貼付け_2025実績,$G230,SUM(COLUMN()-COLUMN(貼付け_2025実績)),($H230-$G230+1),1))*0.0258</f>
        <v>0</v>
      </c>
      <c r="BT230" s="990"/>
      <c r="BU230" s="990"/>
      <c r="BV230" s="990"/>
      <c r="BW230" s="989">
        <f ca="1">SUMPRODUCT(OFFSET(貼付け_2025実績,$G230,5,($H230-$G230+1),1),OFFSET(貼付け_2025実績,$G230,SUM(COLUMN()-COLUMN(貼付け_2025実績)),($H230-$G230+1),1))*0.0258</f>
        <v>0</v>
      </c>
      <c r="BX230" s="990"/>
      <c r="BY230" s="990"/>
      <c r="BZ230" s="990"/>
      <c r="CA230" s="989">
        <f ca="1">SUMPRODUCT(OFFSET(貼付け_2025実績,$G230,5,($H230-$G230+1),1),OFFSET(貼付け_2025実績,$G230,SUM(COLUMN()-COLUMN(貼付け_2025実績)),($H230-$G230+1),1))*0.0258</f>
        <v>0</v>
      </c>
      <c r="CB230" s="990"/>
      <c r="CC230" s="990"/>
      <c r="CD230" s="990"/>
      <c r="CE230" s="989">
        <f ca="1">SUMPRODUCT(OFFSET(貼付け_2025実績,$G230,5,($H230-$G230+1),1),OFFSET(貼付け_2025実績,$G230,SUM(COLUMN()-COLUMN(貼付け_2025実績)),($H230-$G230+1),1))*0.0258</f>
        <v>0</v>
      </c>
      <c r="CF230" s="990"/>
      <c r="CG230" s="990"/>
      <c r="CH230" s="990"/>
      <c r="CI230" s="989">
        <f ca="1">SUMPRODUCT(OFFSET(貼付け_2025実績,$G230,5,($H230-$G230+1),1),OFFSET(貼付け_2025実績,$G230,SUM(COLUMN()-COLUMN(貼付け_2025実績)),($H230-$G230+1),1))*0.0258</f>
        <v>0</v>
      </c>
      <c r="CJ230" s="990"/>
      <c r="CK230" s="990"/>
      <c r="CL230" s="990"/>
      <c r="CM230" s="989">
        <f ca="1">SUMPRODUCT(OFFSET(貼付け_2025実績,$G230,5,($H230-$G230+1),1),OFFSET(貼付け_2025実績,$G230,SUM(COLUMN()-COLUMN(貼付け_2025実績)),($H230-$G230+1),1))*0.0258</f>
        <v>0</v>
      </c>
      <c r="CN230" s="990"/>
      <c r="CO230" s="990"/>
      <c r="CP230" s="990"/>
      <c r="CQ230" s="989">
        <f ca="1">SUMPRODUCT(OFFSET(貼付け_2025実績,$G230,5,($H230-$G230+1),1),OFFSET(貼付け_2025実績,$G230,SUM(COLUMN()-COLUMN(貼付け_2025実績)),($H230-$G230+1),1))*0.0258</f>
        <v>0</v>
      </c>
      <c r="CR230" s="990"/>
      <c r="CS230" s="990"/>
      <c r="CT230" s="990"/>
      <c r="CU230" s="989">
        <f ca="1">SUMPRODUCT(OFFSET(貼付け_2025実績,$G230,5,($H230-$G230+1),1),OFFSET(貼付け_2025実績,$G230,SUM(COLUMN()-COLUMN(貼付け_2025実績)),($H230-$G230+1),1))*0.0258</f>
        <v>0</v>
      </c>
      <c r="CV230" s="990"/>
      <c r="CW230" s="990"/>
      <c r="CX230" s="990"/>
      <c r="CY230" s="989">
        <f ca="1">SUMPRODUCT(OFFSET(貼付け_2025実績,$G230,5,($H230-$G230+1),1),OFFSET(貼付け_2025実績,$G230,SUM(COLUMN()-COLUMN(貼付け_2025実績)),($H230-$G230+1),1))*0.0258</f>
        <v>0</v>
      </c>
      <c r="CZ230" s="990"/>
      <c r="DA230" s="990"/>
      <c r="DB230" s="990"/>
      <c r="DC230" s="989">
        <f ca="1">SUMPRODUCT(OFFSET(貼付け_2025実績,$G230,5,($H230-$G230+1),1),OFFSET(貼付け_2025実績,$G230,SUM(COLUMN()-COLUMN(貼付け_2025実績)),($H230-$G230+1),1))*0.0258</f>
        <v>0</v>
      </c>
      <c r="DD230" s="990"/>
      <c r="DE230" s="990"/>
      <c r="DF230" s="990"/>
      <c r="DG230" s="989">
        <f ca="1">SUMPRODUCT(OFFSET(貼付け_2025実績,$G230,5,($H230-$G230+1),1),OFFSET(貼付け_2025実績,$G230,SUM(COLUMN()-COLUMN(貼付け_2025実績)),($H230-$G230+1),1))*0.0258</f>
        <v>0</v>
      </c>
      <c r="DH230" s="990"/>
      <c r="DI230" s="990"/>
      <c r="DJ230" s="990"/>
      <c r="DK230" s="989">
        <f ca="1">SUMPRODUCT(OFFSET(貼付け_2025実績,$G230,5,($H230-$G230+1),1),OFFSET(貼付け_2025実績,$G230,SUM(COLUMN()-COLUMN(貼付け_2025実績)),($H230-$G230+1),1))*0.0258</f>
        <v>0</v>
      </c>
      <c r="DL230" s="990"/>
      <c r="DM230" s="990"/>
      <c r="DN230" s="990"/>
      <c r="DO230" s="989">
        <f ca="1">SUMPRODUCT(OFFSET(貼付け_2025実績,$G230,5,($H230-$G230+1),1),OFFSET(貼付け_2025実績,$G230,SUM(COLUMN()-COLUMN(貼付け_2025実績)),($H230-$G230+1),1))*0.0258</f>
        <v>0</v>
      </c>
      <c r="DP230" s="990"/>
      <c r="DQ230" s="990"/>
      <c r="DR230" s="990"/>
      <c r="DS230" s="989">
        <f ca="1">SUMPRODUCT(OFFSET(貼付け_2025実績,$G230,5,($H230-$G230+1),1),OFFSET(貼付け_2025実績,$G230,SUM(COLUMN()-COLUMN(貼付け_2025実績)),($H230-$G230+1),1))*0.0258</f>
        <v>0</v>
      </c>
      <c r="DT230" s="990"/>
      <c r="DU230" s="990"/>
      <c r="DV230" s="990"/>
      <c r="DW230" s="989">
        <f ca="1">SUMPRODUCT(OFFSET(貼付け_2025実績,$G230,5,($H230-$G230+1),1),OFFSET(貼付け_2025実績,$G230,SUM(COLUMN()-COLUMN(貼付け_2025実績)),($H230-$G230+1),1))*0.0258</f>
        <v>0</v>
      </c>
      <c r="DX230" s="990"/>
      <c r="DY230" s="990"/>
      <c r="DZ230" s="990"/>
      <c r="EA230" s="989">
        <f ca="1">SUMPRODUCT(OFFSET(貼付け_2025実績,$G230,5,($H230-$G230+1),1),OFFSET(貼付け_2025実績,$G230,SUM(COLUMN()-COLUMN(貼付け_2025実績)),($H230-$G230+1),1))*0.0258</f>
        <v>0</v>
      </c>
      <c r="EB230" s="990"/>
      <c r="EC230" s="990"/>
      <c r="ED230" s="990"/>
      <c r="EE230" s="989">
        <f ca="1">SUMPRODUCT(OFFSET(貼付け_2025実績,$G230,5,($H230-$G230+1),1),OFFSET(貼付け_2025実績,$G230,SUM(COLUMN()-COLUMN(貼付け_2025実績)),($H230-$G230+1),1))*0.0258</f>
        <v>0</v>
      </c>
      <c r="EF230" s="990"/>
      <c r="EG230" s="990"/>
      <c r="EH230" s="990"/>
      <c r="EI230" s="989">
        <f ca="1">SUMPRODUCT(OFFSET(貼付け_2025実績,$G230,5,($H230-$G230+1),1),OFFSET(貼付け_2025実績,$G230,SUM(COLUMN()-COLUMN(貼付け_2025実績)),($H230-$G230+1),1))*0.0258</f>
        <v>0</v>
      </c>
      <c r="EJ230" s="990"/>
      <c r="EK230" s="990"/>
      <c r="EL230" s="990"/>
      <c r="EM230" s="989">
        <f ca="1">SUMPRODUCT(OFFSET(貼付け_2025実績,$G230,5,($H230-$G230+1),1),OFFSET(貼付け_2025実績,$G230,SUM(COLUMN()-COLUMN(貼付け_2025実績)),($H230-$G230+1),1))*0.0258</f>
        <v>0</v>
      </c>
      <c r="EN230" s="990"/>
      <c r="EO230" s="990"/>
      <c r="EP230" s="990"/>
      <c r="EQ230" s="989">
        <f ca="1">SUMPRODUCT(OFFSET(貼付け_2025実績,$G230,5,($H230-$G230+1),1),OFFSET(貼付け_2025実績,$G230,SUM(COLUMN()-COLUMN(貼付け_2025実績)),($H230-$G230+1),1))*0.0258</f>
        <v>0</v>
      </c>
      <c r="ER230" s="990"/>
      <c r="ES230" s="990"/>
      <c r="ET230" s="990"/>
      <c r="EU230" s="989">
        <f ca="1">SUMPRODUCT(OFFSET(貼付け_2025実績,$G230,5,($H230-$G230+1),1),OFFSET(貼付け_2025実績,$G230,SUM(COLUMN()-COLUMN(貼付け_2025実績)),($H230-$G230+1),1))*0.0258</f>
        <v>0</v>
      </c>
      <c r="EV230" s="990"/>
      <c r="EW230" s="990"/>
      <c r="EX230" s="990"/>
      <c r="EY230" s="989">
        <f ca="1">SUMPRODUCT(OFFSET(貼付け_2025実績,$G230,5,($H230-$G230+1),1),OFFSET(貼付け_2025実績,$G230,SUM(COLUMN()-COLUMN(貼付け_2025実績)),($H230-$G230+1),1))*0.0258</f>
        <v>0</v>
      </c>
      <c r="EZ230" s="990"/>
      <c r="FA230" s="990"/>
      <c r="FB230" s="990"/>
      <c r="FC230" s="989">
        <f ca="1">SUMPRODUCT(OFFSET(貼付け_2025実績,$G230,5,($H230-$G230+1),1),OFFSET(貼付け_2025実績,$G230,SUM(COLUMN()-COLUMN(貼付け_2025実績)),($H230-$G230+1),1))*0.0258</f>
        <v>0</v>
      </c>
      <c r="FD230" s="990"/>
      <c r="FE230" s="990"/>
      <c r="FF230" s="990"/>
      <c r="FG230" s="989">
        <f ca="1">SUMPRODUCT(OFFSET(貼付け_2025実績,$G230,5,($H230-$G230+1),1),OFFSET(貼付け_2025実績,$G230,SUM(COLUMN()-COLUMN(貼付け_2025実績)),($H230-$G230+1),1))*0.0258</f>
        <v>0</v>
      </c>
      <c r="FH230" s="990"/>
      <c r="FI230" s="990"/>
      <c r="FJ230" s="990"/>
      <c r="FK230" s="989">
        <f ca="1">SUMPRODUCT(OFFSET(貼付け_2025実績,$G230,5,($H230-$G230+1),1),OFFSET(貼付け_2025実績,$G230,SUM(COLUMN()-COLUMN(貼付け_2025実績)),($H230-$G230+1),1))*0.0258</f>
        <v>0</v>
      </c>
      <c r="FL230" s="990"/>
      <c r="FM230" s="990"/>
      <c r="FN230" s="990"/>
      <c r="FO230" s="989">
        <f ca="1">SUMPRODUCT(OFFSET(貼付け_2025実績,$G230,5,($H230-$G230+1),1),OFFSET(貼付け_2025実績,$G230,SUM(COLUMN()-COLUMN(貼付け_2025実績)),($H230-$G230+1),1))*0.0258</f>
        <v>0</v>
      </c>
      <c r="FP230" s="990"/>
      <c r="FQ230" s="990"/>
      <c r="FR230" s="990"/>
      <c r="FS230" s="989">
        <f ca="1">SUMPRODUCT(OFFSET(貼付け_2025実績,$G230,5,($H230-$G230+1),1),OFFSET(貼付け_2025実績,$G230,SUM(COLUMN()-COLUMN(貼付け_2025実績)),($H230-$G230+1),1))*0.0258</f>
        <v>0</v>
      </c>
      <c r="FT230" s="990"/>
      <c r="FU230" s="990"/>
      <c r="FV230" s="990"/>
      <c r="FW230" s="989">
        <f ca="1">SUMPRODUCT(OFFSET(貼付け_2025実績,$G230,5,($H230-$G230+1),1),OFFSET(貼付け_2025実績,$G230,SUM(COLUMN()-COLUMN(貼付け_2025実績)),($H230-$G230+1),1))*0.0258</f>
        <v>0</v>
      </c>
      <c r="FX230" s="990"/>
      <c r="FY230" s="990"/>
      <c r="FZ230" s="990"/>
      <c r="GA230" s="989">
        <f ca="1">SUMPRODUCT(OFFSET(貼付け_2025実績,$G230,5,($H230-$G230+1),1),OFFSET(貼付け_2025実績,$G230,SUM(COLUMN()-COLUMN(貼付け_2025実績)),($H230-$G230+1),1))*0.0258</f>
        <v>0</v>
      </c>
      <c r="GB230" s="990"/>
      <c r="GC230" s="990"/>
      <c r="GD230" s="990"/>
      <c r="GE230" s="989">
        <f ca="1">SUMPRODUCT(OFFSET(貼付け_2025実績,$G230,5,($H230-$G230+1),1),OFFSET(貼付け_2025実績,$G230,SUM(COLUMN()-COLUMN(貼付け_2025実績)),($H230-$G230+1),1))*0.0258</f>
        <v>0</v>
      </c>
      <c r="GF230" s="990"/>
      <c r="GG230" s="990"/>
      <c r="GH230" s="990"/>
      <c r="GI230" s="989">
        <f ca="1">SUMPRODUCT(OFFSET(貼付け_2025実績,$G230,5,($H230-$G230+1),1),OFFSET(貼付け_2025実績,$G230,SUM(COLUMN()-COLUMN(貼付け_2025実績)),($H230-$G230+1),1))*0.0258</f>
        <v>0</v>
      </c>
      <c r="GJ230" s="990"/>
      <c r="GK230" s="990"/>
      <c r="GL230" s="990"/>
      <c r="GM230" s="989">
        <f ca="1">SUMPRODUCT(OFFSET(貼付け_2025実績,$G230,5,($H230-$G230+1),1),OFFSET(貼付け_2025実績,$G230,SUM(COLUMN()-COLUMN(貼付け_2025実績)),($H230-$G230+1),1))*0.0258</f>
        <v>0</v>
      </c>
      <c r="GN230" s="990"/>
      <c r="GO230" s="990"/>
      <c r="GP230" s="990"/>
      <c r="GQ230" s="989">
        <f ca="1">SUMPRODUCT(OFFSET(貼付け_2025実績,$G230,5,($H230-$G230+1),1),OFFSET(貼付け_2025実績,$G230,SUM(COLUMN()-COLUMN(貼付け_2025実績)),($H230-$G230+1),1))*0.0258</f>
        <v>0</v>
      </c>
      <c r="GR230" s="990"/>
      <c r="GS230" s="990"/>
      <c r="GT230" s="990"/>
      <c r="GU230" s="989">
        <f ca="1">SUMPRODUCT(OFFSET(貼付け_2025実績,$G230,5,($H230-$G230+1),1),OFFSET(貼付け_2025実績,$G230,SUM(COLUMN()-COLUMN(貼付け_2025実績)),($H230-$G230+1),1))*0.0258</f>
        <v>0</v>
      </c>
      <c r="GV230" s="990"/>
      <c r="GW230" s="990"/>
      <c r="GX230" s="990"/>
      <c r="GY230" s="989">
        <f ca="1">SUMPRODUCT(OFFSET(貼付け_2025実績,$G230,5,($H230-$G230+1),1),OFFSET(貼付け_2025実績,$G230,SUM(COLUMN()-COLUMN(貼付け_2025実績)),($H230-$G230+1),1))*0.0258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OFFSET(貼付け_2025実績,$G232,SUM(COLUMN()-COLUMN(貼付け_2025実績))-1)</f>
        <v>0</v>
      </c>
      <c r="M232" s="989" t="str">
        <f ca="1">IFERROR(K232/L232,"")</f>
        <v/>
      </c>
      <c r="N232" s="991"/>
      <c r="O232" s="989">
        <f ca="1">O231-Q229-R229</f>
        <v>0</v>
      </c>
      <c r="P232" s="989">
        <f ca="1">OFFSET(貼付け_2025実績,$G232,SUM(COLUMN()-COLUMN(貼付け_2025実績))-1)</f>
        <v>0</v>
      </c>
      <c r="Q232" s="989" t="str">
        <f ca="1">IFERROR(O232/P232,"")</f>
        <v/>
      </c>
      <c r="R232" s="991"/>
      <c r="S232" s="989">
        <f ca="1">S231-U229-V229</f>
        <v>0</v>
      </c>
      <c r="T232" s="989">
        <f ca="1">OFFSET(貼付け_2025実績,$G232,SUM(COLUMN()-COLUMN(貼付け_2025実績))-1)</f>
        <v>0</v>
      </c>
      <c r="U232" s="989" t="str">
        <f ca="1">IFERROR(S232/T232,"")</f>
        <v/>
      </c>
      <c r="V232" s="991"/>
      <c r="W232" s="989">
        <f ca="1">W231-Y229-Z229</f>
        <v>0</v>
      </c>
      <c r="X232" s="989">
        <f ca="1">OFFSET(貼付け_2025実績,$G232,SUM(COLUMN()-COLUMN(貼付け_2025実績))-1)</f>
        <v>0</v>
      </c>
      <c r="Y232" s="989" t="str">
        <f ca="1">IFERROR(W232/X232,"")</f>
        <v/>
      </c>
      <c r="Z232" s="991"/>
      <c r="AA232" s="989">
        <f ca="1">AA231-AC229-AD229</f>
        <v>0</v>
      </c>
      <c r="AB232" s="989">
        <f ca="1">OFFSET(貼付け_2025実績,$G232,SUM(COLUMN()-COLUMN(貼付け_2025実績))-1)</f>
        <v>0</v>
      </c>
      <c r="AC232" s="989" t="str">
        <f ca="1">IFERROR(AA232/AB232,"")</f>
        <v/>
      </c>
      <c r="AD232" s="991"/>
      <c r="AE232" s="989">
        <f ca="1">AE231-AG229-AH229</f>
        <v>0</v>
      </c>
      <c r="AF232" s="989">
        <f ca="1">OFFSET(貼付け_2025実績,$G232,SUM(COLUMN()-COLUMN(貼付け_2025実績))-1)</f>
        <v>0</v>
      </c>
      <c r="AG232" s="989" t="str">
        <f ca="1">IFERROR(AE232/AF232,"")</f>
        <v/>
      </c>
      <c r="AH232" s="991"/>
      <c r="AI232" s="989">
        <f ca="1">AI231-AK229-AL229</f>
        <v>0</v>
      </c>
      <c r="AJ232" s="989">
        <f ca="1">OFFSET(貼付け_2025実績,$G232,SUM(COLUMN()-COLUMN(貼付け_2025実績))-1)</f>
        <v>0</v>
      </c>
      <c r="AK232" s="989" t="str">
        <f ca="1">IFERROR(AI232/AJ232,"")</f>
        <v/>
      </c>
      <c r="AL232" s="991"/>
      <c r="AM232" s="989">
        <f ca="1">AM231-AO229-AP229</f>
        <v>0</v>
      </c>
      <c r="AN232" s="989">
        <f ca="1">OFFSET(貼付け_2025実績,$G232,SUM(COLUMN()-COLUMN(貼付け_2025実績))-1)</f>
        <v>0</v>
      </c>
      <c r="AO232" s="989" t="str">
        <f ca="1">IFERROR(AM232/AN232,"")</f>
        <v/>
      </c>
      <c r="AP232" s="991"/>
      <c r="AQ232" s="989">
        <f ca="1">AQ231-AS229-AT229</f>
        <v>0</v>
      </c>
      <c r="AR232" s="989">
        <f ca="1">OFFSET(貼付け_2025実績,$G232,SUM(COLUMN()-COLUMN(貼付け_2025実績))-1)</f>
        <v>0</v>
      </c>
      <c r="AS232" s="989" t="str">
        <f ca="1">IFERROR(AQ232/AR232,"")</f>
        <v/>
      </c>
      <c r="AT232" s="991"/>
      <c r="AU232" s="989">
        <f ca="1">AU231-AW229-AX229</f>
        <v>0</v>
      </c>
      <c r="AV232" s="989">
        <f ca="1">OFFSET(貼付け_2025実績,$G232,SUM(COLUMN()-COLUMN(貼付け_2025実績))-1)</f>
        <v>0</v>
      </c>
      <c r="AW232" s="989" t="str">
        <f ca="1">IFERROR(AU232/AV232,"")</f>
        <v/>
      </c>
      <c r="AX232" s="991"/>
      <c r="AY232" s="989">
        <f ca="1">AY231-BA229-BB229</f>
        <v>0</v>
      </c>
      <c r="AZ232" s="989">
        <f ca="1">OFFSET(貼付け_2025実績,$G232,SUM(COLUMN()-COLUMN(貼付け_2025実績))-1)</f>
        <v>0</v>
      </c>
      <c r="BA232" s="989" t="str">
        <f ca="1">IFERROR(AY232/AZ232,"")</f>
        <v/>
      </c>
      <c r="BB232" s="991"/>
      <c r="BC232" s="989">
        <f ca="1">BC231-BE229-BF229</f>
        <v>0</v>
      </c>
      <c r="BD232" s="989">
        <f ca="1">OFFSET(貼付け_2025実績,$G232,SUM(COLUMN()-COLUMN(貼付け_2025実績))-1)</f>
        <v>0</v>
      </c>
      <c r="BE232" s="989" t="str">
        <f ca="1">IFERROR(BC232/BD232,"")</f>
        <v/>
      </c>
      <c r="BF232" s="991"/>
      <c r="BG232" s="989">
        <f ca="1">BG231-BI229-BJ229</f>
        <v>0</v>
      </c>
      <c r="BH232" s="989">
        <f ca="1">OFFSET(貼付け_2025実績,$G232,SUM(COLUMN()-COLUMN(貼付け_2025実績))-1)</f>
        <v>0</v>
      </c>
      <c r="BI232" s="989" t="str">
        <f ca="1">IFERROR(BG232/BH232,"")</f>
        <v/>
      </c>
      <c r="BJ232" s="991"/>
      <c r="BK232" s="989">
        <f ca="1">BK231-BM229-BN229</f>
        <v>0</v>
      </c>
      <c r="BL232" s="989">
        <f ca="1">OFFSET(貼付け_2025実績,$G232,SUM(COLUMN()-COLUMN(貼付け_2025実績))-1)</f>
        <v>0</v>
      </c>
      <c r="BM232" s="989" t="str">
        <f ca="1">IFERROR(BK232/BL232,"")</f>
        <v/>
      </c>
      <c r="BN232" s="991"/>
      <c r="BO232" s="989">
        <f ca="1">BO231-BQ229-BR229</f>
        <v>0</v>
      </c>
      <c r="BP232" s="989">
        <f ca="1">OFFSET(貼付け_2025実績,$G232,SUM(COLUMN()-COLUMN(貼付け_2025実績))-1)</f>
        <v>0</v>
      </c>
      <c r="BQ232" s="989" t="str">
        <f ca="1">IFERROR(BO232/BP232,"")</f>
        <v/>
      </c>
      <c r="BR232" s="991"/>
      <c r="BS232" s="989">
        <f ca="1">BS231-BU229-BV229</f>
        <v>0</v>
      </c>
      <c r="BT232" s="989">
        <f ca="1">OFFSET(貼付け_2025実績,$G232,SUM(COLUMN()-COLUMN(貼付け_2025実績))-1)</f>
        <v>0</v>
      </c>
      <c r="BU232" s="989" t="str">
        <f ca="1">IFERROR(BS232/BT232,"")</f>
        <v/>
      </c>
      <c r="BV232" s="991"/>
      <c r="BW232" s="989">
        <f ca="1">BW231-BY229-BZ229</f>
        <v>0</v>
      </c>
      <c r="BX232" s="989">
        <f ca="1">OFFSET(貼付け_2025実績,$G232,SUM(COLUMN()-COLUMN(貼付け_2025実績))-1)</f>
        <v>0</v>
      </c>
      <c r="BY232" s="989" t="str">
        <f ca="1">IFERROR(BW232/BX232,"")</f>
        <v/>
      </c>
      <c r="BZ232" s="991"/>
      <c r="CA232" s="989">
        <f ca="1">CA231-CC229-CD229</f>
        <v>0</v>
      </c>
      <c r="CB232" s="989">
        <f ca="1">OFFSET(貼付け_2025実績,$G232,SUM(COLUMN()-COLUMN(貼付け_2025実績))-1)</f>
        <v>0</v>
      </c>
      <c r="CC232" s="989" t="str">
        <f ca="1">IFERROR(CA232/CB232,"")</f>
        <v/>
      </c>
      <c r="CD232" s="991"/>
      <c r="CE232" s="989">
        <f ca="1">CE231-CG229-CH229</f>
        <v>0</v>
      </c>
      <c r="CF232" s="989">
        <f ca="1">OFFSET(貼付け_2025実績,$G232,SUM(COLUMN()-COLUMN(貼付け_2025実績))-1)</f>
        <v>0</v>
      </c>
      <c r="CG232" s="989" t="str">
        <f ca="1">IFERROR(CE232/CF232,"")</f>
        <v/>
      </c>
      <c r="CH232" s="991"/>
      <c r="CI232" s="989">
        <f ca="1">CI231-CK229-CL229</f>
        <v>0</v>
      </c>
      <c r="CJ232" s="989">
        <f ca="1">OFFSET(貼付け_2025実績,$G232,SUM(COLUMN()-COLUMN(貼付け_2025実績))-1)</f>
        <v>0</v>
      </c>
      <c r="CK232" s="989" t="str">
        <f ca="1">IFERROR(CI232/CJ232,"")</f>
        <v/>
      </c>
      <c r="CL232" s="991"/>
      <c r="CM232" s="989">
        <f ca="1">CM231-CO229-CP229</f>
        <v>0</v>
      </c>
      <c r="CN232" s="989">
        <f ca="1">OFFSET(貼付け_2025実績,$G232,SUM(COLUMN()-COLUMN(貼付け_2025実績))-1)</f>
        <v>0</v>
      </c>
      <c r="CO232" s="989" t="str">
        <f ca="1">IFERROR(CM232/CN232,"")</f>
        <v/>
      </c>
      <c r="CP232" s="991"/>
      <c r="CQ232" s="989">
        <f ca="1">CQ231-CS229-CT229</f>
        <v>0</v>
      </c>
      <c r="CR232" s="989">
        <f ca="1">OFFSET(貼付け_2025実績,$G232,SUM(COLUMN()-COLUMN(貼付け_2025実績))-1)</f>
        <v>0</v>
      </c>
      <c r="CS232" s="989" t="str">
        <f ca="1">IFERROR(CQ232/CR232,"")</f>
        <v/>
      </c>
      <c r="CT232" s="991"/>
      <c r="CU232" s="989">
        <f ca="1">CU231-CW229-CX229</f>
        <v>0</v>
      </c>
      <c r="CV232" s="989">
        <f ca="1">OFFSET(貼付け_2025実績,$G232,SUM(COLUMN()-COLUMN(貼付け_2025実績))-1)</f>
        <v>0</v>
      </c>
      <c r="CW232" s="989" t="str">
        <f ca="1">IFERROR(CU232/CV232,"")</f>
        <v/>
      </c>
      <c r="CX232" s="991"/>
      <c r="CY232" s="989">
        <f ca="1">CY231-DA229-DB229</f>
        <v>0</v>
      </c>
      <c r="CZ232" s="989">
        <f ca="1">OFFSET(貼付け_2025実績,$G232,SUM(COLUMN()-COLUMN(貼付け_2025実績))-1)</f>
        <v>0</v>
      </c>
      <c r="DA232" s="989" t="str">
        <f ca="1">IFERROR(CY232/CZ232,"")</f>
        <v/>
      </c>
      <c r="DB232" s="991"/>
      <c r="DC232" s="989">
        <f ca="1">DC231-DE229-DF229</f>
        <v>0</v>
      </c>
      <c r="DD232" s="989">
        <f ca="1">OFFSET(貼付け_2025実績,$G232,SUM(COLUMN()-COLUMN(貼付け_2025実績))-1)</f>
        <v>0</v>
      </c>
      <c r="DE232" s="989" t="str">
        <f ca="1">IFERROR(DC232/DD232,"")</f>
        <v/>
      </c>
      <c r="DF232" s="991"/>
      <c r="DG232" s="989">
        <f ca="1">DG231-DI229-DJ229</f>
        <v>0</v>
      </c>
      <c r="DH232" s="989">
        <f ca="1">OFFSET(貼付け_2025実績,$G232,SUM(COLUMN()-COLUMN(貼付け_2025実績))-1)</f>
        <v>0</v>
      </c>
      <c r="DI232" s="989" t="str">
        <f ca="1">IFERROR(DG232/DH232,"")</f>
        <v/>
      </c>
      <c r="DJ232" s="991"/>
      <c r="DK232" s="989">
        <f ca="1">DK231-DM229-DN229</f>
        <v>0</v>
      </c>
      <c r="DL232" s="989">
        <f ca="1">OFFSET(貼付け_2025実績,$G232,SUM(COLUMN()-COLUMN(貼付け_2025実績))-1)</f>
        <v>0</v>
      </c>
      <c r="DM232" s="989" t="str">
        <f ca="1">IFERROR(DK232/DL232,"")</f>
        <v/>
      </c>
      <c r="DN232" s="991"/>
      <c r="DO232" s="989">
        <f ca="1">DO231-DQ229-DR229</f>
        <v>0</v>
      </c>
      <c r="DP232" s="989">
        <f ca="1">OFFSET(貼付け_2025実績,$G232,SUM(COLUMN()-COLUMN(貼付け_2025実績))-1)</f>
        <v>0</v>
      </c>
      <c r="DQ232" s="989" t="str">
        <f ca="1">IFERROR(DO232/DP232,"")</f>
        <v/>
      </c>
      <c r="DR232" s="991"/>
      <c r="DS232" s="989">
        <f ca="1">DS231-DU229-DV229</f>
        <v>0</v>
      </c>
      <c r="DT232" s="989">
        <f ca="1">OFFSET(貼付け_2025実績,$G232,SUM(COLUMN()-COLUMN(貼付け_2025実績))-1)</f>
        <v>0</v>
      </c>
      <c r="DU232" s="989" t="str">
        <f ca="1">IFERROR(DS232/DT232,"")</f>
        <v/>
      </c>
      <c r="DV232" s="991"/>
      <c r="DW232" s="989">
        <f ca="1">DW231-DY229-DZ229</f>
        <v>0</v>
      </c>
      <c r="DX232" s="989">
        <f ca="1">OFFSET(貼付け_2025実績,$G232,SUM(COLUMN()-COLUMN(貼付け_2025実績))-1)</f>
        <v>0</v>
      </c>
      <c r="DY232" s="989" t="str">
        <f ca="1">IFERROR(DW232/DX232,"")</f>
        <v/>
      </c>
      <c r="DZ232" s="991"/>
      <c r="EA232" s="989">
        <f ca="1">EA231-EC229-ED229</f>
        <v>0</v>
      </c>
      <c r="EB232" s="989">
        <f ca="1">OFFSET(貼付け_2025実績,$G232,SUM(COLUMN()-COLUMN(貼付け_2025実績))-1)</f>
        <v>0</v>
      </c>
      <c r="EC232" s="989" t="str">
        <f ca="1">IFERROR(EA232/EB232,"")</f>
        <v/>
      </c>
      <c r="ED232" s="991"/>
      <c r="EE232" s="989">
        <f ca="1">EE231-EG229-EH229</f>
        <v>0</v>
      </c>
      <c r="EF232" s="989">
        <f ca="1">OFFSET(貼付け_2025実績,$G232,SUM(COLUMN()-COLUMN(貼付け_2025実績))-1)</f>
        <v>0</v>
      </c>
      <c r="EG232" s="989" t="str">
        <f ca="1">IFERROR(EE232/EF232,"")</f>
        <v/>
      </c>
      <c r="EH232" s="991"/>
      <c r="EI232" s="989">
        <f ca="1">EI231-EK229-EL229</f>
        <v>0</v>
      </c>
      <c r="EJ232" s="989">
        <f ca="1">OFFSET(貼付け_2025実績,$G232,SUM(COLUMN()-COLUMN(貼付け_2025実績))-1)</f>
        <v>0</v>
      </c>
      <c r="EK232" s="989" t="str">
        <f ca="1">IFERROR(EI232/EJ232,"")</f>
        <v/>
      </c>
      <c r="EL232" s="991"/>
      <c r="EM232" s="989">
        <f ca="1">EM231-EO229-EP229</f>
        <v>0</v>
      </c>
      <c r="EN232" s="989">
        <f ca="1">OFFSET(貼付け_2025実績,$G232,SUM(COLUMN()-COLUMN(貼付け_2025実績))-1)</f>
        <v>0</v>
      </c>
      <c r="EO232" s="989" t="str">
        <f ca="1">IFERROR(EM232/EN232,"")</f>
        <v/>
      </c>
      <c r="EP232" s="991"/>
      <c r="EQ232" s="989">
        <f ca="1">EQ231-ES229-ET229</f>
        <v>0</v>
      </c>
      <c r="ER232" s="989">
        <f ca="1">OFFSET(貼付け_2025実績,$G232,SUM(COLUMN()-COLUMN(貼付け_2025実績))-1)</f>
        <v>0</v>
      </c>
      <c r="ES232" s="989" t="str">
        <f ca="1">IFERROR(EQ232/ER232,"")</f>
        <v/>
      </c>
      <c r="ET232" s="991"/>
      <c r="EU232" s="989">
        <f ca="1">EU231-EW229-EX229</f>
        <v>0</v>
      </c>
      <c r="EV232" s="989">
        <f ca="1">OFFSET(貼付け_2025実績,$G232,SUM(COLUMN()-COLUMN(貼付け_2025実績))-1)</f>
        <v>0</v>
      </c>
      <c r="EW232" s="989" t="str">
        <f ca="1">IFERROR(EU232/EV232,"")</f>
        <v/>
      </c>
      <c r="EX232" s="991"/>
      <c r="EY232" s="989">
        <f ca="1">EY231-FA229-FB229</f>
        <v>0</v>
      </c>
      <c r="EZ232" s="989">
        <f ca="1">OFFSET(貼付け_2025実績,$G232,SUM(COLUMN()-COLUMN(貼付け_2025実績))-1)</f>
        <v>0</v>
      </c>
      <c r="FA232" s="989" t="str">
        <f ca="1">IFERROR(EY232/EZ232,"")</f>
        <v/>
      </c>
      <c r="FB232" s="991"/>
      <c r="FC232" s="989">
        <f ca="1">FC231-FE229-FF229</f>
        <v>0</v>
      </c>
      <c r="FD232" s="989">
        <f ca="1">OFFSET(貼付け_2025実績,$G232,SUM(COLUMN()-COLUMN(貼付け_2025実績))-1)</f>
        <v>0</v>
      </c>
      <c r="FE232" s="989" t="str">
        <f ca="1">IFERROR(FC232/FD232,"")</f>
        <v/>
      </c>
      <c r="FF232" s="991"/>
      <c r="FG232" s="989">
        <f ca="1">FG231-FI229-FJ229</f>
        <v>0</v>
      </c>
      <c r="FH232" s="989">
        <f ca="1">OFFSET(貼付け_2025実績,$G232,SUM(COLUMN()-COLUMN(貼付け_2025実績))-1)</f>
        <v>0</v>
      </c>
      <c r="FI232" s="989" t="str">
        <f ca="1">IFERROR(FG232/FH232,"")</f>
        <v/>
      </c>
      <c r="FJ232" s="991"/>
      <c r="FK232" s="989">
        <f ca="1">FK231-FM229-FN229</f>
        <v>0</v>
      </c>
      <c r="FL232" s="989">
        <f ca="1">OFFSET(貼付け_2025実績,$G232,SUM(COLUMN()-COLUMN(貼付け_2025実績))-1)</f>
        <v>0</v>
      </c>
      <c r="FM232" s="989" t="str">
        <f ca="1">IFERROR(FK232/FL232,"")</f>
        <v/>
      </c>
      <c r="FN232" s="991"/>
      <c r="FO232" s="989">
        <f ca="1">FO231-FQ229-FR229</f>
        <v>0</v>
      </c>
      <c r="FP232" s="989">
        <f ca="1">OFFSET(貼付け_2025実績,$G232,SUM(COLUMN()-COLUMN(貼付け_2025実績))-1)</f>
        <v>0</v>
      </c>
      <c r="FQ232" s="989" t="str">
        <f ca="1">IFERROR(FO232/FP232,"")</f>
        <v/>
      </c>
      <c r="FR232" s="991"/>
      <c r="FS232" s="989">
        <f ca="1">FS231-FU229-FV229</f>
        <v>0</v>
      </c>
      <c r="FT232" s="989">
        <f ca="1">OFFSET(貼付け_2025実績,$G232,SUM(COLUMN()-COLUMN(貼付け_2025実績))-1)</f>
        <v>0</v>
      </c>
      <c r="FU232" s="989" t="str">
        <f ca="1">IFERROR(FS232/FT232,"")</f>
        <v/>
      </c>
      <c r="FV232" s="991"/>
      <c r="FW232" s="989">
        <f ca="1">FW231-FY229-FZ229</f>
        <v>0</v>
      </c>
      <c r="FX232" s="989">
        <f ca="1">OFFSET(貼付け_2025実績,$G232,SUM(COLUMN()-COLUMN(貼付け_2025実績))-1)</f>
        <v>0</v>
      </c>
      <c r="FY232" s="989" t="str">
        <f ca="1">IFERROR(FW232/FX232,"")</f>
        <v/>
      </c>
      <c r="FZ232" s="991"/>
      <c r="GA232" s="989">
        <f ca="1">GA231-GC229-GD229</f>
        <v>0</v>
      </c>
      <c r="GB232" s="989">
        <f ca="1">OFFSET(貼付け_2025実績,$G232,SUM(COLUMN()-COLUMN(貼付け_2025実績))-1)</f>
        <v>0</v>
      </c>
      <c r="GC232" s="989" t="str">
        <f ca="1">IFERROR(GA232/GB232,"")</f>
        <v/>
      </c>
      <c r="GD232" s="991"/>
      <c r="GE232" s="989">
        <f ca="1">GE231-GG229-GH229</f>
        <v>0</v>
      </c>
      <c r="GF232" s="989">
        <f ca="1">OFFSET(貼付け_2025実績,$G232,SUM(COLUMN()-COLUMN(貼付け_2025実績))-1)</f>
        <v>0</v>
      </c>
      <c r="GG232" s="989" t="str">
        <f ca="1">IFERROR(GE232/GF232,"")</f>
        <v/>
      </c>
      <c r="GH232" s="991"/>
      <c r="GI232" s="989">
        <f ca="1">GI231-GK229-GL229</f>
        <v>0</v>
      </c>
      <c r="GJ232" s="989">
        <f ca="1">OFFSET(貼付け_2025実績,$G232,SUM(COLUMN()-COLUMN(貼付け_2025実績))-1)</f>
        <v>0</v>
      </c>
      <c r="GK232" s="989" t="str">
        <f ca="1">IFERROR(GI232/GJ232,"")</f>
        <v/>
      </c>
      <c r="GL232" s="991"/>
      <c r="GM232" s="989">
        <f ca="1">GM231-GO229-GP229</f>
        <v>0</v>
      </c>
      <c r="GN232" s="989">
        <f ca="1">OFFSET(貼付け_2025実績,$G232,SUM(COLUMN()-COLUMN(貼付け_2025実績))-1)</f>
        <v>0</v>
      </c>
      <c r="GO232" s="989" t="str">
        <f ca="1">IFERROR(GM232/GN232,"")</f>
        <v/>
      </c>
      <c r="GP232" s="991"/>
      <c r="GQ232" s="989">
        <f ca="1">GQ231-GS229-GT229</f>
        <v>0</v>
      </c>
      <c r="GR232" s="989">
        <f ca="1">OFFSET(貼付け_2025実績,$G232,SUM(COLUMN()-COLUMN(貼付け_2025実績))-1)</f>
        <v>0</v>
      </c>
      <c r="GS232" s="989" t="str">
        <f ca="1">IFERROR(GQ232/GR232,"")</f>
        <v/>
      </c>
      <c r="GT232" s="991"/>
      <c r="GU232" s="989">
        <f ca="1">GU231-GW229-GX229</f>
        <v>0</v>
      </c>
      <c r="GV232" s="989">
        <f ca="1">OFFSET(貼付け_2025実績,$G232,SUM(COLUMN()-COLUMN(貼付け_2025実績))-1)</f>
        <v>0</v>
      </c>
      <c r="GW232" s="989" t="str">
        <f ca="1">IFERROR(GU232/GV232,"")</f>
        <v/>
      </c>
      <c r="GX232" s="991"/>
      <c r="GY232" s="989">
        <f ca="1">GY231-HA229-HB229</f>
        <v>0</v>
      </c>
      <c r="GZ232" s="989">
        <f ca="1">OFFSET(貼付け_2025実績,$G232,SUM(COLUMN()-COLUMN(貼付け_2025実績))-1)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SUMPRODUCT(OFFSET(貼付け_2025実績,$F233,4,5,1),OFFSET(貼付け_2025実績,$F233,SUM(COLUMN()-COLUMN(貼付け_2025実績)),5,1))</f>
        <v>0</v>
      </c>
      <c r="J233" s="989">
        <f ca="1">SUMPRODUCT(OFFSET(貼付け_2025実績,$F233,4,5,1),OFFSET(貼付け_2025実績,$F233,SUM(COLUMN()-COLUMN(貼付け_2025実績)),5,1))</f>
        <v>0</v>
      </c>
      <c r="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991"/>
      <c r="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991"/>
      <c r="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991"/>
      <c r="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991"/>
      <c r="A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991"/>
      <c r="A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991"/>
      <c r="A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991"/>
      <c r="A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991"/>
      <c r="A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991"/>
      <c r="A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991"/>
      <c r="A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991"/>
      <c r="B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991"/>
      <c r="B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991"/>
      <c r="B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991"/>
      <c r="B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991"/>
      <c r="B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991"/>
      <c r="B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991"/>
      <c r="C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991"/>
      <c r="C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991"/>
      <c r="C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991"/>
      <c r="C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991"/>
      <c r="C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991"/>
      <c r="C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991"/>
      <c r="C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991"/>
      <c r="D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991"/>
      <c r="D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991"/>
      <c r="D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991"/>
      <c r="D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991"/>
      <c r="D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991"/>
      <c r="D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991"/>
      <c r="E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991"/>
      <c r="E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991"/>
      <c r="E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991"/>
      <c r="E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991"/>
      <c r="E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991"/>
      <c r="E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991"/>
      <c r="E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991"/>
      <c r="F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991"/>
      <c r="F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991"/>
      <c r="F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991"/>
      <c r="F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991"/>
      <c r="F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991"/>
      <c r="F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991"/>
      <c r="G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991"/>
      <c r="G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991"/>
      <c r="G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991"/>
      <c r="G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991"/>
      <c r="G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991"/>
      <c r="G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991"/>
      <c r="G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SUMPRODUCT(OFFSET(貼付け_2025実績,$F234,5,5,1),OFFSET(貼付け_2025実績,$F234,SUM(COLUMN()-COLUMN(貼付け_2025実績)),5,1))</f>
        <v>0</v>
      </c>
      <c r="J234" s="989">
        <f ca="1">SUMPRODUCT(OFFSET(貼付け_2025実績,$F234,5,5,1),OFFSET(貼付け_2025実績,$F234,SUM(COLUMN()-COLUMN(貼付け_2025実績)),5,1))</f>
        <v>0</v>
      </c>
      <c r="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991"/>
      <c r="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991"/>
      <c r="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991"/>
      <c r="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991"/>
      <c r="A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991"/>
      <c r="A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991"/>
      <c r="A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991"/>
      <c r="A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991"/>
      <c r="A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991"/>
      <c r="A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991"/>
      <c r="A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991"/>
      <c r="B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991"/>
      <c r="B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991"/>
      <c r="B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991"/>
      <c r="B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991"/>
      <c r="B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991"/>
      <c r="B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991"/>
      <c r="C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991"/>
      <c r="C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991"/>
      <c r="C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991"/>
      <c r="C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991"/>
      <c r="C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991"/>
      <c r="C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991"/>
      <c r="C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991"/>
      <c r="D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991"/>
      <c r="D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991"/>
      <c r="D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991"/>
      <c r="D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991"/>
      <c r="D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991"/>
      <c r="D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991"/>
      <c r="E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991"/>
      <c r="E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991"/>
      <c r="E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991"/>
      <c r="E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991"/>
      <c r="E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991"/>
      <c r="E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991"/>
      <c r="E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991"/>
      <c r="F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991"/>
      <c r="F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991"/>
      <c r="F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991"/>
      <c r="F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991"/>
      <c r="F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991"/>
      <c r="F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991"/>
      <c r="G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991"/>
      <c r="G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991"/>
      <c r="G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991"/>
      <c r="G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991"/>
      <c r="G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991"/>
      <c r="G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991"/>
      <c r="G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991"/>
      <c r="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991"/>
      <c r="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991"/>
      <c r="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991"/>
      <c r="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991"/>
      <c r="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991"/>
      <c r="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991"/>
      <c r="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991"/>
      <c r="A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991"/>
      <c r="A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991"/>
      <c r="A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991"/>
      <c r="A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991"/>
      <c r="A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991"/>
      <c r="A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991"/>
      <c r="A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991"/>
      <c r="A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991"/>
      <c r="A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991"/>
      <c r="A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991"/>
      <c r="A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991"/>
      <c r="A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991"/>
      <c r="A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991"/>
      <c r="B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991"/>
      <c r="B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991"/>
      <c r="B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991"/>
      <c r="B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991"/>
      <c r="B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991"/>
      <c r="B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991"/>
      <c r="B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991"/>
      <c r="B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991"/>
      <c r="B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991"/>
      <c r="B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991"/>
      <c r="B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991"/>
      <c r="B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991"/>
      <c r="B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991"/>
      <c r="C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991"/>
      <c r="C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991"/>
      <c r="C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991"/>
      <c r="C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991"/>
      <c r="C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991"/>
      <c r="C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991"/>
      <c r="C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991"/>
      <c r="C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991"/>
      <c r="C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991"/>
      <c r="C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991"/>
      <c r="C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991"/>
      <c r="C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991"/>
      <c r="C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991"/>
      <c r="D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991"/>
      <c r="D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991"/>
      <c r="D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991"/>
      <c r="D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991"/>
      <c r="D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991"/>
      <c r="D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991"/>
      <c r="D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991"/>
      <c r="D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991"/>
      <c r="D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991"/>
      <c r="D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991"/>
      <c r="D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991"/>
      <c r="D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991"/>
      <c r="D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991"/>
      <c r="E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991"/>
      <c r="E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991"/>
      <c r="E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991"/>
      <c r="E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991"/>
      <c r="E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991"/>
      <c r="E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991"/>
      <c r="E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991"/>
      <c r="E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991"/>
      <c r="E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991"/>
      <c r="E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991"/>
      <c r="E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991"/>
      <c r="E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991"/>
      <c r="E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991"/>
      <c r="F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991"/>
      <c r="F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991"/>
      <c r="F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991"/>
      <c r="F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991"/>
      <c r="F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991"/>
      <c r="F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991"/>
      <c r="F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991"/>
      <c r="F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991"/>
      <c r="F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991"/>
      <c r="F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991"/>
      <c r="F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991"/>
      <c r="F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991"/>
      <c r="F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991"/>
      <c r="G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991"/>
      <c r="G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991"/>
      <c r="G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991"/>
      <c r="G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991"/>
      <c r="G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991"/>
      <c r="G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991"/>
      <c r="G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991"/>
      <c r="G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991"/>
      <c r="G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991"/>
      <c r="G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991"/>
      <c r="G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991"/>
      <c r="G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991"/>
      <c r="G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991"/>
      <c r="H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991"/>
      <c r="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991"/>
      <c r="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991"/>
      <c r="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991"/>
      <c r="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991"/>
      <c r="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991"/>
      <c r="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991"/>
      <c r="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991"/>
      <c r="A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991"/>
      <c r="A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991"/>
      <c r="A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991"/>
      <c r="A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991"/>
      <c r="A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991"/>
      <c r="A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991"/>
      <c r="A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991"/>
      <c r="A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991"/>
      <c r="A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991"/>
      <c r="A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991"/>
      <c r="A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991"/>
      <c r="A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991"/>
      <c r="A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991"/>
      <c r="B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991"/>
      <c r="B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991"/>
      <c r="B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991"/>
      <c r="B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991"/>
      <c r="B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991"/>
      <c r="B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991"/>
      <c r="B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991"/>
      <c r="B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991"/>
      <c r="B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991"/>
      <c r="B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991"/>
      <c r="B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991"/>
      <c r="B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991"/>
      <c r="B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991"/>
      <c r="C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991"/>
      <c r="C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991"/>
      <c r="C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991"/>
      <c r="C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991"/>
      <c r="C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991"/>
      <c r="C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991"/>
      <c r="C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991"/>
      <c r="C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991"/>
      <c r="C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991"/>
      <c r="C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991"/>
      <c r="C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991"/>
      <c r="C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991"/>
      <c r="C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991"/>
      <c r="D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991"/>
      <c r="D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991"/>
      <c r="D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991"/>
      <c r="D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991"/>
      <c r="D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991"/>
      <c r="D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991"/>
      <c r="D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991"/>
      <c r="D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991"/>
      <c r="D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991"/>
      <c r="D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991"/>
      <c r="D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991"/>
      <c r="D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991"/>
      <c r="D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991"/>
      <c r="E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991"/>
      <c r="E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991"/>
      <c r="E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991"/>
      <c r="E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991"/>
      <c r="E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991"/>
      <c r="E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991"/>
      <c r="E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991"/>
      <c r="E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991"/>
      <c r="E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991"/>
      <c r="E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991"/>
      <c r="E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991"/>
      <c r="E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991"/>
      <c r="E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991"/>
      <c r="F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991"/>
      <c r="F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991"/>
      <c r="F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991"/>
      <c r="F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991"/>
      <c r="F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991"/>
      <c r="F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991"/>
      <c r="F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991"/>
      <c r="F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991"/>
      <c r="F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991"/>
      <c r="F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991"/>
      <c r="F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991"/>
      <c r="F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991"/>
      <c r="F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991"/>
      <c r="G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991"/>
      <c r="G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991"/>
      <c r="G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991"/>
      <c r="G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991"/>
      <c r="G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991"/>
      <c r="G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991"/>
      <c r="G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991"/>
      <c r="G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991"/>
      <c r="G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991"/>
      <c r="G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991"/>
      <c r="G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991"/>
      <c r="G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991"/>
      <c r="G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991"/>
      <c r="H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991"/>
      <c r="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991"/>
      <c r="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991"/>
      <c r="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991"/>
      <c r="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991"/>
      <c r="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991"/>
      <c r="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991"/>
      <c r="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991"/>
      <c r="A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991"/>
      <c r="A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991"/>
      <c r="A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991"/>
      <c r="A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991"/>
      <c r="A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991"/>
      <c r="A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991"/>
      <c r="A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991"/>
      <c r="A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991"/>
      <c r="A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991"/>
      <c r="A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991"/>
      <c r="A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991"/>
      <c r="A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991"/>
      <c r="A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991"/>
      <c r="B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991"/>
      <c r="B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991"/>
      <c r="B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991"/>
      <c r="B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991"/>
      <c r="B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991"/>
      <c r="B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991"/>
      <c r="B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991"/>
      <c r="B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991"/>
      <c r="B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991"/>
      <c r="B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991"/>
      <c r="B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991"/>
      <c r="B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991"/>
      <c r="B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991"/>
      <c r="C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991"/>
      <c r="C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991"/>
      <c r="C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991"/>
      <c r="C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991"/>
      <c r="C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991"/>
      <c r="C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991"/>
      <c r="C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991"/>
      <c r="C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991"/>
      <c r="C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991"/>
      <c r="C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991"/>
      <c r="C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991"/>
      <c r="C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991"/>
      <c r="C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991"/>
      <c r="D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991"/>
      <c r="D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991"/>
      <c r="D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991"/>
      <c r="D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991"/>
      <c r="D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991"/>
      <c r="D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991"/>
      <c r="D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991"/>
      <c r="D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991"/>
      <c r="D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991"/>
      <c r="D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991"/>
      <c r="D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991"/>
      <c r="D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991"/>
      <c r="D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991"/>
      <c r="E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991"/>
      <c r="E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991"/>
      <c r="E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991"/>
      <c r="E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991"/>
      <c r="E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991"/>
      <c r="E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991"/>
      <c r="E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991"/>
      <c r="E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991"/>
      <c r="E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991"/>
      <c r="E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991"/>
      <c r="E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991"/>
      <c r="E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991"/>
      <c r="E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991"/>
      <c r="F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991"/>
      <c r="F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991"/>
      <c r="F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991"/>
      <c r="F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991"/>
      <c r="F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991"/>
      <c r="F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991"/>
      <c r="F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991"/>
      <c r="F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991"/>
      <c r="F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991"/>
      <c r="F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991"/>
      <c r="F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991"/>
      <c r="F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991"/>
      <c r="F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991"/>
      <c r="G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991"/>
      <c r="G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991"/>
      <c r="G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991"/>
      <c r="G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991"/>
      <c r="G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991"/>
      <c r="G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991"/>
      <c r="G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991"/>
      <c r="G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991"/>
      <c r="G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991"/>
      <c r="G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991"/>
      <c r="G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991"/>
      <c r="G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991"/>
      <c r="G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991"/>
      <c r="H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991"/>
      <c r="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991"/>
      <c r="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991"/>
      <c r="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991"/>
      <c r="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991"/>
      <c r="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991"/>
      <c r="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991"/>
      <c r="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991"/>
      <c r="A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991"/>
      <c r="A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991"/>
      <c r="A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991"/>
      <c r="A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991"/>
      <c r="A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991"/>
      <c r="A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991"/>
      <c r="A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991"/>
      <c r="A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991"/>
      <c r="A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991"/>
      <c r="A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991"/>
      <c r="A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991"/>
      <c r="A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991"/>
      <c r="A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991"/>
      <c r="B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991"/>
      <c r="B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991"/>
      <c r="B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991"/>
      <c r="B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991"/>
      <c r="B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991"/>
      <c r="B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991"/>
      <c r="B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991"/>
      <c r="B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991"/>
      <c r="B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991"/>
      <c r="B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991"/>
      <c r="B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991"/>
      <c r="B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991"/>
      <c r="B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991"/>
      <c r="C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991"/>
      <c r="C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991"/>
      <c r="C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991"/>
      <c r="C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991"/>
      <c r="C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991"/>
      <c r="C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991"/>
      <c r="C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991"/>
      <c r="C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991"/>
      <c r="C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991"/>
      <c r="C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991"/>
      <c r="C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991"/>
      <c r="C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991"/>
      <c r="C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991"/>
      <c r="D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991"/>
      <c r="D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991"/>
      <c r="D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991"/>
      <c r="D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991"/>
      <c r="D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991"/>
      <c r="D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991"/>
      <c r="D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991"/>
      <c r="D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991"/>
      <c r="D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991"/>
      <c r="D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991"/>
      <c r="D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991"/>
      <c r="D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991"/>
      <c r="D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991"/>
      <c r="E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991"/>
      <c r="E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991"/>
      <c r="E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991"/>
      <c r="E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991"/>
      <c r="E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991"/>
      <c r="E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991"/>
      <c r="E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991"/>
      <c r="E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991"/>
      <c r="E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991"/>
      <c r="E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991"/>
      <c r="E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991"/>
      <c r="E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991"/>
      <c r="E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991"/>
      <c r="F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991"/>
      <c r="F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991"/>
      <c r="F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991"/>
      <c r="F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991"/>
      <c r="F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991"/>
      <c r="F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991"/>
      <c r="F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991"/>
      <c r="F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991"/>
      <c r="F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991"/>
      <c r="F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991"/>
      <c r="F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991"/>
      <c r="F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991"/>
      <c r="F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991"/>
      <c r="G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991"/>
      <c r="G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991"/>
      <c r="G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991"/>
      <c r="G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991"/>
      <c r="G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991"/>
      <c r="G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991"/>
      <c r="G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991"/>
      <c r="G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991"/>
      <c r="G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991"/>
      <c r="G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991"/>
      <c r="G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991"/>
      <c r="G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991"/>
      <c r="G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991"/>
      <c r="H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991"/>
      <c r="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991"/>
      <c r="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991"/>
      <c r="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991"/>
      <c r="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991"/>
      <c r="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991"/>
      <c r="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991"/>
      <c r="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991"/>
      <c r="A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991"/>
      <c r="A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991"/>
      <c r="A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991"/>
      <c r="A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991"/>
      <c r="A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991"/>
      <c r="A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991"/>
      <c r="A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991"/>
      <c r="A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991"/>
      <c r="A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991"/>
      <c r="A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991"/>
      <c r="A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991"/>
      <c r="A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991"/>
      <c r="A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991"/>
      <c r="B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991"/>
      <c r="B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991"/>
      <c r="B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991"/>
      <c r="B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991"/>
      <c r="B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991"/>
      <c r="B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991"/>
      <c r="B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991"/>
      <c r="B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991"/>
      <c r="B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991"/>
      <c r="B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991"/>
      <c r="B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991"/>
      <c r="B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991"/>
      <c r="B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991"/>
      <c r="C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991"/>
      <c r="C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991"/>
      <c r="C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991"/>
      <c r="C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991"/>
      <c r="C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991"/>
      <c r="C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991"/>
      <c r="C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991"/>
      <c r="C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991"/>
      <c r="C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991"/>
      <c r="C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991"/>
      <c r="C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991"/>
      <c r="C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991"/>
      <c r="C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991"/>
      <c r="D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991"/>
      <c r="D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991"/>
      <c r="D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991"/>
      <c r="D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991"/>
      <c r="D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991"/>
      <c r="D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991"/>
      <c r="D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991"/>
      <c r="D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991"/>
      <c r="D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991"/>
      <c r="D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991"/>
      <c r="D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991"/>
      <c r="D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991"/>
      <c r="D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991"/>
      <c r="E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991"/>
      <c r="E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991"/>
      <c r="E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991"/>
      <c r="E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991"/>
      <c r="E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991"/>
      <c r="E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991"/>
      <c r="E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991"/>
      <c r="E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991"/>
      <c r="E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991"/>
      <c r="E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991"/>
      <c r="E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991"/>
      <c r="E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991"/>
      <c r="E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991"/>
      <c r="F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991"/>
      <c r="F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991"/>
      <c r="F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991"/>
      <c r="F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991"/>
      <c r="F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991"/>
      <c r="F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991"/>
      <c r="F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991"/>
      <c r="F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991"/>
      <c r="F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991"/>
      <c r="F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991"/>
      <c r="F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991"/>
      <c r="F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991"/>
      <c r="F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991"/>
      <c r="G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991"/>
      <c r="G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991"/>
      <c r="G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991"/>
      <c r="G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991"/>
      <c r="G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991"/>
      <c r="G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991"/>
      <c r="G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991"/>
      <c r="G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991"/>
      <c r="G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991"/>
      <c r="G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991"/>
      <c r="G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991"/>
      <c r="G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991"/>
      <c r="G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991"/>
      <c r="H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991"/>
      <c r="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991"/>
      <c r="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991"/>
      <c r="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991"/>
      <c r="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991"/>
      <c r="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991"/>
      <c r="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991"/>
      <c r="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991"/>
      <c r="A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991"/>
      <c r="A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991"/>
      <c r="A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991"/>
      <c r="A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991"/>
      <c r="A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991"/>
      <c r="A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991"/>
      <c r="A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991"/>
      <c r="A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991"/>
      <c r="A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991"/>
      <c r="A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991"/>
      <c r="A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991"/>
      <c r="A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991"/>
      <c r="A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991"/>
      <c r="B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991"/>
      <c r="B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991"/>
      <c r="B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991"/>
      <c r="B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991"/>
      <c r="B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991"/>
      <c r="B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991"/>
      <c r="B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991"/>
      <c r="B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991"/>
      <c r="B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991"/>
      <c r="B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991"/>
      <c r="B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991"/>
      <c r="B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991"/>
      <c r="B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991"/>
      <c r="C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991"/>
      <c r="C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991"/>
      <c r="C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991"/>
      <c r="C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991"/>
      <c r="C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991"/>
      <c r="C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991"/>
      <c r="C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991"/>
      <c r="C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991"/>
      <c r="C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991"/>
      <c r="C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991"/>
      <c r="C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991"/>
      <c r="C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991"/>
      <c r="C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991"/>
      <c r="D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991"/>
      <c r="D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991"/>
      <c r="D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991"/>
      <c r="D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991"/>
      <c r="D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991"/>
      <c r="D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991"/>
      <c r="D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991"/>
      <c r="D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991"/>
      <c r="D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991"/>
      <c r="D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991"/>
      <c r="D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991"/>
      <c r="D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991"/>
      <c r="D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991"/>
      <c r="E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991"/>
      <c r="E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991"/>
      <c r="E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991"/>
      <c r="E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991"/>
      <c r="E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991"/>
      <c r="E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991"/>
      <c r="E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991"/>
      <c r="E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991"/>
      <c r="E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991"/>
      <c r="E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991"/>
      <c r="E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991"/>
      <c r="E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991"/>
      <c r="E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991"/>
      <c r="F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991"/>
      <c r="F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991"/>
      <c r="F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991"/>
      <c r="F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991"/>
      <c r="F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991"/>
      <c r="F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991"/>
      <c r="F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991"/>
      <c r="F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991"/>
      <c r="F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991"/>
      <c r="F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991"/>
      <c r="F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991"/>
      <c r="F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991"/>
      <c r="F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991"/>
      <c r="G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991"/>
      <c r="G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991"/>
      <c r="G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991"/>
      <c r="G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991"/>
      <c r="G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991"/>
      <c r="G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991"/>
      <c r="G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991"/>
      <c r="G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991"/>
      <c r="G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991"/>
      <c r="G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991"/>
      <c r="G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991"/>
      <c r="G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991"/>
      <c r="G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991"/>
      <c r="H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SUMPRODUCT(OFFSET(貼付け_2025実績,$F241,4,10,1),OFFSET(貼付け_2025実績,$F241,SUM(COLUMN()-COLUMN(貼付け_2025実績)),10,1))*1000</f>
        <v>0</v>
      </c>
      <c r="J241" s="989">
        <f ca="1">SUMPRODUCT(OFFSET(貼付け_2025実績,$F241,4,10,1),OFFSET(貼付け_2025実績,$F241,SUM(COLUMN()-COLUMN(貼付け_2025実績)),10,1))*1000</f>
        <v>0</v>
      </c>
      <c r="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991"/>
      <c r="M241" s="991"/>
      <c r="N241" s="991"/>
      <c r="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991"/>
      <c r="Q241" s="991"/>
      <c r="R241" s="991"/>
      <c r="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991"/>
      <c r="U241" s="991"/>
      <c r="V241" s="991"/>
      <c r="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991"/>
      <c r="Y241" s="991"/>
      <c r="Z241" s="991"/>
      <c r="A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991"/>
      <c r="AC241" s="991"/>
      <c r="AD241" s="991"/>
      <c r="A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991"/>
      <c r="AG241" s="991"/>
      <c r="AH241" s="991"/>
      <c r="A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991"/>
      <c r="AK241" s="991"/>
      <c r="AL241" s="991"/>
      <c r="A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991"/>
      <c r="AO241" s="991"/>
      <c r="AP241" s="991"/>
      <c r="A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991"/>
      <c r="AS241" s="991"/>
      <c r="AT241" s="991"/>
      <c r="A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991"/>
      <c r="AW241" s="991"/>
      <c r="AX241" s="991"/>
      <c r="A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991"/>
      <c r="BA241" s="991"/>
      <c r="BB241" s="991"/>
      <c r="B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991"/>
      <c r="BE241" s="991"/>
      <c r="BF241" s="991"/>
      <c r="B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991"/>
      <c r="BI241" s="991"/>
      <c r="BJ241" s="991"/>
      <c r="B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991"/>
      <c r="BM241" s="991"/>
      <c r="BN241" s="991"/>
      <c r="B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991"/>
      <c r="BQ241" s="991"/>
      <c r="BR241" s="991"/>
      <c r="B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991"/>
      <c r="BU241" s="991"/>
      <c r="BV241" s="991"/>
      <c r="B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991"/>
      <c r="BY241" s="991"/>
      <c r="BZ241" s="991"/>
      <c r="C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991"/>
      <c r="CC241" s="991"/>
      <c r="CD241" s="991"/>
      <c r="C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991"/>
      <c r="CG241" s="991"/>
      <c r="CH241" s="991"/>
      <c r="C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991"/>
      <c r="CK241" s="991"/>
      <c r="CL241" s="991"/>
      <c r="C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991"/>
      <c r="CO241" s="991"/>
      <c r="CP241" s="991"/>
      <c r="C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991"/>
      <c r="CS241" s="991"/>
      <c r="CT241" s="991"/>
      <c r="C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991"/>
      <c r="CW241" s="991"/>
      <c r="CX241" s="991"/>
      <c r="C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991"/>
      <c r="DA241" s="991"/>
      <c r="DB241" s="991"/>
      <c r="D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991"/>
      <c r="DE241" s="991"/>
      <c r="DF241" s="991"/>
      <c r="D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991"/>
      <c r="DI241" s="991"/>
      <c r="DJ241" s="991"/>
      <c r="D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991"/>
      <c r="DM241" s="991"/>
      <c r="DN241" s="991"/>
      <c r="D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991"/>
      <c r="DQ241" s="991"/>
      <c r="DR241" s="991"/>
      <c r="D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991"/>
      <c r="DU241" s="991"/>
      <c r="DV241" s="991"/>
      <c r="D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991"/>
      <c r="DY241" s="991"/>
      <c r="DZ241" s="991"/>
      <c r="E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991"/>
      <c r="EC241" s="991"/>
      <c r="ED241" s="991"/>
      <c r="E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991"/>
      <c r="EG241" s="991"/>
      <c r="EH241" s="991"/>
      <c r="E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991"/>
      <c r="EK241" s="991"/>
      <c r="EL241" s="991"/>
      <c r="E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991"/>
      <c r="EO241" s="991"/>
      <c r="EP241" s="991"/>
      <c r="E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991"/>
      <c r="ES241" s="991"/>
      <c r="ET241" s="991"/>
      <c r="E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991"/>
      <c r="EW241" s="991"/>
      <c r="EX241" s="991"/>
      <c r="E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991"/>
      <c r="FA241" s="991"/>
      <c r="FB241" s="991"/>
      <c r="F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991"/>
      <c r="FE241" s="991"/>
      <c r="FF241" s="991"/>
      <c r="F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991"/>
      <c r="FI241" s="991"/>
      <c r="FJ241" s="991"/>
      <c r="F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991"/>
      <c r="FM241" s="991"/>
      <c r="FN241" s="991"/>
      <c r="F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991"/>
      <c r="FQ241" s="991"/>
      <c r="FR241" s="991"/>
      <c r="F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991"/>
      <c r="FU241" s="991"/>
      <c r="FV241" s="991"/>
      <c r="F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991"/>
      <c r="FY241" s="991"/>
      <c r="FZ241" s="991"/>
      <c r="G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991"/>
      <c r="GC241" s="991"/>
      <c r="GD241" s="991"/>
      <c r="G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991"/>
      <c r="GG241" s="991"/>
      <c r="GH241" s="991"/>
      <c r="G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991"/>
      <c r="GK241" s="991"/>
      <c r="GL241" s="991"/>
      <c r="G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991"/>
      <c r="GO241" s="991"/>
      <c r="GP241" s="991"/>
      <c r="G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991"/>
      <c r="GS241" s="991"/>
      <c r="GT241" s="991"/>
      <c r="G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991"/>
      <c r="GW241" s="991"/>
      <c r="GX241" s="991"/>
      <c r="G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SUMPRODUCT(OFFSET(貼付け_2025実績,$F242,5,10,1),OFFSET(貼付け_2025実績,$F242,SUM(COLUMN()-COLUMN(貼付け_2025実績)),10,1))*1000</f>
        <v>0</v>
      </c>
      <c r="J242" s="989">
        <f ca="1">SUMPRODUCT(OFFSET(貼付け_2025実績,$F242,5,10,1),OFFSET(貼付け_2025実績,$F242,SUM(COLUMN()-COLUMN(貼付け_2025実績)),10,1))*1000</f>
        <v>0</v>
      </c>
      <c r="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71"/>
      <c r="M242" s="471"/>
      <c r="N242" s="471"/>
      <c r="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71"/>
      <c r="Q242" s="471"/>
      <c r="R242" s="471"/>
      <c r="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71"/>
      <c r="U242" s="471"/>
      <c r="V242" s="471"/>
      <c r="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71"/>
      <c r="Y242" s="471"/>
      <c r="Z242" s="471"/>
      <c r="A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71"/>
      <c r="AC242" s="471"/>
      <c r="AD242" s="471"/>
      <c r="A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71"/>
      <c r="AG242" s="471"/>
      <c r="AH242" s="471"/>
      <c r="A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71"/>
      <c r="AK242" s="471"/>
      <c r="AL242" s="471"/>
      <c r="A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71"/>
      <c r="AO242" s="471"/>
      <c r="AP242" s="471"/>
      <c r="A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71"/>
      <c r="AS242" s="471"/>
      <c r="AT242" s="471"/>
      <c r="A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71"/>
      <c r="AW242" s="471"/>
      <c r="AX242" s="471"/>
      <c r="A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71"/>
      <c r="BA242" s="471"/>
      <c r="BB242" s="471"/>
      <c r="B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71"/>
      <c r="BE242" s="471"/>
      <c r="BF242" s="471"/>
      <c r="B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71"/>
      <c r="BI242" s="471"/>
      <c r="BJ242" s="471"/>
      <c r="B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71"/>
      <c r="BM242" s="471"/>
      <c r="BN242" s="471"/>
      <c r="B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71"/>
      <c r="BQ242" s="471"/>
      <c r="BR242" s="471"/>
      <c r="B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71"/>
      <c r="BU242" s="471"/>
      <c r="BV242" s="471"/>
      <c r="B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71"/>
      <c r="BY242" s="471"/>
      <c r="BZ242" s="471"/>
      <c r="C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71"/>
      <c r="CC242" s="471"/>
      <c r="CD242" s="471"/>
      <c r="C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71"/>
      <c r="CG242" s="471"/>
      <c r="CH242" s="471"/>
      <c r="C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71"/>
      <c r="CK242" s="471"/>
      <c r="CL242" s="471"/>
      <c r="C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71"/>
      <c r="CO242" s="471"/>
      <c r="CP242" s="471"/>
      <c r="C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71"/>
      <c r="CS242" s="471"/>
      <c r="CT242" s="471"/>
      <c r="C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71"/>
      <c r="CW242" s="471"/>
      <c r="CX242" s="471"/>
      <c r="C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71"/>
      <c r="DA242" s="471"/>
      <c r="DB242" s="471"/>
      <c r="D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71"/>
      <c r="DE242" s="471"/>
      <c r="DF242" s="471"/>
      <c r="D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71"/>
      <c r="DI242" s="471"/>
      <c r="DJ242" s="471"/>
      <c r="D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71"/>
      <c r="DM242" s="471"/>
      <c r="DN242" s="471"/>
      <c r="D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71"/>
      <c r="DQ242" s="471"/>
      <c r="DR242" s="471"/>
      <c r="D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71"/>
      <c r="DU242" s="471"/>
      <c r="DV242" s="471"/>
      <c r="D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71"/>
      <c r="DY242" s="471"/>
      <c r="DZ242" s="471"/>
      <c r="E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71"/>
      <c r="EC242" s="471"/>
      <c r="ED242" s="471"/>
      <c r="E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71"/>
      <c r="EG242" s="471"/>
      <c r="EH242" s="471"/>
      <c r="E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71"/>
      <c r="EK242" s="471"/>
      <c r="EL242" s="471"/>
      <c r="E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71"/>
      <c r="EO242" s="471"/>
      <c r="EP242" s="471"/>
      <c r="E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71"/>
      <c r="ES242" s="471"/>
      <c r="ET242" s="471"/>
      <c r="E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71"/>
      <c r="EW242" s="471"/>
      <c r="EX242" s="471"/>
      <c r="E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71"/>
      <c r="FA242" s="471"/>
      <c r="FB242" s="471"/>
      <c r="F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71"/>
      <c r="FE242" s="471"/>
      <c r="FF242" s="471"/>
      <c r="F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71"/>
      <c r="FI242" s="471"/>
      <c r="FJ242" s="471"/>
      <c r="F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71"/>
      <c r="FM242" s="471"/>
      <c r="FN242" s="471"/>
      <c r="F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71"/>
      <c r="FQ242" s="471"/>
      <c r="FR242" s="471"/>
      <c r="F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71"/>
      <c r="FU242" s="471"/>
      <c r="FV242" s="471"/>
      <c r="F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71"/>
      <c r="FY242" s="471"/>
      <c r="FZ242" s="471"/>
      <c r="G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71"/>
      <c r="GC242" s="471"/>
      <c r="GD242" s="471"/>
      <c r="G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71"/>
      <c r="GG242" s="471"/>
      <c r="GH242" s="471"/>
      <c r="G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71"/>
      <c r="GK242" s="471"/>
      <c r="GL242" s="471"/>
      <c r="G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71"/>
      <c r="GO242" s="471"/>
      <c r="GP242" s="471"/>
      <c r="G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71"/>
      <c r="GS242" s="471"/>
      <c r="GT242" s="471"/>
      <c r="G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71"/>
      <c r="GW242" s="471"/>
      <c r="GX242" s="471"/>
      <c r="G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991"/>
      <c r="M243" s="991"/>
      <c r="N243" s="991"/>
      <c r="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991"/>
      <c r="Q243" s="991"/>
      <c r="R243" s="991"/>
      <c r="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991"/>
      <c r="U243" s="991"/>
      <c r="V243" s="991"/>
      <c r="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991"/>
      <c r="Y243" s="991"/>
      <c r="Z243" s="991"/>
      <c r="A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991"/>
      <c r="AC243" s="991"/>
      <c r="AD243" s="991"/>
      <c r="A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991"/>
      <c r="AG243" s="991"/>
      <c r="AH243" s="991"/>
      <c r="A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991"/>
      <c r="AK243" s="991"/>
      <c r="AL243" s="991"/>
      <c r="A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991"/>
      <c r="AO243" s="991"/>
      <c r="AP243" s="991"/>
      <c r="A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991"/>
      <c r="AS243" s="991"/>
      <c r="AT243" s="991"/>
      <c r="A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991"/>
      <c r="AW243" s="991"/>
      <c r="AX243" s="991"/>
      <c r="A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991"/>
      <c r="BA243" s="991"/>
      <c r="BB243" s="991"/>
      <c r="B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991"/>
      <c r="BE243" s="991"/>
      <c r="BF243" s="991"/>
      <c r="B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991"/>
      <c r="BI243" s="991"/>
      <c r="BJ243" s="991"/>
      <c r="B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991"/>
      <c r="BM243" s="991"/>
      <c r="BN243" s="991"/>
      <c r="B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991"/>
      <c r="BQ243" s="991"/>
      <c r="BR243" s="991"/>
      <c r="B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991"/>
      <c r="BU243" s="991"/>
      <c r="BV243" s="991"/>
      <c r="B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991"/>
      <c r="BY243" s="991"/>
      <c r="BZ243" s="991"/>
      <c r="C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991"/>
      <c r="CC243" s="991"/>
      <c r="CD243" s="991"/>
      <c r="C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991"/>
      <c r="CG243" s="991"/>
      <c r="CH243" s="991"/>
      <c r="C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991"/>
      <c r="CK243" s="991"/>
      <c r="CL243" s="991"/>
      <c r="C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991"/>
      <c r="CO243" s="991"/>
      <c r="CP243" s="991"/>
      <c r="C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991"/>
      <c r="CS243" s="991"/>
      <c r="CT243" s="991"/>
      <c r="C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991"/>
      <c r="CW243" s="991"/>
      <c r="CX243" s="991"/>
      <c r="C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991"/>
      <c r="DA243" s="991"/>
      <c r="DB243" s="991"/>
      <c r="D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991"/>
      <c r="DE243" s="991"/>
      <c r="DF243" s="991"/>
      <c r="D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991"/>
      <c r="DI243" s="991"/>
      <c r="DJ243" s="991"/>
      <c r="D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991"/>
      <c r="DM243" s="991"/>
      <c r="DN243" s="991"/>
      <c r="D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991"/>
      <c r="DQ243" s="991"/>
      <c r="DR243" s="991"/>
      <c r="D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991"/>
      <c r="DU243" s="991"/>
      <c r="DV243" s="991"/>
      <c r="D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991"/>
      <c r="DY243" s="991"/>
      <c r="DZ243" s="991"/>
      <c r="E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991"/>
      <c r="EC243" s="991"/>
      <c r="ED243" s="991"/>
      <c r="E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991"/>
      <c r="EG243" s="991"/>
      <c r="EH243" s="991"/>
      <c r="E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991"/>
      <c r="EK243" s="991"/>
      <c r="EL243" s="991"/>
      <c r="E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991"/>
      <c r="EO243" s="991"/>
      <c r="EP243" s="991"/>
      <c r="E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991"/>
      <c r="ES243" s="991"/>
      <c r="ET243" s="991"/>
      <c r="E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991"/>
      <c r="EW243" s="991"/>
      <c r="EX243" s="991"/>
      <c r="E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991"/>
      <c r="FA243" s="991"/>
      <c r="FB243" s="991"/>
      <c r="F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991"/>
      <c r="FE243" s="991"/>
      <c r="FF243" s="991"/>
      <c r="F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991"/>
      <c r="FI243" s="991"/>
      <c r="FJ243" s="991"/>
      <c r="F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991"/>
      <c r="FM243" s="991"/>
      <c r="FN243" s="991"/>
      <c r="F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991"/>
      <c r="FQ243" s="991"/>
      <c r="FR243" s="991"/>
      <c r="F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991"/>
      <c r="FU243" s="991"/>
      <c r="FV243" s="991"/>
      <c r="F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991"/>
      <c r="FY243" s="991"/>
      <c r="FZ243" s="991"/>
      <c r="G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991"/>
      <c r="GC243" s="991"/>
      <c r="GD243" s="991"/>
      <c r="G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991"/>
      <c r="GG243" s="991"/>
      <c r="GH243" s="991"/>
      <c r="G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991"/>
      <c r="GK243" s="991"/>
      <c r="GL243" s="991"/>
      <c r="G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991"/>
      <c r="GO243" s="991"/>
      <c r="GP243" s="991"/>
      <c r="G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991"/>
      <c r="GS243" s="991"/>
      <c r="GT243" s="991"/>
      <c r="G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991"/>
      <c r="GW243" s="991"/>
      <c r="GX243" s="991"/>
      <c r="G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991"/>
      <c r="HA243" s="991"/>
      <c r="HB243" s="991"/>
      <c r="IE243" s="927"/>
      <c r="IF243" s="927"/>
      <c r="IG243" s="927"/>
      <c r="IH243" s="927"/>
    </row>
    <row r="244" spans="1:242" s="879" customFormat="1" ht="20.100000000000001" hidden="1" customHeight="1">
      <c r="A244" s="976"/>
      <c r="B244" s="889"/>
      <c r="C244" s="889"/>
      <c r="D244" s="889"/>
      <c r="E244" s="889"/>
      <c r="F244" s="889"/>
      <c r="G244" s="889"/>
      <c r="H244" s="889"/>
      <c r="I244" s="889"/>
      <c r="J244" s="889"/>
      <c r="K244" s="889"/>
      <c r="L244" s="889"/>
      <c r="M244" s="889"/>
      <c r="N244" s="889"/>
      <c r="O244" s="889"/>
      <c r="P244" s="889"/>
      <c r="Q244" s="889"/>
      <c r="R244" s="889"/>
      <c r="S244" s="889"/>
      <c r="T244" s="889"/>
      <c r="U244" s="889"/>
      <c r="V244" s="889"/>
      <c r="W244" s="889"/>
      <c r="X244" s="889"/>
      <c r="Y244" s="889"/>
      <c r="Z244" s="889"/>
      <c r="AA244" s="889"/>
      <c r="AB244" s="889"/>
      <c r="AC244" s="889"/>
      <c r="AD244" s="889"/>
      <c r="AE244" s="889"/>
      <c r="AF244" s="889"/>
      <c r="AG244" s="889"/>
      <c r="AH244" s="889"/>
      <c r="AI244" s="889"/>
      <c r="AJ244" s="889"/>
      <c r="AK244" s="889"/>
      <c r="AL244" s="889"/>
      <c r="AM244" s="889"/>
      <c r="AN244" s="889"/>
      <c r="AO244" s="889"/>
      <c r="AP244" s="889"/>
      <c r="AQ244" s="889"/>
      <c r="AR244" s="889"/>
      <c r="AS244" s="889"/>
      <c r="AT244" s="889"/>
      <c r="AU244" s="889"/>
      <c r="AV244" s="889"/>
      <c r="AW244" s="889"/>
      <c r="AX244" s="889"/>
      <c r="AY244" s="889"/>
      <c r="AZ244" s="889"/>
      <c r="BA244" s="889"/>
      <c r="BB244" s="889"/>
      <c r="BC244" s="889"/>
      <c r="BD244" s="889"/>
      <c r="BE244" s="889"/>
      <c r="BF244" s="889"/>
      <c r="BG244" s="889"/>
      <c r="BH244" s="889"/>
      <c r="BI244" s="889"/>
      <c r="BJ244" s="889"/>
      <c r="BK244" s="889"/>
      <c r="BL244" s="889"/>
      <c r="BM244" s="889"/>
      <c r="BN244" s="889"/>
      <c r="BO244" s="889"/>
      <c r="BP244" s="889"/>
      <c r="BQ244" s="889"/>
      <c r="BR244" s="889"/>
      <c r="BS244" s="889"/>
      <c r="BT244" s="889"/>
      <c r="BU244" s="889"/>
      <c r="BV244" s="889"/>
      <c r="BW244" s="889"/>
      <c r="BX244" s="889"/>
      <c r="BY244" s="889"/>
      <c r="BZ244" s="889"/>
      <c r="CA244" s="889"/>
      <c r="CB244" s="889"/>
      <c r="CC244" s="889"/>
      <c r="CD244" s="889"/>
      <c r="CE244" s="889"/>
      <c r="CF244" s="889"/>
      <c r="CG244" s="889"/>
      <c r="CH244" s="889"/>
      <c r="CI244" s="889"/>
      <c r="CJ244" s="889"/>
      <c r="CK244" s="889"/>
      <c r="CL244" s="889"/>
      <c r="CM244" s="889"/>
      <c r="CN244" s="889"/>
      <c r="CO244" s="889"/>
      <c r="CP244" s="889"/>
      <c r="CQ244" s="889"/>
      <c r="CR244" s="889"/>
      <c r="CS244" s="889"/>
      <c r="CT244" s="889"/>
      <c r="CU244" s="889"/>
      <c r="CV244" s="889"/>
      <c r="CW244" s="889"/>
      <c r="CX244" s="889"/>
      <c r="CY244" s="889"/>
      <c r="CZ244" s="889"/>
      <c r="DA244" s="889"/>
      <c r="DB244" s="889"/>
      <c r="DC244" s="889"/>
      <c r="DD244" s="889"/>
      <c r="DE244" s="889"/>
      <c r="DF244" s="889"/>
      <c r="DG244" s="889"/>
      <c r="DH244" s="889"/>
      <c r="DI244" s="889"/>
      <c r="DJ244" s="889"/>
      <c r="DK244" s="889"/>
      <c r="DL244" s="889"/>
      <c r="DM244" s="889"/>
      <c r="DN244" s="889"/>
      <c r="DO244" s="889"/>
      <c r="DP244" s="889"/>
      <c r="DQ244" s="889"/>
      <c r="DR244" s="889"/>
      <c r="DS244" s="889"/>
      <c r="DT244" s="889"/>
      <c r="DU244" s="889"/>
      <c r="DV244" s="889"/>
      <c r="DW244" s="889"/>
      <c r="DX244" s="889"/>
      <c r="DY244" s="889"/>
      <c r="DZ244" s="889"/>
      <c r="EA244" s="889"/>
      <c r="EB244" s="889"/>
      <c r="EC244" s="889"/>
      <c r="ED244" s="889"/>
      <c r="EE244" s="889"/>
      <c r="EF244" s="889"/>
      <c r="EG244" s="889"/>
      <c r="EH244" s="889"/>
      <c r="EI244" s="889"/>
      <c r="EJ244" s="889"/>
      <c r="EK244" s="889"/>
      <c r="EL244" s="889"/>
      <c r="EM244" s="889"/>
      <c r="EN244" s="889"/>
      <c r="EO244" s="889"/>
      <c r="EP244" s="889"/>
      <c r="EQ244" s="889"/>
      <c r="ER244" s="889"/>
      <c r="ES244" s="889"/>
      <c r="ET244" s="889"/>
      <c r="EU244" s="889"/>
      <c r="EV244" s="889"/>
      <c r="EW244" s="889"/>
      <c r="EX244" s="889"/>
      <c r="EY244" s="889"/>
      <c r="EZ244" s="889"/>
      <c r="FA244" s="889"/>
      <c r="FB244" s="889"/>
      <c r="FC244" s="889"/>
      <c r="FD244" s="889"/>
      <c r="FE244" s="889"/>
      <c r="FF244" s="889"/>
      <c r="FG244" s="889"/>
      <c r="FH244" s="889"/>
      <c r="FI244" s="889"/>
      <c r="FJ244" s="889"/>
      <c r="FK244" s="889"/>
      <c r="FL244" s="889"/>
      <c r="FM244" s="889"/>
      <c r="FN244" s="889"/>
      <c r="FO244" s="889"/>
      <c r="FP244" s="889"/>
      <c r="FQ244" s="889"/>
      <c r="FR244" s="889"/>
      <c r="FS244" s="889"/>
      <c r="FT244" s="889"/>
      <c r="FU244" s="889"/>
      <c r="FV244" s="889"/>
      <c r="FW244" s="889"/>
      <c r="FX244" s="889"/>
      <c r="FY244" s="889"/>
      <c r="FZ244" s="889"/>
      <c r="GA244" s="889"/>
      <c r="GB244" s="889"/>
      <c r="GC244" s="889"/>
      <c r="GD244" s="889"/>
      <c r="GE244" s="889"/>
      <c r="GF244" s="889"/>
      <c r="GG244" s="889"/>
      <c r="GH244" s="889"/>
      <c r="GI244" s="889"/>
      <c r="GJ244" s="889"/>
      <c r="GK244" s="889"/>
      <c r="GL244" s="889"/>
      <c r="GM244" s="889"/>
      <c r="GN244" s="889"/>
      <c r="GO244" s="889"/>
      <c r="GP244" s="889"/>
      <c r="GQ244" s="889"/>
      <c r="GR244" s="889"/>
      <c r="GS244" s="889"/>
      <c r="GT244" s="889"/>
      <c r="GU244" s="889"/>
      <c r="GV244" s="889"/>
      <c r="GW244" s="889"/>
      <c r="GX244" s="889"/>
      <c r="GY244" s="889"/>
      <c r="GZ244" s="889"/>
      <c r="HA244" s="889"/>
      <c r="HB244" s="889"/>
      <c r="HC244" s="889"/>
      <c r="HD244" s="889"/>
      <c r="HE244" s="889"/>
      <c r="HF244" s="889"/>
      <c r="HG244" s="889"/>
      <c r="HH244" s="889"/>
      <c r="HI244" s="889"/>
      <c r="HJ244" s="889"/>
      <c r="HK244" s="889"/>
      <c r="IE244" s="975"/>
      <c r="IF244" s="975"/>
      <c r="IG244" s="975"/>
      <c r="IH244" s="975"/>
    </row>
    <row r="245" spans="1:242" ht="20.100000000000001" hidden="1" customHeight="1">
      <c r="A245" s="898" t="s">
        <v>652</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AO245" s="879"/>
      <c r="AP245" s="879"/>
      <c r="AQ245" s="879"/>
      <c r="AR245" s="879"/>
      <c r="AS245" s="879"/>
      <c r="AT245" s="879"/>
      <c r="AU245" s="879"/>
      <c r="AV245" s="879"/>
      <c r="AW245" s="879"/>
      <c r="AX245" s="879"/>
      <c r="AY245" s="879"/>
      <c r="AZ245" s="879"/>
      <c r="BA245" s="879"/>
      <c r="BB245" s="879"/>
      <c r="BC245" s="879"/>
      <c r="BD245" s="879"/>
      <c r="BE245" s="879"/>
      <c r="BF245" s="879"/>
      <c r="BG245" s="879"/>
      <c r="BH245" s="879"/>
      <c r="BI245" s="879"/>
      <c r="BJ245" s="879"/>
      <c r="BK245" s="879"/>
      <c r="BL245" s="879"/>
      <c r="BM245" s="879"/>
      <c r="BN245" s="879"/>
      <c r="BO245" s="879"/>
      <c r="BP245" s="879"/>
      <c r="BQ245" s="879"/>
      <c r="BR245" s="879"/>
      <c r="BS245" s="879"/>
      <c r="BT245" s="879"/>
      <c r="BU245" s="879"/>
      <c r="BV245" s="879"/>
      <c r="BW245" s="879"/>
      <c r="BX245" s="879"/>
      <c r="BY245" s="879"/>
      <c r="BZ245" s="879"/>
      <c r="CA245" s="879"/>
      <c r="CB245" s="879"/>
      <c r="CC245" s="879"/>
      <c r="CD245" s="879"/>
      <c r="CE245" s="879"/>
      <c r="CF245" s="879"/>
      <c r="CG245" s="879"/>
      <c r="CH245" s="879"/>
      <c r="CI245" s="879"/>
      <c r="CJ245" s="879"/>
      <c r="CK245" s="879"/>
      <c r="CL245" s="879"/>
      <c r="CM245" s="879"/>
      <c r="CN245" s="879"/>
      <c r="CO245" s="879"/>
      <c r="CP245" s="879"/>
      <c r="CQ245" s="879"/>
      <c r="CR245" s="879"/>
      <c r="CS245" s="879"/>
      <c r="CT245" s="879"/>
      <c r="CU245" s="879"/>
      <c r="CV245" s="879"/>
      <c r="CW245" s="879"/>
      <c r="CX245" s="879"/>
      <c r="CY245" s="879"/>
      <c r="CZ245" s="879"/>
      <c r="DA245" s="879"/>
      <c r="DB245" s="879"/>
      <c r="DC245" s="879"/>
      <c r="DD245" s="879"/>
      <c r="DE245" s="879"/>
      <c r="DF245" s="879"/>
      <c r="DG245" s="879"/>
      <c r="DH245" s="879"/>
      <c r="DI245" s="879"/>
      <c r="DJ245" s="879"/>
      <c r="DK245" s="879"/>
      <c r="DL245" s="879"/>
      <c r="DM245" s="879"/>
      <c r="DN245" s="879"/>
      <c r="DO245" s="879"/>
      <c r="DP245" s="879"/>
      <c r="DQ245" s="879"/>
      <c r="DR245" s="879"/>
      <c r="DS245" s="879"/>
      <c r="DT245" s="879"/>
      <c r="DU245" s="879"/>
      <c r="DV245" s="879"/>
      <c r="DW245" s="879"/>
      <c r="DX245" s="879"/>
      <c r="DY245" s="879"/>
      <c r="DZ245" s="879"/>
      <c r="EA245" s="879"/>
      <c r="EB245" s="879"/>
      <c r="EC245" s="879"/>
      <c r="ED245" s="879"/>
      <c r="EE245" s="879"/>
      <c r="EF245" s="879"/>
      <c r="EG245" s="879"/>
      <c r="EH245" s="879"/>
      <c r="EI245" s="879"/>
      <c r="EJ245" s="879"/>
      <c r="EK245" s="879"/>
      <c r="EL245" s="879"/>
      <c r="EM245" s="879"/>
      <c r="EN245" s="879"/>
      <c r="EO245" s="879"/>
      <c r="EP245" s="879"/>
      <c r="EQ245" s="879"/>
      <c r="ER245" s="879"/>
      <c r="ES245" s="879"/>
      <c r="ET245" s="879"/>
      <c r="EU245" s="879"/>
      <c r="EV245" s="879"/>
      <c r="EW245" s="879"/>
      <c r="EX245" s="879"/>
      <c r="EY245" s="879"/>
      <c r="EZ245" s="879"/>
      <c r="FA245" s="879"/>
      <c r="FB245" s="879"/>
      <c r="FC245" s="879"/>
      <c r="FD245" s="879"/>
      <c r="FE245" s="879"/>
      <c r="FF245" s="879"/>
      <c r="FG245" s="879"/>
      <c r="FH245" s="879"/>
      <c r="FI245" s="879"/>
      <c r="FJ245" s="879"/>
      <c r="FK245" s="879"/>
      <c r="FL245" s="879"/>
      <c r="FM245" s="879"/>
      <c r="FN245" s="879"/>
      <c r="FO245" s="879"/>
      <c r="FP245" s="879"/>
      <c r="FQ245" s="879"/>
      <c r="FR245" s="879"/>
      <c r="FS245" s="879"/>
      <c r="FT245" s="879"/>
      <c r="FU245" s="879"/>
      <c r="FV245" s="879"/>
      <c r="FW245" s="879"/>
      <c r="FX245" s="879"/>
      <c r="FY245" s="879"/>
      <c r="FZ245" s="879"/>
      <c r="GA245" s="879"/>
      <c r="GB245" s="879"/>
      <c r="GC245" s="879"/>
      <c r="GD245" s="879"/>
      <c r="GE245" s="879"/>
      <c r="GF245" s="879"/>
      <c r="GG245" s="879"/>
      <c r="GH245" s="879"/>
      <c r="GI245" s="879"/>
      <c r="GJ245" s="879"/>
      <c r="GK245" s="879"/>
      <c r="GL245" s="879"/>
      <c r="GM245" s="879"/>
      <c r="GN245" s="879"/>
      <c r="GO245" s="879"/>
      <c r="GP245" s="879"/>
      <c r="GQ245" s="879"/>
      <c r="GR245" s="879"/>
      <c r="GS245" s="879"/>
      <c r="GT245" s="879"/>
      <c r="GU245" s="879"/>
      <c r="GV245" s="879"/>
      <c r="GW245" s="879"/>
      <c r="GX245" s="879"/>
      <c r="GY245" s="879"/>
      <c r="GZ245" s="879"/>
      <c r="HA245" s="879"/>
      <c r="HB245" s="879"/>
      <c r="HC245" s="879"/>
      <c r="HD245" s="879"/>
      <c r="HE245" s="879"/>
      <c r="HF245" s="879"/>
      <c r="HG245" s="879"/>
      <c r="HH245" s="879"/>
      <c r="HI245" s="879"/>
      <c r="HJ245" s="879"/>
      <c r="HK245" s="879"/>
    </row>
    <row r="246" spans="1:242" ht="20.100000000000001" hidden="1" customHeight="1" thickBot="1">
      <c r="B246" s="992" t="s">
        <v>653</v>
      </c>
    </row>
    <row r="247" spans="1:242" ht="19.5" hidden="1" customHeight="1" thickBot="1">
      <c r="A247" s="881">
        <v>1</v>
      </c>
      <c r="B247" s="1370" t="s">
        <v>623</v>
      </c>
      <c r="C247" s="1371"/>
      <c r="D247" s="1372"/>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347" t="s">
        <v>624</v>
      </c>
      <c r="C248" s="997" t="s">
        <v>625</v>
      </c>
      <c r="D248" s="998">
        <v>2025</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2025年度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348"/>
      <c r="C249" s="1002" t="str">
        <f>D248-1&amp;"/"&amp;D248</f>
        <v>2024/2025</v>
      </c>
      <c r="D249" s="1003" t="str">
        <f>""</f>
        <v/>
      </c>
      <c r="E249" s="1004" t="str">
        <f t="shared" ref="E249:AJ249" ca="1" si="102">OFFSET(A1_原単位2024,6,E$247+2)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OFFSET(A1_原単位2024,6,AK$247+2)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IFERROR(OFFSET(貼付け_2025実績,5,E248+1),"")&amp;""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IFERROR(OFFSET(貼付け_2025実績,5,AK248+1),"")&amp;""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348"/>
      <c r="C250" s="1002" t="str">
        <f>D248-1&amp;"&amp;"&amp;D248</f>
        <v>2024&amp;2025</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348"/>
      <c r="C251" s="1002" t="s">
        <v>626</v>
      </c>
      <c r="D251" s="1003" t="str">
        <f>""</f>
        <v/>
      </c>
      <c r="E251" s="1004" t="str">
        <f t="shared" ref="E251:AJ251" ca="1" si="106">IF(OFFSET(貼付け_2025実績,2,12)="■",BD249,IFERROR(INDEX($BD249:$DA249,MATCH(E250,$BD249:$DA249,0)),""))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IF(OFFSET(貼付け_2025実績,2,12)="■",CJ249,IFERROR(INDEX($BD249:$DA249,MATCH(AK250,$BD249:$DA249,0)),""))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348"/>
      <c r="C252" s="1006" t="s">
        <v>627</v>
      </c>
      <c r="D252" s="1007">
        <v>2</v>
      </c>
      <c r="E252" s="1008" t="str">
        <f t="shared" ref="E252:AJ252" ca="1" si="108">OFFSET(A1_名称2025,E$247+2,$D252)&amp;""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OFFSET(A1_名称2025,AK$247+2,$D252)&amp;""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348"/>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348"/>
      <c r="C254" s="1011" t="s">
        <v>629</v>
      </c>
      <c r="D254" s="1012">
        <v>6</v>
      </c>
      <c r="E254" s="1013" t="str">
        <f t="shared" ref="E254:AJ254" ca="1" si="111">IFERROR(OFFSET(貼付け_2025実績,$D254,E253+1)&amp;"","")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IFERROR(OFFSET(貼付け_2025実績,$D254,AK253+1)&amp;"","")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348"/>
      <c r="C255" s="1017" t="s">
        <v>630</v>
      </c>
      <c r="D255" s="1018">
        <v>99</v>
      </c>
      <c r="E255" s="1019" t="str">
        <f t="shared" ref="E255:AJ255" ca="1" si="113">IFERROR(OFFSET(貼付け_2025実績,$D255,E253),"")&amp;""</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IFERROR(OFFSET(貼付け_2025実績,$D255,AK253),"")&amp;""</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1019" t="str">
        <f t="shared" ca="1" si="114"/>
        <v/>
      </c>
      <c r="BB255" s="1019" t="str">
        <f t="shared" ca="1" si="114"/>
        <v/>
      </c>
      <c r="IE255" s="927"/>
      <c r="IF255" s="927"/>
      <c r="IG255" s="927"/>
      <c r="IH255" s="927"/>
    </row>
    <row r="256" spans="1:242" s="889" customFormat="1" ht="20.100000000000001" hidden="1" customHeight="1">
      <c r="A256" s="967">
        <v>10</v>
      </c>
      <c r="B256" s="1348"/>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348"/>
      <c r="C257" s="1017" t="s">
        <v>632</v>
      </c>
      <c r="D257" s="1018">
        <v>101</v>
      </c>
      <c r="E257" s="1019" t="str">
        <f t="shared" ref="E257:AJ257" ca="1" si="115">IFERROR(OFFSET(貼付け_2025実績,$D257,E253),"")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IFERROR(OFFSET(貼付け_2025実績,$D257,AK253),"")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348"/>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349"/>
      <c r="C259" s="1021" t="s">
        <v>634</v>
      </c>
      <c r="D259" s="1022">
        <v>12</v>
      </c>
      <c r="E259" s="1023" t="str">
        <f t="shared" ref="E259:AJ259" ca="1" si="118">IFERROR(1-(E258/OFFSET(A1_原単位2024,$D259,E$247+2)),"")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IFERROR(1-(AK258/OFFSET(A1_原単位2024,$D259,AK$247+2)),"")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347" t="s">
        <v>600</v>
      </c>
      <c r="C260" s="997" t="s">
        <v>625</v>
      </c>
      <c r="D260" s="998">
        <v>2025</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2025年度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348"/>
      <c r="C261" s="1002" t="str">
        <f>D260-1&amp;"/"&amp;D260</f>
        <v>2024/2025</v>
      </c>
      <c r="D261" s="1003" t="str">
        <f>""</f>
        <v/>
      </c>
      <c r="E261" s="1004" t="str">
        <f t="shared" ref="E261:AJ261" ca="1" si="121">OFFSET(A1_原単位2024,18,E$247+2)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OFFSET(A1_原単位2024,18,AK$247+2)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IFERROR(OFFSET(貼付け_2025実績,5,E260+1),"")&amp;""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IFERROR(OFFSET(貼付け_2025実績,5,AK260+1),"")&amp;""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348"/>
      <c r="C262" s="1002" t="str">
        <f>D260-1&amp;"&amp;"&amp;D260</f>
        <v>2024&amp;2025</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348"/>
      <c r="C263" s="1002" t="s">
        <v>626</v>
      </c>
      <c r="D263" s="1003" t="str">
        <f>""</f>
        <v/>
      </c>
      <c r="E263" s="1004" t="str">
        <f t="shared" ref="E263:AJ263" ca="1" si="125">IF(OFFSET(貼付け_2025実績,2,12)="■",BD261,IFERROR(INDEX($BD261:$DA261,MATCH(E262,$BD261:$DA261,0)),""))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IF(OFFSET(貼付け_2025実績,2,12)="■",CJ261,IFERROR(INDEX($BD261:$DA261,MATCH(AK262,$BD261:$DA261,0)),""))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348"/>
      <c r="C264" s="1006" t="s">
        <v>627</v>
      </c>
      <c r="D264" s="1007">
        <v>6</v>
      </c>
      <c r="E264" s="1008" t="str">
        <f ca="1">OFFSET(A1_名称2025,E$247+2,$D264)&amp;""</f>
        <v/>
      </c>
      <c r="F264" s="1008" t="str">
        <f t="shared" ref="F264:AJ264" ca="1" si="127">OFFSET(A1_名称2025,F$247+2,$D264)&amp;""</f>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OFFSET(A1_名称2025,AK$247+2,$D264)&amp;""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348"/>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348"/>
      <c r="C266" s="1011" t="s">
        <v>629</v>
      </c>
      <c r="D266" s="1012">
        <v>6</v>
      </c>
      <c r="E266" s="1013" t="str">
        <f t="shared" ref="E266:AJ266" ca="1" si="130">IFERROR(OFFSET(貼付け_2025実績,$D266,E265+1)&amp;"","")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IFERROR(OFFSET(貼付け_2025実績,$D266,AK265+1)&amp;"","")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348"/>
      <c r="C267" s="1017" t="s">
        <v>630</v>
      </c>
      <c r="D267" s="1018">
        <v>99</v>
      </c>
      <c r="E267" s="1019" t="str">
        <f t="shared" ref="E267:AJ267" ca="1" si="132">IFERROR(OFFSET(貼付け_2025実績,$D267,E265),"")&amp;""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IFERROR(OFFSET(貼付け_2025実績,$D267,AK265),"")&amp;""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348"/>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348"/>
      <c r="C269" s="1017" t="s">
        <v>632</v>
      </c>
      <c r="D269" s="1018">
        <v>101</v>
      </c>
      <c r="E269" s="1019" t="str">
        <f t="shared" ref="E269:AJ269" ca="1" si="134">IFERROR(OFFSET(貼付け_2025実績,$D269,E265),"")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IFERROR(OFFSET(貼付け_2025実績,$D269,AK265),"")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348"/>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349"/>
      <c r="C271" s="1021" t="s">
        <v>634</v>
      </c>
      <c r="D271" s="1022">
        <v>24</v>
      </c>
      <c r="E271" s="1023" t="str">
        <f t="shared" ref="E271:AJ271" ca="1" si="137">IFERROR(1-(E270/OFFSET(A1_原単位2024,$D271,E$247+2)),"")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IFERROR(1-(AK270/OFFSET(A1_原単位2024,$D271,AK$247+2)),"")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347" t="s">
        <v>635</v>
      </c>
      <c r="C272" s="997" t="s">
        <v>625</v>
      </c>
      <c r="D272" s="998">
        <v>2025</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2025年度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348"/>
      <c r="C273" s="1002" t="str">
        <f>D272-1&amp;"/"&amp;D272</f>
        <v>2024/2025</v>
      </c>
      <c r="D273" s="1003" t="str">
        <f>""</f>
        <v/>
      </c>
      <c r="E273" s="1004" t="str">
        <f t="shared" ref="E273:AJ273" ca="1" si="140">OFFSET(A1_原単位2024,30,E$247+2)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OFFSET(A1_原単位2024,30,AK$247+2)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IFERROR(OFFSET(貼付け_2025実績,5,E272+1),"")&amp;""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IFERROR(OFFSET(貼付け_2025実績,5,AK272+1),"")&amp;""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348"/>
      <c r="C274" s="1002" t="str">
        <f>D272-1&amp;"&amp;"&amp;D272</f>
        <v>2024&amp;2025</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348"/>
      <c r="C275" s="1002" t="s">
        <v>626</v>
      </c>
      <c r="D275" s="1003" t="str">
        <f>""</f>
        <v/>
      </c>
      <c r="E275" s="1004" t="str">
        <f t="shared" ref="E275:AJ275" ca="1" si="144">IF(OFFSET(貼付け_2025実績,2,12)="■",BD273,IFERROR(INDEX($BD273:$DA273,MATCH(E274,$BD273:$DA273,0)),""))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IF(OFFSET(貼付け_2025実績,2,12)="■",CJ273,IFERROR(INDEX($BD273:$DA273,MATCH(AK274,$BD273:$DA273,0)),""))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348"/>
      <c r="C276" s="1006" t="s">
        <v>627</v>
      </c>
      <c r="D276" s="1007">
        <v>10</v>
      </c>
      <c r="E276" s="1008" t="str">
        <f t="shared" ref="E276:AJ276" ca="1" si="146">OFFSET(A1_名称2025,E$247+2,$D276)&amp;""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OFFSET(A1_名称2025,AK$247+2,$D276)&amp;""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348"/>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348"/>
      <c r="C278" s="1011" t="s">
        <v>629</v>
      </c>
      <c r="D278" s="1012">
        <v>6</v>
      </c>
      <c r="E278" s="1013" t="str">
        <f t="shared" ref="E278:AJ278" ca="1" si="149">IFERROR(OFFSET(貼付け_2025実績,$D278,E277+1)&amp;"","")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IFERROR(OFFSET(貼付け_2025実績,$D278,AK277+1)&amp;"","")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348"/>
      <c r="C279" s="1017" t="s">
        <v>630</v>
      </c>
      <c r="D279" s="1018">
        <v>99</v>
      </c>
      <c r="E279" s="1019" t="str">
        <f t="shared" ref="E279:AJ279" ca="1" si="151">IFERROR(OFFSET(貼付け_2025実績,$D279,E277),"")&amp;""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IFERROR(OFFSET(貼付け_2025実績,$D279,AK277),"")&amp;""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348"/>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348"/>
      <c r="C281" s="1017" t="s">
        <v>632</v>
      </c>
      <c r="D281" s="1018">
        <v>101</v>
      </c>
      <c r="E281" s="1019" t="str">
        <f t="shared" ref="E281:AJ281" ca="1" si="153">IFERROR(OFFSET(貼付け_2025実績,$D281,E277),"")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IFERROR(OFFSET(貼付け_2025実績,$D281,AK277),"")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348"/>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349"/>
      <c r="C283" s="1021" t="s">
        <v>634</v>
      </c>
      <c r="D283" s="1022">
        <v>36</v>
      </c>
      <c r="E283" s="1023" t="str">
        <f t="shared" ref="E283:AJ283" ca="1" si="156">IFERROR(1-(E282/OFFSET(A1_原単位2024,$D283,E$247+2)),"")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IFERROR(1-(AK282/OFFSET(A1_原単位2024,$D283,AK$247+2)),"")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347" t="s">
        <v>636</v>
      </c>
      <c r="C284" s="997" t="s">
        <v>625</v>
      </c>
      <c r="D284" s="998">
        <v>2025</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2025年度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348"/>
      <c r="C285" s="1002" t="str">
        <f>D284-1&amp;"/"&amp;D284</f>
        <v>2024/2025</v>
      </c>
      <c r="D285" s="1003" t="str">
        <f>""</f>
        <v/>
      </c>
      <c r="E285" s="1004" t="str">
        <f t="shared" ref="E285:AJ285" ca="1" si="159">OFFSET(A1_原単位2024,42,E$247+2)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OFFSET(A1_原単位2024,42,AK$247+2)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IFERROR(OFFSET(貼付け_2025実績,5,E284+1),"")&amp;""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IFERROR(OFFSET(貼付け_2025実績,5,AK284+1),"")&amp;""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348"/>
      <c r="C286" s="1002" t="str">
        <f>D284-1&amp;"&amp;"&amp;D284</f>
        <v>2024&amp;2025</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348"/>
      <c r="C287" s="1002" t="s">
        <v>626</v>
      </c>
      <c r="D287" s="1003" t="str">
        <f>""</f>
        <v/>
      </c>
      <c r="E287" s="1004" t="str">
        <f t="shared" ref="E287:AJ287" ca="1" si="163">IF(OFFSET(貼付け_2025実績,2,12)="■",BD285,IFERROR(INDEX($BD285:$DA285,MATCH(E286,$BD285:$DA285,0)),""))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IF(OFFSET(貼付け_2025実績,2,12)="■",CJ285,IFERROR(INDEX($BD285:$DA285,MATCH(AK286,$BD285:$DA285,0)),""))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348"/>
      <c r="C288" s="1006" t="s">
        <v>627</v>
      </c>
      <c r="D288" s="1007">
        <v>14</v>
      </c>
      <c r="E288" s="1008" t="str">
        <f t="shared" ref="E288:AJ288" ca="1" si="165">OFFSET(A1_名称2025,E$247+2,$D288)&amp;""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OFFSET(A1_名称2025,AK$247+2,$D288)&amp;""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348"/>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348"/>
      <c r="C290" s="1011" t="s">
        <v>629</v>
      </c>
      <c r="D290" s="1012">
        <v>6</v>
      </c>
      <c r="E290" s="1013" t="str">
        <f t="shared" ref="E290:AJ290" ca="1" si="168">IFERROR(OFFSET(貼付け_2025実績,$D290,E289+1)&amp;"","")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IFERROR(OFFSET(貼付け_2025実績,$D290,AK289+1)&amp;"","")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348"/>
      <c r="C291" s="1017" t="s">
        <v>630</v>
      </c>
      <c r="D291" s="1018">
        <v>99</v>
      </c>
      <c r="E291" s="1019" t="str">
        <f t="shared" ref="E291:AJ291" ca="1" si="170">IFERROR(OFFSET(貼付け_2025実績,$D291,E289),"")&amp;""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IFERROR(OFFSET(貼付け_2025実績,$D291,AK289),"")&amp;""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348"/>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348"/>
      <c r="C293" s="1017" t="s">
        <v>632</v>
      </c>
      <c r="D293" s="1018">
        <v>101</v>
      </c>
      <c r="E293" s="1019" t="str">
        <f t="shared" ref="E293:AJ293" ca="1" si="172">IFERROR(OFFSET(貼付け_2025実績,$D293,E289),"")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IFERROR(OFFSET(貼付け_2025実績,$D293,AK289),"")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348"/>
      <c r="C294" s="1017" t="s">
        <v>633</v>
      </c>
      <c r="D294" s="1018" t="s">
        <v>1</v>
      </c>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349"/>
      <c r="C295" s="1021" t="s">
        <v>634</v>
      </c>
      <c r="D295" s="1022">
        <v>48</v>
      </c>
      <c r="E295" s="1023" t="str">
        <f t="shared" ref="E295:AJ295" ca="1" si="175">IFERROR(1-(E294/OFFSET(A1_原単位2024,$D295,E$247+2)),"")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IFERROR(1-(AK294/OFFSET(A1_原単位2024,$D295,AK$247+2)),"")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3.5" hidden="1" customHeight="1">
      <c r="A296" s="967">
        <v>50</v>
      </c>
      <c r="B296" s="1024" t="s">
        <v>637</v>
      </c>
      <c r="C296" s="1350" t="s">
        <v>654</v>
      </c>
      <c r="D296" s="1351"/>
      <c r="E296" s="1025" t="str">
        <f ca="1">IFERROR((SUMPRODUCT(E283:BB283,E280:BB280)+SUMPRODUCT(E295:BB295,E292:BB292))/SUM(E280:BB280,E292:BB292)*100,"")</f>
        <v/>
      </c>
      <c r="F296" s="1354" t="s">
        <v>640</v>
      </c>
      <c r="G296" s="1025" t="str">
        <f ca="1">IF(ROUND(SUMPRODUCT(1/COUNTIF(E302:BB303,E302:BB303)),0)-1&lt;&gt;1,"-",IFERROR(INDEX(E302:BB302,MATCH(TRUE,INDEX(E302:BB302&lt;&gt;"",),0)),INDEX(E303:BB303,MATCH(TRUE,INDEX(E303:BB303&lt;&gt;"",),0))))</f>
        <v>-</v>
      </c>
      <c r="H296" s="1354" t="s">
        <v>641</v>
      </c>
      <c r="I296" s="1025" t="str">
        <f ca="1">IF(G296="-","-",OFFSET(貼付け_2024実績,100,IFERROR(INDEX(E277:BB277,MATCH(G296,E279:BB279,0)),INDEX(E289:BB289,MATCH(G296,E291:BB291,0)))))</f>
        <v>-</v>
      </c>
      <c r="J296" s="1354" t="s">
        <v>642</v>
      </c>
      <c r="K296" s="1025" t="str">
        <f ca="1">IF(G296="-","-",SUM(E281:BB281,E293:BB293))</f>
        <v>-</v>
      </c>
      <c r="L296" s="1184" t="s">
        <v>1913</v>
      </c>
      <c r="M296" s="1185" t="str">
        <f ca="1">IFERROR((SUMPRODUCT(E283:BB283,E280:BB280)+SUMPRODUCT(E295:BB295,E292:BB292)+(SUMPRODUCT(E271:BB271,E268:BB268)+SUMPRODUCT(E256:BB256,E259:BB259)))/SUM(E280:BB280,E292:BB292,E268:BB268,E256:BB256)*100,"")</f>
        <v/>
      </c>
    </row>
    <row r="297" spans="1:242" ht="19.5" hidden="1" customHeight="1" thickBot="1">
      <c r="A297" s="967">
        <v>51</v>
      </c>
      <c r="B297" s="1026" t="s">
        <v>459</v>
      </c>
      <c r="C297" s="1352"/>
      <c r="D297" s="1353"/>
      <c r="E297" s="1027" t="str">
        <f ca="1">IFERROR(SUMPRODUCT(E271:BB271,E268:BB268)/SUM(E268:BB268)*100,"")</f>
        <v/>
      </c>
      <c r="F297" s="1355"/>
      <c r="G297" s="1028" t="str">
        <f ca="1">IF(SUMPRODUCT(1/COUNTIF(E301:BB301,E301:BB301))-1&lt;&gt;1,"-",INDEX(E301:BB301,MATCH(TRUE,INDEX(E301:BB301&lt;&gt;"",),0)))</f>
        <v>-</v>
      </c>
      <c r="H297" s="1355"/>
      <c r="I297" s="1028" t="str">
        <f ca="1">IF(G297="-","-",OFFSET(貼付け_2024実績,100,INDEX(E265:BB265,MATCH(G297,E267:BB267,0))))</f>
        <v>-</v>
      </c>
      <c r="J297" s="1355"/>
      <c r="K297" s="1028" t="str">
        <f ca="1">IF(G297="-","-",SUM(E269:BB269))</f>
        <v>-</v>
      </c>
      <c r="L297" s="1186" t="s">
        <v>1914</v>
      </c>
      <c r="M297" s="1187" t="str">
        <f ca="1">IFERROR((SUMPRODUCT(E271:BB271,E268:BB268)+SUMPRODUCT(E256:BB256,E259:BB259))/SUM(E268:BB268,E256:BB256)*100,"")</f>
        <v/>
      </c>
    </row>
    <row r="298" spans="1:242" ht="18.600000000000001" hidden="1" thickBot="1">
      <c r="A298" s="967">
        <v>52</v>
      </c>
    </row>
    <row r="299" spans="1:242" ht="18.600000000000001" hidden="1" thickBot="1">
      <c r="A299" s="967">
        <v>53</v>
      </c>
      <c r="B299" s="1356" t="s">
        <v>643</v>
      </c>
      <c r="C299" s="1357"/>
      <c r="D299" s="1358"/>
      <c r="E299" s="1029" t="str">
        <f t="shared" ref="E299:AJ299" ca="1" si="177">IF(E253="",OFFSET(A1_原単位2024,53,E247+2),IFERROR(OFFSET(貼付け_2025実績,6,E253+1)&amp;"",""))</f>
        <v/>
      </c>
      <c r="F299" s="1030" t="str">
        <f t="shared" ca="1" si="177"/>
        <v/>
      </c>
      <c r="G299" s="1030" t="str">
        <f t="shared" ca="1" si="177"/>
        <v/>
      </c>
      <c r="H299" s="1030" t="str">
        <f t="shared" ca="1" si="177"/>
        <v/>
      </c>
      <c r="I299" s="1030" t="str">
        <f t="shared" ca="1" si="177"/>
        <v/>
      </c>
      <c r="J299" s="1030" t="str">
        <f t="shared" ca="1" si="177"/>
        <v/>
      </c>
      <c r="K299" s="1030" t="str">
        <f t="shared" ca="1" si="177"/>
        <v/>
      </c>
      <c r="L299" s="1030" t="str">
        <f t="shared" ca="1" si="177"/>
        <v/>
      </c>
      <c r="M299" s="1030" t="str">
        <f t="shared" ca="1" si="177"/>
        <v/>
      </c>
      <c r="N299" s="1030" t="str">
        <f t="shared" ca="1" si="177"/>
        <v/>
      </c>
      <c r="O299" s="1030" t="str">
        <f t="shared" ca="1" si="177"/>
        <v/>
      </c>
      <c r="P299" s="1030" t="str">
        <f t="shared" ca="1" si="177"/>
        <v/>
      </c>
      <c r="Q299" s="1030" t="str">
        <f t="shared" ca="1" si="177"/>
        <v/>
      </c>
      <c r="R299" s="1030" t="str">
        <f t="shared" ca="1" si="177"/>
        <v/>
      </c>
      <c r="S299" s="1030" t="str">
        <f t="shared" ca="1" si="177"/>
        <v/>
      </c>
      <c r="T299" s="1030" t="str">
        <f t="shared" ca="1" si="177"/>
        <v/>
      </c>
      <c r="U299" s="1030" t="str">
        <f t="shared" ca="1" si="177"/>
        <v/>
      </c>
      <c r="V299" s="1030" t="str">
        <f t="shared" ca="1" si="177"/>
        <v/>
      </c>
      <c r="W299" s="1030" t="str">
        <f t="shared" ca="1" si="177"/>
        <v/>
      </c>
      <c r="X299" s="1030" t="str">
        <f t="shared" ca="1" si="177"/>
        <v/>
      </c>
      <c r="Y299" s="1030" t="str">
        <f t="shared" ca="1" si="177"/>
        <v/>
      </c>
      <c r="Z299" s="1030" t="str">
        <f t="shared" ca="1" si="177"/>
        <v/>
      </c>
      <c r="AA299" s="1030" t="str">
        <f t="shared" ca="1" si="177"/>
        <v/>
      </c>
      <c r="AB299" s="1030" t="str">
        <f t="shared" ca="1" si="177"/>
        <v/>
      </c>
      <c r="AC299" s="1030" t="str">
        <f t="shared" ca="1" si="177"/>
        <v/>
      </c>
      <c r="AD299" s="1030" t="str">
        <f t="shared" ca="1" si="177"/>
        <v/>
      </c>
      <c r="AE299" s="1030" t="str">
        <f t="shared" ca="1" si="177"/>
        <v/>
      </c>
      <c r="AF299" s="1030" t="str">
        <f t="shared" ca="1" si="177"/>
        <v/>
      </c>
      <c r="AG299" s="1030" t="str">
        <f t="shared" ca="1" si="177"/>
        <v/>
      </c>
      <c r="AH299" s="1030" t="str">
        <f t="shared" ca="1" si="177"/>
        <v/>
      </c>
      <c r="AI299" s="1030" t="str">
        <f t="shared" ca="1" si="177"/>
        <v/>
      </c>
      <c r="AJ299" s="1030" t="str">
        <f t="shared" ca="1" si="177"/>
        <v/>
      </c>
      <c r="AK299" s="1030" t="str">
        <f t="shared" ref="AK299:BB299" ca="1" si="178">IF(AK253="",OFFSET(A1_原単位2024,53,AK247+2),IFERROR(OFFSET(貼付け_2025実績,6,AK253+1)&amp;"",""))</f>
        <v/>
      </c>
      <c r="AL299" s="1030" t="str">
        <f t="shared" ca="1" si="178"/>
        <v/>
      </c>
      <c r="AM299" s="1030" t="str">
        <f t="shared" ca="1" si="178"/>
        <v/>
      </c>
      <c r="AN299" s="1030" t="str">
        <f t="shared" ca="1" si="178"/>
        <v/>
      </c>
      <c r="AO299" s="1030" t="str">
        <f t="shared" ca="1" si="178"/>
        <v/>
      </c>
      <c r="AP299" s="1030" t="str">
        <f t="shared" ca="1" si="178"/>
        <v/>
      </c>
      <c r="AQ299" s="1030" t="str">
        <f t="shared" ca="1" si="178"/>
        <v/>
      </c>
      <c r="AR299" s="1030" t="str">
        <f t="shared" ca="1" si="178"/>
        <v/>
      </c>
      <c r="AS299" s="1030" t="str">
        <f t="shared" ca="1" si="178"/>
        <v/>
      </c>
      <c r="AT299" s="1030" t="str">
        <f t="shared" ca="1" si="178"/>
        <v/>
      </c>
      <c r="AU299" s="1030" t="str">
        <f t="shared" ca="1" si="178"/>
        <v/>
      </c>
      <c r="AV299" s="1030" t="str">
        <f t="shared" ca="1" si="178"/>
        <v/>
      </c>
      <c r="AW299" s="1030" t="str">
        <f t="shared" ca="1" si="178"/>
        <v/>
      </c>
      <c r="AX299" s="1030" t="str">
        <f t="shared" ca="1" si="178"/>
        <v/>
      </c>
      <c r="AY299" s="1030" t="str">
        <f t="shared" ca="1" si="178"/>
        <v/>
      </c>
      <c r="AZ299" s="1030" t="str">
        <f t="shared" ca="1" si="178"/>
        <v/>
      </c>
      <c r="BA299" s="1030" t="str">
        <f t="shared" ca="1" si="178"/>
        <v/>
      </c>
      <c r="BB299" s="1031" t="str">
        <f t="shared" ca="1" si="178"/>
        <v/>
      </c>
    </row>
    <row r="300" spans="1:242" hidden="1">
      <c r="A300" s="967">
        <v>54</v>
      </c>
      <c r="B300" s="1344" t="s">
        <v>644</v>
      </c>
      <c r="C300" s="1032" t="s">
        <v>458</v>
      </c>
      <c r="D300" s="1033"/>
      <c r="E300" s="969" t="str">
        <f ca="1">E255</f>
        <v/>
      </c>
      <c r="F300" s="969" t="str">
        <f t="shared" ref="F300:BB300" ca="1" si="179">F255</f>
        <v/>
      </c>
      <c r="G300" s="969" t="str">
        <f t="shared" ca="1" si="179"/>
        <v/>
      </c>
      <c r="H300" s="969" t="str">
        <f t="shared" ca="1" si="179"/>
        <v/>
      </c>
      <c r="I300" s="969" t="str">
        <f t="shared" ca="1" si="179"/>
        <v/>
      </c>
      <c r="J300" s="969" t="str">
        <f t="shared" ca="1" si="179"/>
        <v/>
      </c>
      <c r="K300" s="969" t="str">
        <f t="shared" ca="1" si="179"/>
        <v/>
      </c>
      <c r="L300" s="969" t="str">
        <f t="shared" ca="1" si="179"/>
        <v/>
      </c>
      <c r="M300" s="969" t="str">
        <f t="shared" ca="1" si="179"/>
        <v/>
      </c>
      <c r="N300" s="969" t="str">
        <f t="shared" ca="1" si="179"/>
        <v/>
      </c>
      <c r="O300" s="969" t="str">
        <f t="shared" ca="1" si="179"/>
        <v/>
      </c>
      <c r="P300" s="969" t="str">
        <f t="shared" ca="1" si="179"/>
        <v/>
      </c>
      <c r="Q300" s="969" t="str">
        <f t="shared" ca="1" si="179"/>
        <v/>
      </c>
      <c r="R300" s="969" t="str">
        <f t="shared" ca="1" si="179"/>
        <v/>
      </c>
      <c r="S300" s="969" t="str">
        <f t="shared" ca="1" si="179"/>
        <v/>
      </c>
      <c r="T300" s="969" t="str">
        <f t="shared" ca="1" si="179"/>
        <v/>
      </c>
      <c r="U300" s="969" t="str">
        <f t="shared" ca="1" si="179"/>
        <v/>
      </c>
      <c r="V300" s="969" t="str">
        <f t="shared" ca="1" si="179"/>
        <v/>
      </c>
      <c r="W300" s="969" t="str">
        <f t="shared" ca="1" si="179"/>
        <v/>
      </c>
      <c r="X300" s="969" t="str">
        <f t="shared" ca="1" si="179"/>
        <v/>
      </c>
      <c r="Y300" s="969" t="str">
        <f t="shared" ca="1" si="179"/>
        <v/>
      </c>
      <c r="Z300" s="969" t="str">
        <f t="shared" ca="1" si="179"/>
        <v/>
      </c>
      <c r="AA300" s="969" t="str">
        <f t="shared" ca="1" si="179"/>
        <v/>
      </c>
      <c r="AB300" s="969" t="str">
        <f t="shared" ca="1" si="179"/>
        <v/>
      </c>
      <c r="AC300" s="969" t="str">
        <f t="shared" ca="1" si="179"/>
        <v/>
      </c>
      <c r="AD300" s="969" t="str">
        <f t="shared" ca="1" si="179"/>
        <v/>
      </c>
      <c r="AE300" s="969" t="str">
        <f t="shared" ca="1" si="179"/>
        <v/>
      </c>
      <c r="AF300" s="969" t="str">
        <f t="shared" ca="1" si="179"/>
        <v/>
      </c>
      <c r="AG300" s="969" t="str">
        <f t="shared" ca="1" si="179"/>
        <v/>
      </c>
      <c r="AH300" s="969" t="str">
        <f t="shared" ca="1" si="179"/>
        <v/>
      </c>
      <c r="AI300" s="969" t="str">
        <f t="shared" ca="1" si="179"/>
        <v/>
      </c>
      <c r="AJ300" s="969" t="str">
        <f t="shared" ca="1" si="179"/>
        <v/>
      </c>
      <c r="AK300" s="969" t="str">
        <f t="shared" ca="1" si="179"/>
        <v/>
      </c>
      <c r="AL300" s="969" t="str">
        <f t="shared" ca="1" si="179"/>
        <v/>
      </c>
      <c r="AM300" s="969" t="str">
        <f t="shared" ca="1" si="179"/>
        <v/>
      </c>
      <c r="AN300" s="969" t="str">
        <f t="shared" ca="1" si="179"/>
        <v/>
      </c>
      <c r="AO300" s="969" t="str">
        <f t="shared" ca="1" si="179"/>
        <v/>
      </c>
      <c r="AP300" s="969" t="str">
        <f t="shared" ca="1" si="179"/>
        <v/>
      </c>
      <c r="AQ300" s="969" t="str">
        <f t="shared" ca="1" si="179"/>
        <v/>
      </c>
      <c r="AR300" s="969" t="str">
        <f t="shared" ca="1" si="179"/>
        <v/>
      </c>
      <c r="AS300" s="969" t="str">
        <f t="shared" ca="1" si="179"/>
        <v/>
      </c>
      <c r="AT300" s="969" t="str">
        <f t="shared" ca="1" si="179"/>
        <v/>
      </c>
      <c r="AU300" s="969" t="str">
        <f t="shared" ca="1" si="179"/>
        <v/>
      </c>
      <c r="AV300" s="969" t="str">
        <f t="shared" ca="1" si="179"/>
        <v/>
      </c>
      <c r="AW300" s="969" t="str">
        <f t="shared" ca="1" si="179"/>
        <v/>
      </c>
      <c r="AX300" s="969" t="str">
        <f t="shared" ca="1" si="179"/>
        <v/>
      </c>
      <c r="AY300" s="969" t="str">
        <f t="shared" ca="1" si="179"/>
        <v/>
      </c>
      <c r="AZ300" s="969" t="str">
        <f t="shared" ca="1" si="179"/>
        <v/>
      </c>
      <c r="BA300" s="969" t="str">
        <f t="shared" ca="1" si="179"/>
        <v/>
      </c>
      <c r="BB300" s="969" t="str">
        <f t="shared" ca="1" si="179"/>
        <v/>
      </c>
    </row>
    <row r="301" spans="1:242" hidden="1">
      <c r="A301" s="967">
        <v>55</v>
      </c>
      <c r="B301" s="1345"/>
      <c r="C301" s="1034" t="s">
        <v>459</v>
      </c>
      <c r="D301" s="1035"/>
      <c r="E301" s="971" t="str">
        <f ca="1">E267</f>
        <v/>
      </c>
      <c r="F301" s="971" t="str">
        <f t="shared" ref="F301:BB301" ca="1" si="180">F267</f>
        <v/>
      </c>
      <c r="G301" s="971" t="str">
        <f t="shared" ca="1" si="180"/>
        <v/>
      </c>
      <c r="H301" s="971" t="str">
        <f t="shared" ca="1" si="180"/>
        <v/>
      </c>
      <c r="I301" s="971" t="str">
        <f t="shared" ca="1" si="180"/>
        <v/>
      </c>
      <c r="J301" s="971" t="str">
        <f t="shared" ca="1" si="180"/>
        <v/>
      </c>
      <c r="K301" s="971" t="str">
        <f t="shared" ca="1" si="180"/>
        <v/>
      </c>
      <c r="L301" s="971" t="str">
        <f t="shared" ca="1" si="180"/>
        <v/>
      </c>
      <c r="M301" s="971" t="str">
        <f t="shared" ca="1" si="180"/>
        <v/>
      </c>
      <c r="N301" s="971" t="str">
        <f t="shared" ca="1" si="180"/>
        <v/>
      </c>
      <c r="O301" s="971" t="str">
        <f t="shared" ca="1" si="180"/>
        <v/>
      </c>
      <c r="P301" s="971" t="str">
        <f t="shared" ca="1" si="180"/>
        <v/>
      </c>
      <c r="Q301" s="971" t="str">
        <f t="shared" ca="1" si="180"/>
        <v/>
      </c>
      <c r="R301" s="971" t="str">
        <f t="shared" ca="1" si="180"/>
        <v/>
      </c>
      <c r="S301" s="971" t="str">
        <f t="shared" ca="1" si="180"/>
        <v/>
      </c>
      <c r="T301" s="971" t="str">
        <f t="shared" ca="1" si="180"/>
        <v/>
      </c>
      <c r="U301" s="971" t="str">
        <f t="shared" ca="1" si="180"/>
        <v/>
      </c>
      <c r="V301" s="971" t="str">
        <f t="shared" ca="1" si="180"/>
        <v/>
      </c>
      <c r="W301" s="971" t="str">
        <f t="shared" ca="1" si="180"/>
        <v/>
      </c>
      <c r="X301" s="971" t="str">
        <f t="shared" ca="1" si="180"/>
        <v/>
      </c>
      <c r="Y301" s="971" t="str">
        <f t="shared" ca="1" si="180"/>
        <v/>
      </c>
      <c r="Z301" s="971" t="str">
        <f t="shared" ca="1" si="180"/>
        <v/>
      </c>
      <c r="AA301" s="971" t="str">
        <f t="shared" ca="1" si="180"/>
        <v/>
      </c>
      <c r="AB301" s="971" t="str">
        <f t="shared" ca="1" si="180"/>
        <v/>
      </c>
      <c r="AC301" s="971" t="str">
        <f t="shared" ca="1" si="180"/>
        <v/>
      </c>
      <c r="AD301" s="971" t="str">
        <f t="shared" ca="1" si="180"/>
        <v/>
      </c>
      <c r="AE301" s="971" t="str">
        <f t="shared" ca="1" si="180"/>
        <v/>
      </c>
      <c r="AF301" s="971" t="str">
        <f t="shared" ca="1" si="180"/>
        <v/>
      </c>
      <c r="AG301" s="971" t="str">
        <f t="shared" ca="1" si="180"/>
        <v/>
      </c>
      <c r="AH301" s="971" t="str">
        <f t="shared" ca="1" si="180"/>
        <v/>
      </c>
      <c r="AI301" s="971" t="str">
        <f t="shared" ca="1" si="180"/>
        <v/>
      </c>
      <c r="AJ301" s="971" t="str">
        <f t="shared" ca="1" si="180"/>
        <v/>
      </c>
      <c r="AK301" s="971" t="str">
        <f t="shared" ca="1" si="180"/>
        <v/>
      </c>
      <c r="AL301" s="971" t="str">
        <f t="shared" ca="1" si="180"/>
        <v/>
      </c>
      <c r="AM301" s="971" t="str">
        <f t="shared" ca="1" si="180"/>
        <v/>
      </c>
      <c r="AN301" s="971" t="str">
        <f t="shared" ca="1" si="180"/>
        <v/>
      </c>
      <c r="AO301" s="971" t="str">
        <f t="shared" ca="1" si="180"/>
        <v/>
      </c>
      <c r="AP301" s="971" t="str">
        <f t="shared" ca="1" si="180"/>
        <v/>
      </c>
      <c r="AQ301" s="971" t="str">
        <f t="shared" ca="1" si="180"/>
        <v/>
      </c>
      <c r="AR301" s="971" t="str">
        <f t="shared" ca="1" si="180"/>
        <v/>
      </c>
      <c r="AS301" s="971" t="str">
        <f t="shared" ca="1" si="180"/>
        <v/>
      </c>
      <c r="AT301" s="971" t="str">
        <f t="shared" ca="1" si="180"/>
        <v/>
      </c>
      <c r="AU301" s="971" t="str">
        <f t="shared" ca="1" si="180"/>
        <v/>
      </c>
      <c r="AV301" s="971" t="str">
        <f t="shared" ca="1" si="180"/>
        <v/>
      </c>
      <c r="AW301" s="971" t="str">
        <f t="shared" ca="1" si="180"/>
        <v/>
      </c>
      <c r="AX301" s="971" t="str">
        <f t="shared" ca="1" si="180"/>
        <v/>
      </c>
      <c r="AY301" s="971" t="str">
        <f t="shared" ca="1" si="180"/>
        <v/>
      </c>
      <c r="AZ301" s="971" t="str">
        <f t="shared" ca="1" si="180"/>
        <v/>
      </c>
      <c r="BA301" s="971" t="str">
        <f t="shared" ca="1" si="180"/>
        <v/>
      </c>
      <c r="BB301" s="971" t="str">
        <f t="shared" ca="1" si="180"/>
        <v/>
      </c>
    </row>
    <row r="302" spans="1:242" hidden="1">
      <c r="A302" s="967">
        <v>56</v>
      </c>
      <c r="B302" s="1345"/>
      <c r="C302" s="1034" t="s">
        <v>460</v>
      </c>
      <c r="D302" s="1035"/>
      <c r="E302" s="971" t="str">
        <f ca="1">E279</f>
        <v/>
      </c>
      <c r="F302" s="971" t="str">
        <f t="shared" ref="F302:BB302" ca="1" si="181">F279</f>
        <v/>
      </c>
      <c r="G302" s="971" t="str">
        <f t="shared" ca="1" si="181"/>
        <v/>
      </c>
      <c r="H302" s="971" t="str">
        <f t="shared" ca="1" si="181"/>
        <v/>
      </c>
      <c r="I302" s="971" t="str">
        <f t="shared" ca="1" si="181"/>
        <v/>
      </c>
      <c r="J302" s="971" t="str">
        <f t="shared" ca="1" si="181"/>
        <v/>
      </c>
      <c r="K302" s="971" t="str">
        <f t="shared" ca="1" si="181"/>
        <v/>
      </c>
      <c r="L302" s="971" t="str">
        <f t="shared" ca="1" si="181"/>
        <v/>
      </c>
      <c r="M302" s="971" t="str">
        <f t="shared" ca="1" si="181"/>
        <v/>
      </c>
      <c r="N302" s="971" t="str">
        <f t="shared" ca="1" si="181"/>
        <v/>
      </c>
      <c r="O302" s="971" t="str">
        <f t="shared" ca="1" si="181"/>
        <v/>
      </c>
      <c r="P302" s="971" t="str">
        <f t="shared" ca="1" si="181"/>
        <v/>
      </c>
      <c r="Q302" s="971" t="str">
        <f t="shared" ca="1" si="181"/>
        <v/>
      </c>
      <c r="R302" s="971" t="str">
        <f t="shared" ca="1" si="181"/>
        <v/>
      </c>
      <c r="S302" s="971" t="str">
        <f t="shared" ca="1" si="181"/>
        <v/>
      </c>
      <c r="T302" s="971" t="str">
        <f t="shared" ca="1" si="181"/>
        <v/>
      </c>
      <c r="U302" s="971" t="str">
        <f t="shared" ca="1" si="181"/>
        <v/>
      </c>
      <c r="V302" s="971" t="str">
        <f t="shared" ca="1" si="181"/>
        <v/>
      </c>
      <c r="W302" s="971" t="str">
        <f t="shared" ca="1" si="181"/>
        <v/>
      </c>
      <c r="X302" s="971" t="str">
        <f t="shared" ca="1" si="181"/>
        <v/>
      </c>
      <c r="Y302" s="971" t="str">
        <f t="shared" ca="1" si="181"/>
        <v/>
      </c>
      <c r="Z302" s="971" t="str">
        <f t="shared" ca="1" si="181"/>
        <v/>
      </c>
      <c r="AA302" s="971" t="str">
        <f t="shared" ca="1" si="181"/>
        <v/>
      </c>
      <c r="AB302" s="971" t="str">
        <f t="shared" ca="1" si="181"/>
        <v/>
      </c>
      <c r="AC302" s="971" t="str">
        <f t="shared" ca="1" si="181"/>
        <v/>
      </c>
      <c r="AD302" s="971" t="str">
        <f t="shared" ca="1" si="181"/>
        <v/>
      </c>
      <c r="AE302" s="971" t="str">
        <f t="shared" ca="1" si="181"/>
        <v/>
      </c>
      <c r="AF302" s="971" t="str">
        <f t="shared" ca="1" si="181"/>
        <v/>
      </c>
      <c r="AG302" s="971" t="str">
        <f t="shared" ca="1" si="181"/>
        <v/>
      </c>
      <c r="AH302" s="971" t="str">
        <f t="shared" ca="1" si="181"/>
        <v/>
      </c>
      <c r="AI302" s="971" t="str">
        <f t="shared" ca="1" si="181"/>
        <v/>
      </c>
      <c r="AJ302" s="971" t="str">
        <f t="shared" ca="1" si="181"/>
        <v/>
      </c>
      <c r="AK302" s="971" t="str">
        <f t="shared" ca="1" si="181"/>
        <v/>
      </c>
      <c r="AL302" s="971" t="str">
        <f t="shared" ca="1" si="181"/>
        <v/>
      </c>
      <c r="AM302" s="971" t="str">
        <f t="shared" ca="1" si="181"/>
        <v/>
      </c>
      <c r="AN302" s="971" t="str">
        <f t="shared" ca="1" si="181"/>
        <v/>
      </c>
      <c r="AO302" s="971" t="str">
        <f t="shared" ca="1" si="181"/>
        <v/>
      </c>
      <c r="AP302" s="971" t="str">
        <f t="shared" ca="1" si="181"/>
        <v/>
      </c>
      <c r="AQ302" s="971" t="str">
        <f t="shared" ca="1" si="181"/>
        <v/>
      </c>
      <c r="AR302" s="971" t="str">
        <f t="shared" ca="1" si="181"/>
        <v/>
      </c>
      <c r="AS302" s="971" t="str">
        <f t="shared" ca="1" si="181"/>
        <v/>
      </c>
      <c r="AT302" s="971" t="str">
        <f t="shared" ca="1" si="181"/>
        <v/>
      </c>
      <c r="AU302" s="971" t="str">
        <f t="shared" ca="1" si="181"/>
        <v/>
      </c>
      <c r="AV302" s="971" t="str">
        <f t="shared" ca="1" si="181"/>
        <v/>
      </c>
      <c r="AW302" s="971" t="str">
        <f t="shared" ca="1" si="181"/>
        <v/>
      </c>
      <c r="AX302" s="971" t="str">
        <f t="shared" ca="1" si="181"/>
        <v/>
      </c>
      <c r="AY302" s="971" t="str">
        <f t="shared" ca="1" si="181"/>
        <v/>
      </c>
      <c r="AZ302" s="971" t="str">
        <f t="shared" ca="1" si="181"/>
        <v/>
      </c>
      <c r="BA302" s="971" t="str">
        <f t="shared" ca="1" si="181"/>
        <v/>
      </c>
      <c r="BB302" s="971" t="str">
        <f t="shared" ca="1" si="181"/>
        <v/>
      </c>
    </row>
    <row r="303" spans="1:242" ht="18.600000000000001" hidden="1" thickBot="1">
      <c r="A303" s="967">
        <v>57</v>
      </c>
      <c r="B303" s="1346"/>
      <c r="C303" s="1036" t="s">
        <v>461</v>
      </c>
      <c r="D303" s="1037"/>
      <c r="E303" s="973" t="str">
        <f ca="1">E291</f>
        <v/>
      </c>
      <c r="F303" s="973" t="str">
        <f t="shared" ref="F303:BB303" ca="1" si="182">F291</f>
        <v/>
      </c>
      <c r="G303" s="973" t="str">
        <f t="shared" ca="1" si="182"/>
        <v/>
      </c>
      <c r="H303" s="973" t="str">
        <f t="shared" ca="1" si="182"/>
        <v/>
      </c>
      <c r="I303" s="973" t="str">
        <f t="shared" ca="1" si="182"/>
        <v/>
      </c>
      <c r="J303" s="973" t="str">
        <f t="shared" ca="1" si="182"/>
        <v/>
      </c>
      <c r="K303" s="973" t="str">
        <f t="shared" ca="1" si="182"/>
        <v/>
      </c>
      <c r="L303" s="973" t="str">
        <f t="shared" ca="1" si="182"/>
        <v/>
      </c>
      <c r="M303" s="973" t="str">
        <f t="shared" ca="1" si="182"/>
        <v/>
      </c>
      <c r="N303" s="973" t="str">
        <f t="shared" ca="1" si="182"/>
        <v/>
      </c>
      <c r="O303" s="973" t="str">
        <f t="shared" ca="1" si="182"/>
        <v/>
      </c>
      <c r="P303" s="973" t="str">
        <f t="shared" ca="1" si="182"/>
        <v/>
      </c>
      <c r="Q303" s="973" t="str">
        <f t="shared" ca="1" si="182"/>
        <v/>
      </c>
      <c r="R303" s="973" t="str">
        <f t="shared" ca="1" si="182"/>
        <v/>
      </c>
      <c r="S303" s="973" t="str">
        <f t="shared" ca="1" si="182"/>
        <v/>
      </c>
      <c r="T303" s="973" t="str">
        <f t="shared" ca="1" si="182"/>
        <v/>
      </c>
      <c r="U303" s="973" t="str">
        <f t="shared" ca="1" si="182"/>
        <v/>
      </c>
      <c r="V303" s="973" t="str">
        <f t="shared" ca="1" si="182"/>
        <v/>
      </c>
      <c r="W303" s="973" t="str">
        <f t="shared" ca="1" si="182"/>
        <v/>
      </c>
      <c r="X303" s="973" t="str">
        <f t="shared" ca="1" si="182"/>
        <v/>
      </c>
      <c r="Y303" s="973" t="str">
        <f t="shared" ca="1" si="182"/>
        <v/>
      </c>
      <c r="Z303" s="973" t="str">
        <f t="shared" ca="1" si="182"/>
        <v/>
      </c>
      <c r="AA303" s="973" t="str">
        <f t="shared" ca="1" si="182"/>
        <v/>
      </c>
      <c r="AB303" s="973" t="str">
        <f t="shared" ca="1" si="182"/>
        <v/>
      </c>
      <c r="AC303" s="973" t="str">
        <f t="shared" ca="1" si="182"/>
        <v/>
      </c>
      <c r="AD303" s="973" t="str">
        <f t="shared" ca="1" si="182"/>
        <v/>
      </c>
      <c r="AE303" s="973" t="str">
        <f t="shared" ca="1" si="182"/>
        <v/>
      </c>
      <c r="AF303" s="973" t="str">
        <f t="shared" ca="1" si="182"/>
        <v/>
      </c>
      <c r="AG303" s="973" t="str">
        <f t="shared" ca="1" si="182"/>
        <v/>
      </c>
      <c r="AH303" s="973" t="str">
        <f t="shared" ca="1" si="182"/>
        <v/>
      </c>
      <c r="AI303" s="973" t="str">
        <f t="shared" ca="1" si="182"/>
        <v/>
      </c>
      <c r="AJ303" s="973" t="str">
        <f t="shared" ca="1" si="182"/>
        <v/>
      </c>
      <c r="AK303" s="973" t="str">
        <f t="shared" ca="1" si="182"/>
        <v/>
      </c>
      <c r="AL303" s="973" t="str">
        <f t="shared" ca="1" si="182"/>
        <v/>
      </c>
      <c r="AM303" s="973" t="str">
        <f t="shared" ca="1" si="182"/>
        <v/>
      </c>
      <c r="AN303" s="973" t="str">
        <f t="shared" ca="1" si="182"/>
        <v/>
      </c>
      <c r="AO303" s="973" t="str">
        <f t="shared" ca="1" si="182"/>
        <v/>
      </c>
      <c r="AP303" s="973" t="str">
        <f t="shared" ca="1" si="182"/>
        <v/>
      </c>
      <c r="AQ303" s="973" t="str">
        <f t="shared" ca="1" si="182"/>
        <v/>
      </c>
      <c r="AR303" s="973" t="str">
        <f t="shared" ca="1" si="182"/>
        <v/>
      </c>
      <c r="AS303" s="973" t="str">
        <f t="shared" ca="1" si="182"/>
        <v/>
      </c>
      <c r="AT303" s="973" t="str">
        <f t="shared" ca="1" si="182"/>
        <v/>
      </c>
      <c r="AU303" s="973" t="str">
        <f t="shared" ca="1" si="182"/>
        <v/>
      </c>
      <c r="AV303" s="973" t="str">
        <f t="shared" ca="1" si="182"/>
        <v/>
      </c>
      <c r="AW303" s="973" t="str">
        <f t="shared" ca="1" si="182"/>
        <v/>
      </c>
      <c r="AX303" s="973" t="str">
        <f t="shared" ca="1" si="182"/>
        <v/>
      </c>
      <c r="AY303" s="973" t="str">
        <f t="shared" ca="1" si="182"/>
        <v/>
      </c>
      <c r="AZ303" s="973" t="str">
        <f t="shared" ca="1" si="182"/>
        <v/>
      </c>
      <c r="BA303" s="973" t="str">
        <f t="shared" ca="1" si="182"/>
        <v/>
      </c>
      <c r="BB303" s="973" t="str">
        <f t="shared" ca="1" si="182"/>
        <v/>
      </c>
    </row>
    <row r="304" spans="1:242" hidden="1">
      <c r="A304" s="967">
        <v>58</v>
      </c>
      <c r="B304" s="1344" t="s">
        <v>645</v>
      </c>
      <c r="C304" s="1032" t="s">
        <v>458</v>
      </c>
      <c r="D304" s="1033"/>
      <c r="E304" s="969" t="str">
        <f t="shared" ref="E304:AJ304" ca="1" si="183">OFFSET(A1_原単位2024,9,E247+2)</f>
        <v/>
      </c>
      <c r="F304" s="969" t="str">
        <f t="shared" ca="1" si="183"/>
        <v/>
      </c>
      <c r="G304" s="969" t="str">
        <f t="shared" ca="1" si="183"/>
        <v/>
      </c>
      <c r="H304" s="969" t="str">
        <f t="shared" ca="1" si="183"/>
        <v/>
      </c>
      <c r="I304" s="969" t="str">
        <f t="shared" ca="1" si="183"/>
        <v/>
      </c>
      <c r="J304" s="969" t="str">
        <f t="shared" ca="1" si="183"/>
        <v/>
      </c>
      <c r="K304" s="969" t="str">
        <f t="shared" ca="1" si="183"/>
        <v/>
      </c>
      <c r="L304" s="969" t="str">
        <f t="shared" ca="1" si="183"/>
        <v/>
      </c>
      <c r="M304" s="969" t="str">
        <f t="shared" ca="1" si="183"/>
        <v/>
      </c>
      <c r="N304" s="969" t="str">
        <f t="shared" ca="1" si="183"/>
        <v/>
      </c>
      <c r="O304" s="969" t="str">
        <f t="shared" ca="1" si="183"/>
        <v/>
      </c>
      <c r="P304" s="969" t="str">
        <f t="shared" ca="1" si="183"/>
        <v/>
      </c>
      <c r="Q304" s="969" t="str">
        <f t="shared" ca="1" si="183"/>
        <v/>
      </c>
      <c r="R304" s="969" t="str">
        <f t="shared" ca="1" si="183"/>
        <v/>
      </c>
      <c r="S304" s="969" t="str">
        <f t="shared" ca="1" si="183"/>
        <v/>
      </c>
      <c r="T304" s="969" t="str">
        <f t="shared" ca="1" si="183"/>
        <v/>
      </c>
      <c r="U304" s="969" t="str">
        <f t="shared" ca="1" si="183"/>
        <v/>
      </c>
      <c r="V304" s="969" t="str">
        <f t="shared" ca="1" si="183"/>
        <v/>
      </c>
      <c r="W304" s="969" t="str">
        <f t="shared" ca="1" si="183"/>
        <v/>
      </c>
      <c r="X304" s="969" t="str">
        <f t="shared" ca="1" si="183"/>
        <v/>
      </c>
      <c r="Y304" s="969" t="str">
        <f t="shared" ca="1" si="183"/>
        <v/>
      </c>
      <c r="Z304" s="969" t="str">
        <f t="shared" ca="1" si="183"/>
        <v/>
      </c>
      <c r="AA304" s="969" t="str">
        <f t="shared" ca="1" si="183"/>
        <v/>
      </c>
      <c r="AB304" s="969" t="str">
        <f t="shared" ca="1" si="183"/>
        <v/>
      </c>
      <c r="AC304" s="969" t="str">
        <f t="shared" ca="1" si="183"/>
        <v/>
      </c>
      <c r="AD304" s="969" t="str">
        <f t="shared" ca="1" si="183"/>
        <v/>
      </c>
      <c r="AE304" s="969" t="str">
        <f t="shared" ca="1" si="183"/>
        <v/>
      </c>
      <c r="AF304" s="969" t="str">
        <f t="shared" ca="1" si="183"/>
        <v/>
      </c>
      <c r="AG304" s="969" t="str">
        <f t="shared" ca="1" si="183"/>
        <v/>
      </c>
      <c r="AH304" s="969" t="str">
        <f t="shared" ca="1" si="183"/>
        <v/>
      </c>
      <c r="AI304" s="969" t="str">
        <f t="shared" ca="1" si="183"/>
        <v/>
      </c>
      <c r="AJ304" s="969" t="str">
        <f t="shared" ca="1" si="183"/>
        <v/>
      </c>
      <c r="AK304" s="969" t="str">
        <f t="shared" ref="AK304:BB304" ca="1" si="184">OFFSET(A1_原単位2024,9,AK247+2)</f>
        <v/>
      </c>
      <c r="AL304" s="969" t="str">
        <f t="shared" ca="1" si="184"/>
        <v/>
      </c>
      <c r="AM304" s="969" t="str">
        <f t="shared" ca="1" si="184"/>
        <v/>
      </c>
      <c r="AN304" s="969" t="str">
        <f t="shared" ca="1" si="184"/>
        <v/>
      </c>
      <c r="AO304" s="969" t="str">
        <f t="shared" ca="1" si="184"/>
        <v/>
      </c>
      <c r="AP304" s="969" t="str">
        <f t="shared" ca="1" si="184"/>
        <v/>
      </c>
      <c r="AQ304" s="969" t="str">
        <f t="shared" ca="1" si="184"/>
        <v/>
      </c>
      <c r="AR304" s="969" t="str">
        <f t="shared" ca="1" si="184"/>
        <v/>
      </c>
      <c r="AS304" s="969" t="str">
        <f t="shared" ca="1" si="184"/>
        <v/>
      </c>
      <c r="AT304" s="969" t="str">
        <f t="shared" ca="1" si="184"/>
        <v/>
      </c>
      <c r="AU304" s="969" t="str">
        <f t="shared" ca="1" si="184"/>
        <v/>
      </c>
      <c r="AV304" s="969" t="str">
        <f t="shared" ca="1" si="184"/>
        <v/>
      </c>
      <c r="AW304" s="969" t="str">
        <f t="shared" ca="1" si="184"/>
        <v/>
      </c>
      <c r="AX304" s="969" t="str">
        <f t="shared" ca="1" si="184"/>
        <v/>
      </c>
      <c r="AY304" s="969" t="str">
        <f t="shared" ca="1" si="184"/>
        <v/>
      </c>
      <c r="AZ304" s="969" t="str">
        <f t="shared" ca="1" si="184"/>
        <v/>
      </c>
      <c r="BA304" s="969" t="str">
        <f t="shared" ca="1" si="184"/>
        <v/>
      </c>
      <c r="BB304" s="969" t="str">
        <f t="shared" ca="1" si="184"/>
        <v/>
      </c>
    </row>
    <row r="305" spans="1:54" hidden="1">
      <c r="A305" s="967">
        <v>59</v>
      </c>
      <c r="B305" s="1345"/>
      <c r="C305" s="1034" t="s">
        <v>459</v>
      </c>
      <c r="D305" s="1035"/>
      <c r="E305" s="971" t="str">
        <f t="shared" ref="E305:AJ305" ca="1" si="185">OFFSET(A1_原単位2024,9+12,E247+2)</f>
        <v/>
      </c>
      <c r="F305" s="971" t="str">
        <f t="shared" ca="1" si="185"/>
        <v/>
      </c>
      <c r="G305" s="971" t="str">
        <f t="shared" ca="1" si="185"/>
        <v/>
      </c>
      <c r="H305" s="971" t="str">
        <f t="shared" ca="1" si="185"/>
        <v/>
      </c>
      <c r="I305" s="971" t="str">
        <f t="shared" ca="1" si="185"/>
        <v/>
      </c>
      <c r="J305" s="971" t="str">
        <f t="shared" ca="1" si="185"/>
        <v/>
      </c>
      <c r="K305" s="971" t="str">
        <f t="shared" ca="1" si="185"/>
        <v/>
      </c>
      <c r="L305" s="971" t="str">
        <f t="shared" ca="1" si="185"/>
        <v/>
      </c>
      <c r="M305" s="971" t="str">
        <f t="shared" ca="1" si="185"/>
        <v/>
      </c>
      <c r="N305" s="971" t="str">
        <f t="shared" ca="1" si="185"/>
        <v/>
      </c>
      <c r="O305" s="971" t="str">
        <f t="shared" ca="1" si="185"/>
        <v/>
      </c>
      <c r="P305" s="971" t="str">
        <f t="shared" ca="1" si="185"/>
        <v/>
      </c>
      <c r="Q305" s="971" t="str">
        <f t="shared" ca="1" si="185"/>
        <v/>
      </c>
      <c r="R305" s="971" t="str">
        <f t="shared" ca="1" si="185"/>
        <v/>
      </c>
      <c r="S305" s="971" t="str">
        <f t="shared" ca="1" si="185"/>
        <v/>
      </c>
      <c r="T305" s="971" t="str">
        <f t="shared" ca="1" si="185"/>
        <v/>
      </c>
      <c r="U305" s="971" t="str">
        <f t="shared" ca="1" si="185"/>
        <v/>
      </c>
      <c r="V305" s="971" t="str">
        <f t="shared" ca="1" si="185"/>
        <v/>
      </c>
      <c r="W305" s="971" t="str">
        <f t="shared" ca="1" si="185"/>
        <v/>
      </c>
      <c r="X305" s="971" t="str">
        <f t="shared" ca="1" si="185"/>
        <v/>
      </c>
      <c r="Y305" s="971" t="str">
        <f t="shared" ca="1" si="185"/>
        <v/>
      </c>
      <c r="Z305" s="971" t="str">
        <f t="shared" ca="1" si="185"/>
        <v/>
      </c>
      <c r="AA305" s="971" t="str">
        <f t="shared" ca="1" si="185"/>
        <v/>
      </c>
      <c r="AB305" s="971" t="str">
        <f t="shared" ca="1" si="185"/>
        <v/>
      </c>
      <c r="AC305" s="971" t="str">
        <f t="shared" ca="1" si="185"/>
        <v/>
      </c>
      <c r="AD305" s="971" t="str">
        <f t="shared" ca="1" si="185"/>
        <v/>
      </c>
      <c r="AE305" s="971" t="str">
        <f t="shared" ca="1" si="185"/>
        <v/>
      </c>
      <c r="AF305" s="971" t="str">
        <f t="shared" ca="1" si="185"/>
        <v/>
      </c>
      <c r="AG305" s="971" t="str">
        <f t="shared" ca="1" si="185"/>
        <v/>
      </c>
      <c r="AH305" s="971" t="str">
        <f t="shared" ca="1" si="185"/>
        <v/>
      </c>
      <c r="AI305" s="971" t="str">
        <f t="shared" ca="1" si="185"/>
        <v/>
      </c>
      <c r="AJ305" s="971" t="str">
        <f t="shared" ca="1" si="185"/>
        <v/>
      </c>
      <c r="AK305" s="971" t="str">
        <f t="shared" ref="AK305:BB305" ca="1" si="186">OFFSET(A1_原単位2024,9+12,AK247+2)</f>
        <v/>
      </c>
      <c r="AL305" s="971" t="str">
        <f t="shared" ca="1" si="186"/>
        <v/>
      </c>
      <c r="AM305" s="971" t="str">
        <f t="shared" ca="1" si="186"/>
        <v/>
      </c>
      <c r="AN305" s="971" t="str">
        <f t="shared" ca="1" si="186"/>
        <v/>
      </c>
      <c r="AO305" s="971" t="str">
        <f t="shared" ca="1" si="186"/>
        <v/>
      </c>
      <c r="AP305" s="971" t="str">
        <f t="shared" ca="1" si="186"/>
        <v/>
      </c>
      <c r="AQ305" s="971" t="str">
        <f t="shared" ca="1" si="186"/>
        <v/>
      </c>
      <c r="AR305" s="971" t="str">
        <f t="shared" ca="1" si="186"/>
        <v/>
      </c>
      <c r="AS305" s="971" t="str">
        <f t="shared" ca="1" si="186"/>
        <v/>
      </c>
      <c r="AT305" s="971" t="str">
        <f t="shared" ca="1" si="186"/>
        <v/>
      </c>
      <c r="AU305" s="971" t="str">
        <f t="shared" ca="1" si="186"/>
        <v/>
      </c>
      <c r="AV305" s="971" t="str">
        <f t="shared" ca="1" si="186"/>
        <v/>
      </c>
      <c r="AW305" s="971" t="str">
        <f t="shared" ca="1" si="186"/>
        <v/>
      </c>
      <c r="AX305" s="971" t="str">
        <f t="shared" ca="1" si="186"/>
        <v/>
      </c>
      <c r="AY305" s="971" t="str">
        <f t="shared" ca="1" si="186"/>
        <v/>
      </c>
      <c r="AZ305" s="971" t="str">
        <f t="shared" ca="1" si="186"/>
        <v/>
      </c>
      <c r="BA305" s="971" t="str">
        <f t="shared" ca="1" si="186"/>
        <v/>
      </c>
      <c r="BB305" s="972" t="str">
        <f t="shared" ca="1" si="186"/>
        <v/>
      </c>
    </row>
    <row r="306" spans="1:54" hidden="1">
      <c r="A306" s="967">
        <v>60</v>
      </c>
      <c r="B306" s="1345"/>
      <c r="C306" s="1034" t="s">
        <v>460</v>
      </c>
      <c r="D306" s="1035"/>
      <c r="E306" s="971" t="str">
        <f t="shared" ref="E306:AJ306" ca="1" si="187">OFFSET(A1_原単位2024,9+24,E247+2)</f>
        <v/>
      </c>
      <c r="F306" s="971" t="str">
        <f t="shared" ca="1" si="187"/>
        <v/>
      </c>
      <c r="G306" s="971" t="str">
        <f t="shared" ca="1" si="187"/>
        <v/>
      </c>
      <c r="H306" s="971" t="str">
        <f t="shared" ca="1" si="187"/>
        <v/>
      </c>
      <c r="I306" s="971" t="str">
        <f t="shared" ca="1" si="187"/>
        <v/>
      </c>
      <c r="J306" s="971" t="str">
        <f t="shared" ca="1" si="187"/>
        <v/>
      </c>
      <c r="K306" s="971" t="str">
        <f t="shared" ca="1" si="187"/>
        <v/>
      </c>
      <c r="L306" s="971" t="str">
        <f t="shared" ca="1" si="187"/>
        <v/>
      </c>
      <c r="M306" s="971" t="str">
        <f t="shared" ca="1" si="187"/>
        <v/>
      </c>
      <c r="N306" s="971" t="str">
        <f t="shared" ca="1" si="187"/>
        <v/>
      </c>
      <c r="O306" s="971" t="str">
        <f t="shared" ca="1" si="187"/>
        <v/>
      </c>
      <c r="P306" s="971" t="str">
        <f t="shared" ca="1" si="187"/>
        <v/>
      </c>
      <c r="Q306" s="971" t="str">
        <f t="shared" ca="1" si="187"/>
        <v/>
      </c>
      <c r="R306" s="971" t="str">
        <f t="shared" ca="1" si="187"/>
        <v/>
      </c>
      <c r="S306" s="971" t="str">
        <f t="shared" ca="1" si="187"/>
        <v/>
      </c>
      <c r="T306" s="971" t="str">
        <f t="shared" ca="1" si="187"/>
        <v/>
      </c>
      <c r="U306" s="971" t="str">
        <f t="shared" ca="1" si="187"/>
        <v/>
      </c>
      <c r="V306" s="971" t="str">
        <f t="shared" ca="1" si="187"/>
        <v/>
      </c>
      <c r="W306" s="971" t="str">
        <f t="shared" ca="1" si="187"/>
        <v/>
      </c>
      <c r="X306" s="971" t="str">
        <f t="shared" ca="1" si="187"/>
        <v/>
      </c>
      <c r="Y306" s="971" t="str">
        <f t="shared" ca="1" si="187"/>
        <v/>
      </c>
      <c r="Z306" s="971" t="str">
        <f t="shared" ca="1" si="187"/>
        <v/>
      </c>
      <c r="AA306" s="971" t="str">
        <f t="shared" ca="1" si="187"/>
        <v/>
      </c>
      <c r="AB306" s="971" t="str">
        <f t="shared" ca="1" si="187"/>
        <v/>
      </c>
      <c r="AC306" s="971" t="str">
        <f t="shared" ca="1" si="187"/>
        <v/>
      </c>
      <c r="AD306" s="971" t="str">
        <f t="shared" ca="1" si="187"/>
        <v/>
      </c>
      <c r="AE306" s="971" t="str">
        <f t="shared" ca="1" si="187"/>
        <v/>
      </c>
      <c r="AF306" s="971" t="str">
        <f t="shared" ca="1" si="187"/>
        <v/>
      </c>
      <c r="AG306" s="971" t="str">
        <f t="shared" ca="1" si="187"/>
        <v/>
      </c>
      <c r="AH306" s="971" t="str">
        <f t="shared" ca="1" si="187"/>
        <v/>
      </c>
      <c r="AI306" s="971" t="str">
        <f t="shared" ca="1" si="187"/>
        <v/>
      </c>
      <c r="AJ306" s="971" t="str">
        <f t="shared" ca="1" si="187"/>
        <v/>
      </c>
      <c r="AK306" s="971" t="str">
        <f t="shared" ref="AK306:BB306" ca="1" si="188">OFFSET(A1_原単位2024,9+24,AK247+2)</f>
        <v/>
      </c>
      <c r="AL306" s="971" t="str">
        <f t="shared" ca="1" si="188"/>
        <v/>
      </c>
      <c r="AM306" s="971" t="str">
        <f t="shared" ca="1" si="188"/>
        <v/>
      </c>
      <c r="AN306" s="971" t="str">
        <f t="shared" ca="1" si="188"/>
        <v/>
      </c>
      <c r="AO306" s="971" t="str">
        <f t="shared" ca="1" si="188"/>
        <v/>
      </c>
      <c r="AP306" s="971" t="str">
        <f t="shared" ca="1" si="188"/>
        <v/>
      </c>
      <c r="AQ306" s="971" t="str">
        <f t="shared" ca="1" si="188"/>
        <v/>
      </c>
      <c r="AR306" s="971" t="str">
        <f t="shared" ca="1" si="188"/>
        <v/>
      </c>
      <c r="AS306" s="971" t="str">
        <f t="shared" ca="1" si="188"/>
        <v/>
      </c>
      <c r="AT306" s="971" t="str">
        <f t="shared" ca="1" si="188"/>
        <v/>
      </c>
      <c r="AU306" s="971" t="str">
        <f t="shared" ca="1" si="188"/>
        <v/>
      </c>
      <c r="AV306" s="971" t="str">
        <f t="shared" ca="1" si="188"/>
        <v/>
      </c>
      <c r="AW306" s="971" t="str">
        <f t="shared" ca="1" si="188"/>
        <v/>
      </c>
      <c r="AX306" s="971" t="str">
        <f t="shared" ca="1" si="188"/>
        <v/>
      </c>
      <c r="AY306" s="971" t="str">
        <f t="shared" ca="1" si="188"/>
        <v/>
      </c>
      <c r="AZ306" s="971" t="str">
        <f t="shared" ca="1" si="188"/>
        <v/>
      </c>
      <c r="BA306" s="971" t="str">
        <f t="shared" ca="1" si="188"/>
        <v/>
      </c>
      <c r="BB306" s="972" t="str">
        <f t="shared" ca="1" si="188"/>
        <v/>
      </c>
    </row>
    <row r="307" spans="1:54" ht="18.600000000000001" hidden="1" thickBot="1">
      <c r="A307" s="967">
        <v>61</v>
      </c>
      <c r="B307" s="1346"/>
      <c r="C307" s="1036" t="s">
        <v>461</v>
      </c>
      <c r="D307" s="1037"/>
      <c r="E307" s="973" t="str">
        <f t="shared" ref="E307:AJ307" ca="1" si="189">OFFSET(A1_原単位2024,9+36,E247+2)</f>
        <v/>
      </c>
      <c r="F307" s="973" t="str">
        <f t="shared" ca="1" si="189"/>
        <v/>
      </c>
      <c r="G307" s="973" t="str">
        <f t="shared" ca="1" si="189"/>
        <v/>
      </c>
      <c r="H307" s="973" t="str">
        <f t="shared" ca="1" si="189"/>
        <v/>
      </c>
      <c r="I307" s="973" t="str">
        <f t="shared" ca="1" si="189"/>
        <v/>
      </c>
      <c r="J307" s="973" t="str">
        <f t="shared" ca="1" si="189"/>
        <v/>
      </c>
      <c r="K307" s="973" t="str">
        <f t="shared" ca="1" si="189"/>
        <v/>
      </c>
      <c r="L307" s="973" t="str">
        <f t="shared" ca="1" si="189"/>
        <v/>
      </c>
      <c r="M307" s="973" t="str">
        <f t="shared" ca="1" si="189"/>
        <v/>
      </c>
      <c r="N307" s="973" t="str">
        <f t="shared" ca="1" si="189"/>
        <v/>
      </c>
      <c r="O307" s="973" t="str">
        <f t="shared" ca="1" si="189"/>
        <v/>
      </c>
      <c r="P307" s="973" t="str">
        <f t="shared" ca="1" si="189"/>
        <v/>
      </c>
      <c r="Q307" s="973" t="str">
        <f t="shared" ca="1" si="189"/>
        <v/>
      </c>
      <c r="R307" s="973" t="str">
        <f t="shared" ca="1" si="189"/>
        <v/>
      </c>
      <c r="S307" s="973" t="str">
        <f t="shared" ca="1" si="189"/>
        <v/>
      </c>
      <c r="T307" s="973" t="str">
        <f t="shared" ca="1" si="189"/>
        <v/>
      </c>
      <c r="U307" s="973" t="str">
        <f t="shared" ca="1" si="189"/>
        <v/>
      </c>
      <c r="V307" s="973" t="str">
        <f t="shared" ca="1" si="189"/>
        <v/>
      </c>
      <c r="W307" s="973" t="str">
        <f t="shared" ca="1" si="189"/>
        <v/>
      </c>
      <c r="X307" s="973" t="str">
        <f t="shared" ca="1" si="189"/>
        <v/>
      </c>
      <c r="Y307" s="973" t="str">
        <f t="shared" ca="1" si="189"/>
        <v/>
      </c>
      <c r="Z307" s="973" t="str">
        <f t="shared" ca="1" si="189"/>
        <v/>
      </c>
      <c r="AA307" s="973" t="str">
        <f t="shared" ca="1" si="189"/>
        <v/>
      </c>
      <c r="AB307" s="973" t="str">
        <f t="shared" ca="1" si="189"/>
        <v/>
      </c>
      <c r="AC307" s="973" t="str">
        <f t="shared" ca="1" si="189"/>
        <v/>
      </c>
      <c r="AD307" s="973" t="str">
        <f t="shared" ca="1" si="189"/>
        <v/>
      </c>
      <c r="AE307" s="973" t="str">
        <f t="shared" ca="1" si="189"/>
        <v/>
      </c>
      <c r="AF307" s="973" t="str">
        <f t="shared" ca="1" si="189"/>
        <v/>
      </c>
      <c r="AG307" s="973" t="str">
        <f t="shared" ca="1" si="189"/>
        <v/>
      </c>
      <c r="AH307" s="973" t="str">
        <f t="shared" ca="1" si="189"/>
        <v/>
      </c>
      <c r="AI307" s="973" t="str">
        <f t="shared" ca="1" si="189"/>
        <v/>
      </c>
      <c r="AJ307" s="973" t="str">
        <f t="shared" ca="1" si="189"/>
        <v/>
      </c>
      <c r="AK307" s="973" t="str">
        <f t="shared" ref="AK307:BB307" ca="1" si="190">OFFSET(A1_原単位2024,9+36,AK247+2)</f>
        <v/>
      </c>
      <c r="AL307" s="973" t="str">
        <f t="shared" ca="1" si="190"/>
        <v/>
      </c>
      <c r="AM307" s="973" t="str">
        <f t="shared" ca="1" si="190"/>
        <v/>
      </c>
      <c r="AN307" s="973" t="str">
        <f t="shared" ca="1" si="190"/>
        <v/>
      </c>
      <c r="AO307" s="973" t="str">
        <f t="shared" ca="1" si="190"/>
        <v/>
      </c>
      <c r="AP307" s="973" t="str">
        <f t="shared" ca="1" si="190"/>
        <v/>
      </c>
      <c r="AQ307" s="973" t="str">
        <f t="shared" ca="1" si="190"/>
        <v/>
      </c>
      <c r="AR307" s="973" t="str">
        <f t="shared" ca="1" si="190"/>
        <v/>
      </c>
      <c r="AS307" s="973" t="str">
        <f t="shared" ca="1" si="190"/>
        <v/>
      </c>
      <c r="AT307" s="973" t="str">
        <f t="shared" ca="1" si="190"/>
        <v/>
      </c>
      <c r="AU307" s="973" t="str">
        <f t="shared" ca="1" si="190"/>
        <v/>
      </c>
      <c r="AV307" s="973" t="str">
        <f t="shared" ca="1" si="190"/>
        <v/>
      </c>
      <c r="AW307" s="973" t="str">
        <f t="shared" ca="1" si="190"/>
        <v/>
      </c>
      <c r="AX307" s="973" t="str">
        <f t="shared" ca="1" si="190"/>
        <v/>
      </c>
      <c r="AY307" s="973" t="str">
        <f t="shared" ca="1" si="190"/>
        <v/>
      </c>
      <c r="AZ307" s="973" t="str">
        <f t="shared" ca="1" si="190"/>
        <v/>
      </c>
      <c r="BA307" s="973" t="str">
        <f t="shared" ca="1" si="190"/>
        <v/>
      </c>
      <c r="BB307" s="974" t="str">
        <f t="shared" ca="1" si="190"/>
        <v/>
      </c>
    </row>
    <row r="308" spans="1:54" hidden="1">
      <c r="A308" s="967">
        <v>62</v>
      </c>
      <c r="B308" s="1344" t="s">
        <v>646</v>
      </c>
      <c r="C308" s="1032" t="s">
        <v>458</v>
      </c>
      <c r="D308" s="1038"/>
      <c r="E308" s="969" t="str">
        <f ca="1">IF(AND($HE$10="",$HG$10=""),IF(AND(E300="",E252&lt;&gt;""),"&lt;"&amp;E312&amp;"&gt;要入力",IF(OR(E300=E304,E300="",E304=""),"","&lt;"&amp;E312&amp;"&gt;要修正("&amp;E300&amp;"→"&amp;E304&amp;")")),"")</f>
        <v/>
      </c>
      <c r="F308" s="969" t="str">
        <f t="shared" ref="F308:BB308" ca="1" si="191">IF(AND($HE$10="",$HG$10=""),IF(AND(F300="",F252&lt;&gt;""),"&lt;"&amp;F312&amp;"&gt;要入力",IF(OR(F300=F304,F300="",F304=""),"","&lt;"&amp;F312&amp;"&gt;要修正("&amp;F300&amp;"→"&amp;F304&amp;")")),"")</f>
        <v/>
      </c>
      <c r="G308" s="969" t="str">
        <f t="shared" ca="1" si="191"/>
        <v/>
      </c>
      <c r="H308" s="969" t="str">
        <f t="shared" ca="1" si="191"/>
        <v/>
      </c>
      <c r="I308" s="969" t="str">
        <f t="shared" ca="1" si="191"/>
        <v/>
      </c>
      <c r="J308" s="969" t="str">
        <f t="shared" ca="1" si="191"/>
        <v/>
      </c>
      <c r="K308" s="969" t="str">
        <f t="shared" ca="1" si="191"/>
        <v/>
      </c>
      <c r="L308" s="969" t="str">
        <f t="shared" ca="1" si="191"/>
        <v/>
      </c>
      <c r="M308" s="969" t="str">
        <f t="shared" ca="1" si="191"/>
        <v/>
      </c>
      <c r="N308" s="969" t="str">
        <f t="shared" ca="1" si="191"/>
        <v/>
      </c>
      <c r="O308" s="969" t="str">
        <f t="shared" ca="1" si="191"/>
        <v/>
      </c>
      <c r="P308" s="969" t="str">
        <f t="shared" ca="1" si="191"/>
        <v/>
      </c>
      <c r="Q308" s="969" t="str">
        <f t="shared" ca="1" si="191"/>
        <v/>
      </c>
      <c r="R308" s="969" t="str">
        <f t="shared" ca="1" si="191"/>
        <v/>
      </c>
      <c r="S308" s="969" t="str">
        <f t="shared" ca="1" si="191"/>
        <v/>
      </c>
      <c r="T308" s="969" t="str">
        <f t="shared" ca="1" si="191"/>
        <v/>
      </c>
      <c r="U308" s="969" t="str">
        <f t="shared" ca="1" si="191"/>
        <v/>
      </c>
      <c r="V308" s="969" t="str">
        <f t="shared" ca="1" si="191"/>
        <v/>
      </c>
      <c r="W308" s="969" t="str">
        <f t="shared" ca="1" si="191"/>
        <v/>
      </c>
      <c r="X308" s="969" t="str">
        <f t="shared" ca="1" si="191"/>
        <v/>
      </c>
      <c r="Y308" s="969" t="str">
        <f t="shared" ca="1" si="191"/>
        <v/>
      </c>
      <c r="Z308" s="969" t="str">
        <f t="shared" ca="1" si="191"/>
        <v/>
      </c>
      <c r="AA308" s="969" t="str">
        <f t="shared" ca="1" si="191"/>
        <v/>
      </c>
      <c r="AB308" s="969" t="str">
        <f t="shared" ca="1" si="191"/>
        <v/>
      </c>
      <c r="AC308" s="969" t="str">
        <f t="shared" ca="1" si="191"/>
        <v/>
      </c>
      <c r="AD308" s="969" t="str">
        <f t="shared" ca="1" si="191"/>
        <v/>
      </c>
      <c r="AE308" s="969" t="str">
        <f t="shared" ca="1" si="191"/>
        <v/>
      </c>
      <c r="AF308" s="969" t="str">
        <f t="shared" ca="1" si="191"/>
        <v/>
      </c>
      <c r="AG308" s="969" t="str">
        <f t="shared" ca="1" si="191"/>
        <v/>
      </c>
      <c r="AH308" s="969" t="str">
        <f t="shared" ca="1" si="191"/>
        <v/>
      </c>
      <c r="AI308" s="969" t="str">
        <f t="shared" ca="1" si="191"/>
        <v/>
      </c>
      <c r="AJ308" s="969" t="str">
        <f t="shared" ca="1" si="191"/>
        <v/>
      </c>
      <c r="AK308" s="969" t="str">
        <f t="shared" ca="1" si="191"/>
        <v/>
      </c>
      <c r="AL308" s="969" t="str">
        <f t="shared" ca="1" si="191"/>
        <v/>
      </c>
      <c r="AM308" s="969" t="str">
        <f t="shared" ca="1" si="191"/>
        <v/>
      </c>
      <c r="AN308" s="969" t="str">
        <f t="shared" ca="1" si="191"/>
        <v/>
      </c>
      <c r="AO308" s="969" t="str">
        <f t="shared" ca="1" si="191"/>
        <v/>
      </c>
      <c r="AP308" s="969" t="str">
        <f t="shared" ca="1" si="191"/>
        <v/>
      </c>
      <c r="AQ308" s="969" t="str">
        <f t="shared" ca="1" si="191"/>
        <v/>
      </c>
      <c r="AR308" s="969" t="str">
        <f t="shared" ca="1" si="191"/>
        <v/>
      </c>
      <c r="AS308" s="969" t="str">
        <f t="shared" ca="1" si="191"/>
        <v/>
      </c>
      <c r="AT308" s="969" t="str">
        <f t="shared" ca="1" si="191"/>
        <v/>
      </c>
      <c r="AU308" s="969" t="str">
        <f t="shared" ca="1" si="191"/>
        <v/>
      </c>
      <c r="AV308" s="969" t="str">
        <f t="shared" ca="1" si="191"/>
        <v/>
      </c>
      <c r="AW308" s="969" t="str">
        <f t="shared" ca="1" si="191"/>
        <v/>
      </c>
      <c r="AX308" s="969" t="str">
        <f t="shared" ca="1" si="191"/>
        <v/>
      </c>
      <c r="AY308" s="969" t="str">
        <f t="shared" ca="1" si="191"/>
        <v/>
      </c>
      <c r="AZ308" s="969" t="str">
        <f t="shared" ca="1" si="191"/>
        <v/>
      </c>
      <c r="BA308" s="969" t="str">
        <f t="shared" ca="1" si="191"/>
        <v/>
      </c>
      <c r="BB308" s="969" t="str">
        <f t="shared" ca="1" si="191"/>
        <v/>
      </c>
    </row>
    <row r="309" spans="1:54" hidden="1">
      <c r="A309" s="967">
        <v>63</v>
      </c>
      <c r="B309" s="1345"/>
      <c r="C309" s="1034" t="s">
        <v>459</v>
      </c>
      <c r="D309" s="1039"/>
      <c r="E309" s="971" t="str">
        <f ca="1">IF(AND($HE$10="",$HG$10=""),IF(AND(E301="",E264&lt;&gt;""),"&lt;"&amp;E313&amp;"&gt;要入力",IF(OR(E301=E305,E301="",E305=""),"","&lt;"&amp;E313&amp;"&gt;要修正("&amp;E301&amp;"→"&amp;E305&amp;")")),"")</f>
        <v/>
      </c>
      <c r="F309" s="971" t="str">
        <f t="shared" ref="F309:BB309" ca="1" si="192">IF(AND($HE$10="",$HG$10=""),IF(AND(F301="",F264&lt;&gt;""),"&lt;"&amp;F313&amp;"&gt;要入力",IF(OR(F301=F305,F301="",F305=""),"","&lt;"&amp;F313&amp;"&gt;要修正("&amp;F301&amp;"→"&amp;F305&amp;")")),"")</f>
        <v/>
      </c>
      <c r="G309" s="971" t="str">
        <f t="shared" ca="1" si="192"/>
        <v/>
      </c>
      <c r="H309" s="971" t="str">
        <f t="shared" ca="1" si="192"/>
        <v/>
      </c>
      <c r="I309" s="971" t="str">
        <f t="shared" ca="1" si="192"/>
        <v/>
      </c>
      <c r="J309" s="971" t="str">
        <f t="shared" ca="1" si="192"/>
        <v/>
      </c>
      <c r="K309" s="971" t="str">
        <f t="shared" ca="1" si="192"/>
        <v/>
      </c>
      <c r="L309" s="971" t="str">
        <f t="shared" ca="1" si="192"/>
        <v/>
      </c>
      <c r="M309" s="971" t="str">
        <f t="shared" ca="1" si="192"/>
        <v/>
      </c>
      <c r="N309" s="971" t="str">
        <f t="shared" ca="1" si="192"/>
        <v/>
      </c>
      <c r="O309" s="971" t="str">
        <f t="shared" ca="1" si="192"/>
        <v/>
      </c>
      <c r="P309" s="971" t="str">
        <f t="shared" ca="1" si="192"/>
        <v/>
      </c>
      <c r="Q309" s="971" t="str">
        <f t="shared" ca="1" si="192"/>
        <v/>
      </c>
      <c r="R309" s="971" t="str">
        <f t="shared" ca="1" si="192"/>
        <v/>
      </c>
      <c r="S309" s="971" t="str">
        <f t="shared" ca="1" si="192"/>
        <v/>
      </c>
      <c r="T309" s="971" t="str">
        <f t="shared" ca="1" si="192"/>
        <v/>
      </c>
      <c r="U309" s="971" t="str">
        <f t="shared" ca="1" si="192"/>
        <v/>
      </c>
      <c r="V309" s="971" t="str">
        <f t="shared" ca="1" si="192"/>
        <v/>
      </c>
      <c r="W309" s="971" t="str">
        <f t="shared" ca="1" si="192"/>
        <v/>
      </c>
      <c r="X309" s="971" t="str">
        <f t="shared" ca="1" si="192"/>
        <v/>
      </c>
      <c r="Y309" s="971" t="str">
        <f t="shared" ca="1" si="192"/>
        <v/>
      </c>
      <c r="Z309" s="971" t="str">
        <f t="shared" ca="1" si="192"/>
        <v/>
      </c>
      <c r="AA309" s="971" t="str">
        <f t="shared" ca="1" si="192"/>
        <v/>
      </c>
      <c r="AB309" s="971" t="str">
        <f t="shared" ca="1" si="192"/>
        <v/>
      </c>
      <c r="AC309" s="971" t="str">
        <f t="shared" ca="1" si="192"/>
        <v/>
      </c>
      <c r="AD309" s="971" t="str">
        <f t="shared" ca="1" si="192"/>
        <v/>
      </c>
      <c r="AE309" s="971" t="str">
        <f t="shared" ca="1" si="192"/>
        <v/>
      </c>
      <c r="AF309" s="971" t="str">
        <f t="shared" ca="1" si="192"/>
        <v/>
      </c>
      <c r="AG309" s="971" t="str">
        <f t="shared" ca="1" si="192"/>
        <v/>
      </c>
      <c r="AH309" s="971" t="str">
        <f t="shared" ca="1" si="192"/>
        <v/>
      </c>
      <c r="AI309" s="971" t="str">
        <f t="shared" ca="1" si="192"/>
        <v/>
      </c>
      <c r="AJ309" s="971" t="str">
        <f t="shared" ca="1" si="192"/>
        <v/>
      </c>
      <c r="AK309" s="971" t="str">
        <f t="shared" ca="1" si="192"/>
        <v/>
      </c>
      <c r="AL309" s="971" t="str">
        <f t="shared" ca="1" si="192"/>
        <v/>
      </c>
      <c r="AM309" s="971" t="str">
        <f t="shared" ca="1" si="192"/>
        <v/>
      </c>
      <c r="AN309" s="971" t="str">
        <f t="shared" ca="1" si="192"/>
        <v/>
      </c>
      <c r="AO309" s="971" t="str">
        <f t="shared" ca="1" si="192"/>
        <v/>
      </c>
      <c r="AP309" s="971" t="str">
        <f t="shared" ca="1" si="192"/>
        <v/>
      </c>
      <c r="AQ309" s="971" t="str">
        <f t="shared" ca="1" si="192"/>
        <v/>
      </c>
      <c r="AR309" s="971" t="str">
        <f t="shared" ca="1" si="192"/>
        <v/>
      </c>
      <c r="AS309" s="971" t="str">
        <f t="shared" ca="1" si="192"/>
        <v/>
      </c>
      <c r="AT309" s="971" t="str">
        <f t="shared" ca="1" si="192"/>
        <v/>
      </c>
      <c r="AU309" s="971" t="str">
        <f t="shared" ca="1" si="192"/>
        <v/>
      </c>
      <c r="AV309" s="971" t="str">
        <f t="shared" ca="1" si="192"/>
        <v/>
      </c>
      <c r="AW309" s="971" t="str">
        <f t="shared" ca="1" si="192"/>
        <v/>
      </c>
      <c r="AX309" s="971" t="str">
        <f t="shared" ca="1" si="192"/>
        <v/>
      </c>
      <c r="AY309" s="971" t="str">
        <f t="shared" ca="1" si="192"/>
        <v/>
      </c>
      <c r="AZ309" s="971" t="str">
        <f t="shared" ca="1" si="192"/>
        <v/>
      </c>
      <c r="BA309" s="971" t="str">
        <f t="shared" ca="1" si="192"/>
        <v/>
      </c>
      <c r="BB309" s="971" t="str">
        <f t="shared" ca="1" si="192"/>
        <v/>
      </c>
    </row>
    <row r="310" spans="1:54" hidden="1">
      <c r="A310" s="967">
        <v>64</v>
      </c>
      <c r="B310" s="1345"/>
      <c r="C310" s="1034" t="s">
        <v>460</v>
      </c>
      <c r="D310" s="1039"/>
      <c r="E310" s="971" t="str">
        <f ca="1">IF(AND($HE$10="",$HG$10=""),IF(AND(E302="",E276&lt;&gt;""),"&lt;"&amp;E314&amp;"&gt;要入力",IF(OR(E302=E306,E302="",E306=""),"","&lt;"&amp;E314&amp;"&gt;要修正("&amp;E302&amp;"→"&amp;E306&amp;")")),"")</f>
        <v/>
      </c>
      <c r="F310" s="971" t="str">
        <f t="shared" ref="F310:BB310" ca="1" si="193">IF(AND($HE$10="",$HG$10=""),IF(AND(F302="",F276&lt;&gt;""),"&lt;"&amp;F314&amp;"&gt;要入力",IF(OR(F302=F306,F302="",F306=""),"","&lt;"&amp;F314&amp;"&gt;要修正("&amp;F302&amp;"→"&amp;F306&amp;")")),"")</f>
        <v/>
      </c>
      <c r="G310" s="971" t="str">
        <f t="shared" ca="1" si="193"/>
        <v/>
      </c>
      <c r="H310" s="971" t="str">
        <f t="shared" ca="1" si="193"/>
        <v/>
      </c>
      <c r="I310" s="971" t="str">
        <f t="shared" ca="1" si="193"/>
        <v/>
      </c>
      <c r="J310" s="971" t="str">
        <f t="shared" ca="1" si="193"/>
        <v/>
      </c>
      <c r="K310" s="971" t="str">
        <f t="shared" ca="1" si="193"/>
        <v/>
      </c>
      <c r="L310" s="971" t="str">
        <f t="shared" ca="1" si="193"/>
        <v/>
      </c>
      <c r="M310" s="971" t="str">
        <f t="shared" ca="1" si="193"/>
        <v/>
      </c>
      <c r="N310" s="971" t="str">
        <f t="shared" ca="1" si="193"/>
        <v/>
      </c>
      <c r="O310" s="971" t="str">
        <f t="shared" ca="1" si="193"/>
        <v/>
      </c>
      <c r="P310" s="971" t="str">
        <f t="shared" ca="1" si="193"/>
        <v/>
      </c>
      <c r="Q310" s="971" t="str">
        <f t="shared" ca="1" si="193"/>
        <v/>
      </c>
      <c r="R310" s="971" t="str">
        <f t="shared" ca="1" si="193"/>
        <v/>
      </c>
      <c r="S310" s="971" t="str">
        <f t="shared" ca="1" si="193"/>
        <v/>
      </c>
      <c r="T310" s="971" t="str">
        <f t="shared" ca="1" si="193"/>
        <v/>
      </c>
      <c r="U310" s="971" t="str">
        <f t="shared" ca="1" si="193"/>
        <v/>
      </c>
      <c r="V310" s="971" t="str">
        <f t="shared" ca="1" si="193"/>
        <v/>
      </c>
      <c r="W310" s="971" t="str">
        <f t="shared" ca="1" si="193"/>
        <v/>
      </c>
      <c r="X310" s="971" t="str">
        <f t="shared" ca="1" si="193"/>
        <v/>
      </c>
      <c r="Y310" s="971" t="str">
        <f t="shared" ca="1" si="193"/>
        <v/>
      </c>
      <c r="Z310" s="971" t="str">
        <f t="shared" ca="1" si="193"/>
        <v/>
      </c>
      <c r="AA310" s="971" t="str">
        <f t="shared" ca="1" si="193"/>
        <v/>
      </c>
      <c r="AB310" s="971" t="str">
        <f t="shared" ca="1" si="193"/>
        <v/>
      </c>
      <c r="AC310" s="971" t="str">
        <f t="shared" ca="1" si="193"/>
        <v/>
      </c>
      <c r="AD310" s="971" t="str">
        <f t="shared" ca="1" si="193"/>
        <v/>
      </c>
      <c r="AE310" s="971" t="str">
        <f t="shared" ca="1" si="193"/>
        <v/>
      </c>
      <c r="AF310" s="971" t="str">
        <f t="shared" ca="1" si="193"/>
        <v/>
      </c>
      <c r="AG310" s="971" t="str">
        <f t="shared" ca="1" si="193"/>
        <v/>
      </c>
      <c r="AH310" s="971" t="str">
        <f t="shared" ca="1" si="193"/>
        <v/>
      </c>
      <c r="AI310" s="971" t="str">
        <f t="shared" ca="1" si="193"/>
        <v/>
      </c>
      <c r="AJ310" s="971" t="str">
        <f t="shared" ca="1" si="193"/>
        <v/>
      </c>
      <c r="AK310" s="971" t="str">
        <f t="shared" ca="1" si="193"/>
        <v/>
      </c>
      <c r="AL310" s="971" t="str">
        <f t="shared" ca="1" si="193"/>
        <v/>
      </c>
      <c r="AM310" s="971" t="str">
        <f t="shared" ca="1" si="193"/>
        <v/>
      </c>
      <c r="AN310" s="971" t="str">
        <f t="shared" ca="1" si="193"/>
        <v/>
      </c>
      <c r="AO310" s="971" t="str">
        <f t="shared" ca="1" si="193"/>
        <v/>
      </c>
      <c r="AP310" s="971" t="str">
        <f t="shared" ca="1" si="193"/>
        <v/>
      </c>
      <c r="AQ310" s="971" t="str">
        <f t="shared" ca="1" si="193"/>
        <v/>
      </c>
      <c r="AR310" s="971" t="str">
        <f t="shared" ca="1" si="193"/>
        <v/>
      </c>
      <c r="AS310" s="971" t="str">
        <f t="shared" ca="1" si="193"/>
        <v/>
      </c>
      <c r="AT310" s="971" t="str">
        <f t="shared" ca="1" si="193"/>
        <v/>
      </c>
      <c r="AU310" s="971" t="str">
        <f t="shared" ca="1" si="193"/>
        <v/>
      </c>
      <c r="AV310" s="971" t="str">
        <f t="shared" ca="1" si="193"/>
        <v/>
      </c>
      <c r="AW310" s="971" t="str">
        <f t="shared" ca="1" si="193"/>
        <v/>
      </c>
      <c r="AX310" s="971" t="str">
        <f t="shared" ca="1" si="193"/>
        <v/>
      </c>
      <c r="AY310" s="971" t="str">
        <f t="shared" ca="1" si="193"/>
        <v/>
      </c>
      <c r="AZ310" s="971" t="str">
        <f t="shared" ca="1" si="193"/>
        <v/>
      </c>
      <c r="BA310" s="971" t="str">
        <f t="shared" ca="1" si="193"/>
        <v/>
      </c>
      <c r="BB310" s="971" t="str">
        <f t="shared" ca="1" si="193"/>
        <v/>
      </c>
    </row>
    <row r="311" spans="1:54" ht="18.600000000000001" hidden="1" thickBot="1">
      <c r="A311" s="967">
        <v>65</v>
      </c>
      <c r="B311" s="1346"/>
      <c r="C311" s="1036" t="s">
        <v>461</v>
      </c>
      <c r="D311" s="1040"/>
      <c r="E311" s="973" t="str">
        <f ca="1">IF(AND($HE$10="",$HG$10=""),IF(AND(E303="",E288&lt;&gt;""),"&lt;"&amp;E315&amp;"&gt;要入力",IF(OR(E303=E307,E303="",E307=""),"","&lt;"&amp;E315&amp;"&gt;要修正("&amp;E303&amp;"→"&amp;E307&amp;")")),"")</f>
        <v/>
      </c>
      <c r="F311" s="973" t="str">
        <f t="shared" ref="F311:BB311" ca="1" si="194">IF(AND($HE$10="",$HG$10=""),IF(AND(F303="",F288&lt;&gt;""),"&lt;"&amp;F315&amp;"&gt;要入力",IF(OR(F303=F307,F303="",F307=""),"","&lt;"&amp;F315&amp;"&gt;要修正("&amp;F303&amp;"→"&amp;F307&amp;")")),"")</f>
        <v/>
      </c>
      <c r="G311" s="973" t="str">
        <f t="shared" ca="1" si="194"/>
        <v/>
      </c>
      <c r="H311" s="973" t="str">
        <f t="shared" ca="1" si="194"/>
        <v/>
      </c>
      <c r="I311" s="973" t="str">
        <f t="shared" ca="1" si="194"/>
        <v/>
      </c>
      <c r="J311" s="973" t="str">
        <f t="shared" ca="1" si="194"/>
        <v/>
      </c>
      <c r="K311" s="973" t="str">
        <f t="shared" ca="1" si="194"/>
        <v/>
      </c>
      <c r="L311" s="973" t="str">
        <f t="shared" ca="1" si="194"/>
        <v/>
      </c>
      <c r="M311" s="973" t="str">
        <f t="shared" ca="1" si="194"/>
        <v/>
      </c>
      <c r="N311" s="973" t="str">
        <f t="shared" ca="1" si="194"/>
        <v/>
      </c>
      <c r="O311" s="973" t="str">
        <f t="shared" ca="1" si="194"/>
        <v/>
      </c>
      <c r="P311" s="973" t="str">
        <f t="shared" ca="1" si="194"/>
        <v/>
      </c>
      <c r="Q311" s="973" t="str">
        <f t="shared" ca="1" si="194"/>
        <v/>
      </c>
      <c r="R311" s="973" t="str">
        <f t="shared" ca="1" si="194"/>
        <v/>
      </c>
      <c r="S311" s="973" t="str">
        <f t="shared" ca="1" si="194"/>
        <v/>
      </c>
      <c r="T311" s="973" t="str">
        <f t="shared" ca="1" si="194"/>
        <v/>
      </c>
      <c r="U311" s="973" t="str">
        <f t="shared" ca="1" si="194"/>
        <v/>
      </c>
      <c r="V311" s="973" t="str">
        <f t="shared" ca="1" si="194"/>
        <v/>
      </c>
      <c r="W311" s="973" t="str">
        <f t="shared" ca="1" si="194"/>
        <v/>
      </c>
      <c r="X311" s="973" t="str">
        <f t="shared" ca="1" si="194"/>
        <v/>
      </c>
      <c r="Y311" s="973" t="str">
        <f t="shared" ca="1" si="194"/>
        <v/>
      </c>
      <c r="Z311" s="973" t="str">
        <f t="shared" ca="1" si="194"/>
        <v/>
      </c>
      <c r="AA311" s="973" t="str">
        <f t="shared" ca="1" si="194"/>
        <v/>
      </c>
      <c r="AB311" s="973" t="str">
        <f t="shared" ca="1" si="194"/>
        <v/>
      </c>
      <c r="AC311" s="973" t="str">
        <f t="shared" ca="1" si="194"/>
        <v/>
      </c>
      <c r="AD311" s="973" t="str">
        <f t="shared" ca="1" si="194"/>
        <v/>
      </c>
      <c r="AE311" s="973" t="str">
        <f t="shared" ca="1" si="194"/>
        <v/>
      </c>
      <c r="AF311" s="973" t="str">
        <f t="shared" ca="1" si="194"/>
        <v/>
      </c>
      <c r="AG311" s="973" t="str">
        <f t="shared" ca="1" si="194"/>
        <v/>
      </c>
      <c r="AH311" s="973" t="str">
        <f t="shared" ca="1" si="194"/>
        <v/>
      </c>
      <c r="AI311" s="973" t="str">
        <f t="shared" ca="1" si="194"/>
        <v/>
      </c>
      <c r="AJ311" s="973" t="str">
        <f t="shared" ca="1" si="194"/>
        <v/>
      </c>
      <c r="AK311" s="973" t="str">
        <f t="shared" ca="1" si="194"/>
        <v/>
      </c>
      <c r="AL311" s="973" t="str">
        <f t="shared" ca="1" si="194"/>
        <v/>
      </c>
      <c r="AM311" s="973" t="str">
        <f t="shared" ca="1" si="194"/>
        <v/>
      </c>
      <c r="AN311" s="973" t="str">
        <f t="shared" ca="1" si="194"/>
        <v/>
      </c>
      <c r="AO311" s="973" t="str">
        <f t="shared" ca="1" si="194"/>
        <v/>
      </c>
      <c r="AP311" s="973" t="str">
        <f t="shared" ca="1" si="194"/>
        <v/>
      </c>
      <c r="AQ311" s="973" t="str">
        <f t="shared" ca="1" si="194"/>
        <v/>
      </c>
      <c r="AR311" s="973" t="str">
        <f t="shared" ca="1" si="194"/>
        <v/>
      </c>
      <c r="AS311" s="973" t="str">
        <f t="shared" ca="1" si="194"/>
        <v/>
      </c>
      <c r="AT311" s="973" t="str">
        <f t="shared" ca="1" si="194"/>
        <v/>
      </c>
      <c r="AU311" s="973" t="str">
        <f t="shared" ca="1" si="194"/>
        <v/>
      </c>
      <c r="AV311" s="973" t="str">
        <f t="shared" ca="1" si="194"/>
        <v/>
      </c>
      <c r="AW311" s="973" t="str">
        <f t="shared" ca="1" si="194"/>
        <v/>
      </c>
      <c r="AX311" s="973" t="str">
        <f t="shared" ca="1" si="194"/>
        <v/>
      </c>
      <c r="AY311" s="973" t="str">
        <f t="shared" ca="1" si="194"/>
        <v/>
      </c>
      <c r="AZ311" s="973" t="str">
        <f t="shared" ca="1" si="194"/>
        <v/>
      </c>
      <c r="BA311" s="973" t="str">
        <f t="shared" ca="1" si="194"/>
        <v/>
      </c>
      <c r="BB311" s="973" t="str">
        <f t="shared" ca="1" si="194"/>
        <v/>
      </c>
    </row>
    <row r="312" spans="1:54" ht="14.25" hidden="1" customHeight="1">
      <c r="B312" s="1344" t="s">
        <v>647</v>
      </c>
      <c r="C312" s="1032" t="s">
        <v>458</v>
      </c>
      <c r="D312" s="1038"/>
      <c r="E312" s="969" t="str">
        <f t="shared" ref="E312:AJ312" ca="1" si="195">IFERROR(ADDRESS(ROW(貼付け_2024実績)+99,E253+COLUMN(貼付け_2024実績),4),"")</f>
        <v/>
      </c>
      <c r="F312" s="969" t="str">
        <f t="shared" ca="1" si="195"/>
        <v/>
      </c>
      <c r="G312" s="969" t="str">
        <f t="shared" ca="1" si="195"/>
        <v/>
      </c>
      <c r="H312" s="969" t="str">
        <f t="shared" ca="1" si="195"/>
        <v/>
      </c>
      <c r="I312" s="969" t="str">
        <f t="shared" ca="1" si="195"/>
        <v/>
      </c>
      <c r="J312" s="969" t="str">
        <f t="shared" ca="1" si="195"/>
        <v/>
      </c>
      <c r="K312" s="969" t="str">
        <f t="shared" ca="1" si="195"/>
        <v/>
      </c>
      <c r="L312" s="969" t="str">
        <f t="shared" ca="1" si="195"/>
        <v/>
      </c>
      <c r="M312" s="969" t="str">
        <f t="shared" ca="1" si="195"/>
        <v/>
      </c>
      <c r="N312" s="969" t="str">
        <f t="shared" ca="1" si="195"/>
        <v/>
      </c>
      <c r="O312" s="969" t="str">
        <f t="shared" ca="1" si="195"/>
        <v/>
      </c>
      <c r="P312" s="969" t="str">
        <f t="shared" ca="1" si="195"/>
        <v/>
      </c>
      <c r="Q312" s="969" t="str">
        <f t="shared" ca="1" si="195"/>
        <v/>
      </c>
      <c r="R312" s="969" t="str">
        <f t="shared" ca="1" si="195"/>
        <v/>
      </c>
      <c r="S312" s="969" t="str">
        <f t="shared" ca="1" si="195"/>
        <v/>
      </c>
      <c r="T312" s="969" t="str">
        <f t="shared" ca="1" si="195"/>
        <v/>
      </c>
      <c r="U312" s="969" t="str">
        <f t="shared" ca="1" si="195"/>
        <v/>
      </c>
      <c r="V312" s="969" t="str">
        <f t="shared" ca="1" si="195"/>
        <v/>
      </c>
      <c r="W312" s="969" t="str">
        <f t="shared" ca="1" si="195"/>
        <v/>
      </c>
      <c r="X312" s="969" t="str">
        <f t="shared" ca="1" si="195"/>
        <v/>
      </c>
      <c r="Y312" s="969" t="str">
        <f t="shared" ca="1" si="195"/>
        <v/>
      </c>
      <c r="Z312" s="969" t="str">
        <f t="shared" ca="1" si="195"/>
        <v/>
      </c>
      <c r="AA312" s="969" t="str">
        <f t="shared" ca="1" si="195"/>
        <v/>
      </c>
      <c r="AB312" s="969" t="str">
        <f t="shared" ca="1" si="195"/>
        <v/>
      </c>
      <c r="AC312" s="969" t="str">
        <f t="shared" ca="1" si="195"/>
        <v/>
      </c>
      <c r="AD312" s="969" t="str">
        <f t="shared" ca="1" si="195"/>
        <v/>
      </c>
      <c r="AE312" s="969" t="str">
        <f t="shared" ca="1" si="195"/>
        <v/>
      </c>
      <c r="AF312" s="969" t="str">
        <f t="shared" ca="1" si="195"/>
        <v/>
      </c>
      <c r="AG312" s="969" t="str">
        <f t="shared" ca="1" si="195"/>
        <v/>
      </c>
      <c r="AH312" s="969" t="str">
        <f t="shared" ca="1" si="195"/>
        <v/>
      </c>
      <c r="AI312" s="969" t="str">
        <f t="shared" ca="1" si="195"/>
        <v/>
      </c>
      <c r="AJ312" s="969" t="str">
        <f t="shared" ca="1" si="195"/>
        <v/>
      </c>
      <c r="AK312" s="969" t="str">
        <f t="shared" ref="AK312:BB312" ca="1" si="196">IFERROR(ADDRESS(ROW(貼付け_2024実績)+99,AK253+COLUMN(貼付け_2024実績),4),"")</f>
        <v/>
      </c>
      <c r="AL312" s="969" t="str">
        <f t="shared" ca="1" si="196"/>
        <v/>
      </c>
      <c r="AM312" s="969" t="str">
        <f t="shared" ca="1" si="196"/>
        <v/>
      </c>
      <c r="AN312" s="969" t="str">
        <f t="shared" ca="1" si="196"/>
        <v/>
      </c>
      <c r="AO312" s="969" t="str">
        <f t="shared" ca="1" si="196"/>
        <v/>
      </c>
      <c r="AP312" s="969" t="str">
        <f t="shared" ca="1" si="196"/>
        <v/>
      </c>
      <c r="AQ312" s="969" t="str">
        <f t="shared" ca="1" si="196"/>
        <v/>
      </c>
      <c r="AR312" s="969" t="str">
        <f t="shared" ca="1" si="196"/>
        <v/>
      </c>
      <c r="AS312" s="969" t="str">
        <f t="shared" ca="1" si="196"/>
        <v/>
      </c>
      <c r="AT312" s="969" t="str">
        <f t="shared" ca="1" si="196"/>
        <v/>
      </c>
      <c r="AU312" s="969" t="str">
        <f t="shared" ca="1" si="196"/>
        <v/>
      </c>
      <c r="AV312" s="969" t="str">
        <f t="shared" ca="1" si="196"/>
        <v/>
      </c>
      <c r="AW312" s="969" t="str">
        <f t="shared" ca="1" si="196"/>
        <v/>
      </c>
      <c r="AX312" s="969" t="str">
        <f t="shared" ca="1" si="196"/>
        <v/>
      </c>
      <c r="AY312" s="969" t="str">
        <f t="shared" ca="1" si="196"/>
        <v/>
      </c>
      <c r="AZ312" s="969" t="str">
        <f t="shared" ca="1" si="196"/>
        <v/>
      </c>
      <c r="BA312" s="969" t="str">
        <f t="shared" ca="1" si="196"/>
        <v/>
      </c>
      <c r="BB312" s="969" t="str">
        <f t="shared" ca="1" si="196"/>
        <v/>
      </c>
    </row>
    <row r="313" spans="1:54" hidden="1">
      <c r="B313" s="1345"/>
      <c r="C313" s="1034" t="s">
        <v>459</v>
      </c>
      <c r="D313" s="1039"/>
      <c r="E313" s="971" t="str">
        <f t="shared" ref="E313:AJ313" ca="1" si="197">IFERROR(ADDRESS(ROW(貼付け_2024実績)+99,E265+COLUMN(貼付け_2024実績),4),"")</f>
        <v/>
      </c>
      <c r="F313" s="971" t="str">
        <f t="shared" ca="1" si="197"/>
        <v/>
      </c>
      <c r="G313" s="971" t="str">
        <f t="shared" ca="1" si="197"/>
        <v/>
      </c>
      <c r="H313" s="971" t="str">
        <f t="shared" ca="1" si="197"/>
        <v/>
      </c>
      <c r="I313" s="971" t="str">
        <f t="shared" ca="1" si="197"/>
        <v/>
      </c>
      <c r="J313" s="971" t="str">
        <f t="shared" ca="1" si="197"/>
        <v/>
      </c>
      <c r="K313" s="971" t="str">
        <f t="shared" ca="1" si="197"/>
        <v/>
      </c>
      <c r="L313" s="971" t="str">
        <f t="shared" ca="1" si="197"/>
        <v/>
      </c>
      <c r="M313" s="971" t="str">
        <f t="shared" ca="1" si="197"/>
        <v/>
      </c>
      <c r="N313" s="971" t="str">
        <f t="shared" ca="1" si="197"/>
        <v/>
      </c>
      <c r="O313" s="971" t="str">
        <f t="shared" ca="1" si="197"/>
        <v/>
      </c>
      <c r="P313" s="971" t="str">
        <f t="shared" ca="1" si="197"/>
        <v/>
      </c>
      <c r="Q313" s="971" t="str">
        <f t="shared" ca="1" si="197"/>
        <v/>
      </c>
      <c r="R313" s="971" t="str">
        <f t="shared" ca="1" si="197"/>
        <v/>
      </c>
      <c r="S313" s="971" t="str">
        <f t="shared" ca="1" si="197"/>
        <v/>
      </c>
      <c r="T313" s="971" t="str">
        <f t="shared" ca="1" si="197"/>
        <v/>
      </c>
      <c r="U313" s="971" t="str">
        <f t="shared" ca="1" si="197"/>
        <v/>
      </c>
      <c r="V313" s="971" t="str">
        <f t="shared" ca="1" si="197"/>
        <v/>
      </c>
      <c r="W313" s="971" t="str">
        <f t="shared" ca="1" si="197"/>
        <v/>
      </c>
      <c r="X313" s="971" t="str">
        <f t="shared" ca="1" si="197"/>
        <v/>
      </c>
      <c r="Y313" s="971" t="str">
        <f t="shared" ca="1" si="197"/>
        <v/>
      </c>
      <c r="Z313" s="971" t="str">
        <f t="shared" ca="1" si="197"/>
        <v/>
      </c>
      <c r="AA313" s="971" t="str">
        <f t="shared" ca="1" si="197"/>
        <v/>
      </c>
      <c r="AB313" s="971" t="str">
        <f t="shared" ca="1" si="197"/>
        <v/>
      </c>
      <c r="AC313" s="971" t="str">
        <f t="shared" ca="1" si="197"/>
        <v/>
      </c>
      <c r="AD313" s="971" t="str">
        <f t="shared" ca="1" si="197"/>
        <v/>
      </c>
      <c r="AE313" s="971" t="str">
        <f t="shared" ca="1" si="197"/>
        <v/>
      </c>
      <c r="AF313" s="971" t="str">
        <f t="shared" ca="1" si="197"/>
        <v/>
      </c>
      <c r="AG313" s="971" t="str">
        <f t="shared" ca="1" si="197"/>
        <v/>
      </c>
      <c r="AH313" s="971" t="str">
        <f t="shared" ca="1" si="197"/>
        <v/>
      </c>
      <c r="AI313" s="971" t="str">
        <f t="shared" ca="1" si="197"/>
        <v/>
      </c>
      <c r="AJ313" s="971" t="str">
        <f t="shared" ca="1" si="197"/>
        <v/>
      </c>
      <c r="AK313" s="971" t="str">
        <f t="shared" ref="AK313:BB313" ca="1" si="198">IFERROR(ADDRESS(ROW(貼付け_2024実績)+99,AK265+COLUMN(貼付け_2024実績),4),"")</f>
        <v/>
      </c>
      <c r="AL313" s="971" t="str">
        <f t="shared" ca="1" si="198"/>
        <v/>
      </c>
      <c r="AM313" s="971" t="str">
        <f t="shared" ca="1" si="198"/>
        <v/>
      </c>
      <c r="AN313" s="971" t="str">
        <f t="shared" ca="1" si="198"/>
        <v/>
      </c>
      <c r="AO313" s="971" t="str">
        <f t="shared" ca="1" si="198"/>
        <v/>
      </c>
      <c r="AP313" s="971" t="str">
        <f t="shared" ca="1" si="198"/>
        <v/>
      </c>
      <c r="AQ313" s="971" t="str">
        <f t="shared" ca="1" si="198"/>
        <v/>
      </c>
      <c r="AR313" s="971" t="str">
        <f t="shared" ca="1" si="198"/>
        <v/>
      </c>
      <c r="AS313" s="971" t="str">
        <f t="shared" ca="1" si="198"/>
        <v/>
      </c>
      <c r="AT313" s="971" t="str">
        <f t="shared" ca="1" si="198"/>
        <v/>
      </c>
      <c r="AU313" s="971" t="str">
        <f t="shared" ca="1" si="198"/>
        <v/>
      </c>
      <c r="AV313" s="971" t="str">
        <f t="shared" ca="1" si="198"/>
        <v/>
      </c>
      <c r="AW313" s="971" t="str">
        <f t="shared" ca="1" si="198"/>
        <v/>
      </c>
      <c r="AX313" s="971" t="str">
        <f t="shared" ca="1" si="198"/>
        <v/>
      </c>
      <c r="AY313" s="971" t="str">
        <f t="shared" ca="1" si="198"/>
        <v/>
      </c>
      <c r="AZ313" s="971" t="str">
        <f t="shared" ca="1" si="198"/>
        <v/>
      </c>
      <c r="BA313" s="971" t="str">
        <f t="shared" ca="1" si="198"/>
        <v/>
      </c>
      <c r="BB313" s="971" t="str">
        <f t="shared" ca="1" si="198"/>
        <v/>
      </c>
    </row>
    <row r="314" spans="1:54" hidden="1">
      <c r="B314" s="1345"/>
      <c r="C314" s="1034" t="s">
        <v>460</v>
      </c>
      <c r="D314" s="1039"/>
      <c r="E314" s="971" t="str">
        <f t="shared" ref="E314:AJ314" ca="1" si="199">IFERROR(ADDRESS(ROW(貼付け_2024実績)+99,E277+COLUMN(貼付け_2024実績),4),"")</f>
        <v/>
      </c>
      <c r="F314" s="971" t="str">
        <f t="shared" ca="1" si="199"/>
        <v/>
      </c>
      <c r="G314" s="971" t="str">
        <f t="shared" ca="1" si="199"/>
        <v/>
      </c>
      <c r="H314" s="971" t="str">
        <f t="shared" ca="1" si="199"/>
        <v/>
      </c>
      <c r="I314" s="971" t="str">
        <f t="shared" ca="1" si="199"/>
        <v/>
      </c>
      <c r="J314" s="971" t="str">
        <f t="shared" ca="1" si="199"/>
        <v/>
      </c>
      <c r="K314" s="971" t="str">
        <f t="shared" ca="1" si="199"/>
        <v/>
      </c>
      <c r="L314" s="971" t="str">
        <f t="shared" ca="1" si="199"/>
        <v/>
      </c>
      <c r="M314" s="971" t="str">
        <f t="shared" ca="1" si="199"/>
        <v/>
      </c>
      <c r="N314" s="971" t="str">
        <f t="shared" ca="1" si="199"/>
        <v/>
      </c>
      <c r="O314" s="971" t="str">
        <f t="shared" ca="1" si="199"/>
        <v/>
      </c>
      <c r="P314" s="971" t="str">
        <f t="shared" ca="1" si="199"/>
        <v/>
      </c>
      <c r="Q314" s="971" t="str">
        <f t="shared" ca="1" si="199"/>
        <v/>
      </c>
      <c r="R314" s="971" t="str">
        <f t="shared" ca="1" si="199"/>
        <v/>
      </c>
      <c r="S314" s="971" t="str">
        <f t="shared" ca="1" si="199"/>
        <v/>
      </c>
      <c r="T314" s="971" t="str">
        <f t="shared" ca="1" si="199"/>
        <v/>
      </c>
      <c r="U314" s="971" t="str">
        <f t="shared" ca="1" si="199"/>
        <v/>
      </c>
      <c r="V314" s="971" t="str">
        <f t="shared" ca="1" si="199"/>
        <v/>
      </c>
      <c r="W314" s="971" t="str">
        <f t="shared" ca="1" si="199"/>
        <v/>
      </c>
      <c r="X314" s="971" t="str">
        <f t="shared" ca="1" si="199"/>
        <v/>
      </c>
      <c r="Y314" s="971" t="str">
        <f t="shared" ca="1" si="199"/>
        <v/>
      </c>
      <c r="Z314" s="971" t="str">
        <f t="shared" ca="1" si="199"/>
        <v/>
      </c>
      <c r="AA314" s="971" t="str">
        <f t="shared" ca="1" si="199"/>
        <v/>
      </c>
      <c r="AB314" s="971" t="str">
        <f t="shared" ca="1" si="199"/>
        <v/>
      </c>
      <c r="AC314" s="971" t="str">
        <f t="shared" ca="1" si="199"/>
        <v/>
      </c>
      <c r="AD314" s="971" t="str">
        <f t="shared" ca="1" si="199"/>
        <v/>
      </c>
      <c r="AE314" s="971" t="str">
        <f t="shared" ca="1" si="199"/>
        <v/>
      </c>
      <c r="AF314" s="971" t="str">
        <f t="shared" ca="1" si="199"/>
        <v/>
      </c>
      <c r="AG314" s="971" t="str">
        <f t="shared" ca="1" si="199"/>
        <v/>
      </c>
      <c r="AH314" s="971" t="str">
        <f t="shared" ca="1" si="199"/>
        <v/>
      </c>
      <c r="AI314" s="971" t="str">
        <f t="shared" ca="1" si="199"/>
        <v/>
      </c>
      <c r="AJ314" s="971" t="str">
        <f t="shared" ca="1" si="199"/>
        <v/>
      </c>
      <c r="AK314" s="971" t="str">
        <f t="shared" ref="AK314:BB314" ca="1" si="200">IFERROR(ADDRESS(ROW(貼付け_2024実績)+99,AK277+COLUMN(貼付け_2024実績),4),"")</f>
        <v/>
      </c>
      <c r="AL314" s="971" t="str">
        <f t="shared" ca="1" si="200"/>
        <v/>
      </c>
      <c r="AM314" s="971" t="str">
        <f t="shared" ca="1" si="200"/>
        <v/>
      </c>
      <c r="AN314" s="971" t="str">
        <f t="shared" ca="1" si="200"/>
        <v/>
      </c>
      <c r="AO314" s="971" t="str">
        <f t="shared" ca="1" si="200"/>
        <v/>
      </c>
      <c r="AP314" s="971" t="str">
        <f t="shared" ca="1" si="200"/>
        <v/>
      </c>
      <c r="AQ314" s="971" t="str">
        <f t="shared" ca="1" si="200"/>
        <v/>
      </c>
      <c r="AR314" s="971" t="str">
        <f t="shared" ca="1" si="200"/>
        <v/>
      </c>
      <c r="AS314" s="971" t="str">
        <f t="shared" ca="1" si="200"/>
        <v/>
      </c>
      <c r="AT314" s="971" t="str">
        <f t="shared" ca="1" si="200"/>
        <v/>
      </c>
      <c r="AU314" s="971" t="str">
        <f t="shared" ca="1" si="200"/>
        <v/>
      </c>
      <c r="AV314" s="971" t="str">
        <f t="shared" ca="1" si="200"/>
        <v/>
      </c>
      <c r="AW314" s="971" t="str">
        <f t="shared" ca="1" si="200"/>
        <v/>
      </c>
      <c r="AX314" s="971" t="str">
        <f t="shared" ca="1" si="200"/>
        <v/>
      </c>
      <c r="AY314" s="971" t="str">
        <f t="shared" ca="1" si="200"/>
        <v/>
      </c>
      <c r="AZ314" s="971" t="str">
        <f t="shared" ca="1" si="200"/>
        <v/>
      </c>
      <c r="BA314" s="971" t="str">
        <f t="shared" ca="1" si="200"/>
        <v/>
      </c>
      <c r="BB314" s="971" t="str">
        <f t="shared" ca="1" si="200"/>
        <v/>
      </c>
    </row>
    <row r="315" spans="1:54" ht="18.600000000000001" hidden="1" thickBot="1">
      <c r="B315" s="1346"/>
      <c r="C315" s="1036" t="s">
        <v>461</v>
      </c>
      <c r="D315" s="1040"/>
      <c r="E315" s="973" t="str">
        <f t="shared" ref="E315:AJ315" ca="1" si="201">IFERROR(ADDRESS(ROW(貼付け_2024実績)+99,E289+COLUMN(貼付け_2024実績),4),"")</f>
        <v/>
      </c>
      <c r="F315" s="973" t="str">
        <f t="shared" ca="1" si="201"/>
        <v/>
      </c>
      <c r="G315" s="973" t="str">
        <f t="shared" ca="1" si="201"/>
        <v/>
      </c>
      <c r="H315" s="973" t="str">
        <f t="shared" ca="1" si="201"/>
        <v/>
      </c>
      <c r="I315" s="973" t="str">
        <f t="shared" ca="1" si="201"/>
        <v/>
      </c>
      <c r="J315" s="973" t="str">
        <f t="shared" ca="1" si="201"/>
        <v/>
      </c>
      <c r="K315" s="973" t="str">
        <f t="shared" ca="1" si="201"/>
        <v/>
      </c>
      <c r="L315" s="973" t="str">
        <f t="shared" ca="1" si="201"/>
        <v/>
      </c>
      <c r="M315" s="973" t="str">
        <f t="shared" ca="1" si="201"/>
        <v/>
      </c>
      <c r="N315" s="973" t="str">
        <f t="shared" ca="1" si="201"/>
        <v/>
      </c>
      <c r="O315" s="973" t="str">
        <f t="shared" ca="1" si="201"/>
        <v/>
      </c>
      <c r="P315" s="973" t="str">
        <f t="shared" ca="1" si="201"/>
        <v/>
      </c>
      <c r="Q315" s="973" t="str">
        <f t="shared" ca="1" si="201"/>
        <v/>
      </c>
      <c r="R315" s="973" t="str">
        <f t="shared" ca="1" si="201"/>
        <v/>
      </c>
      <c r="S315" s="973" t="str">
        <f t="shared" ca="1" si="201"/>
        <v/>
      </c>
      <c r="T315" s="973" t="str">
        <f t="shared" ca="1" si="201"/>
        <v/>
      </c>
      <c r="U315" s="973" t="str">
        <f t="shared" ca="1" si="201"/>
        <v/>
      </c>
      <c r="V315" s="973" t="str">
        <f t="shared" ca="1" si="201"/>
        <v/>
      </c>
      <c r="W315" s="973" t="str">
        <f t="shared" ca="1" si="201"/>
        <v/>
      </c>
      <c r="X315" s="973" t="str">
        <f t="shared" ca="1" si="201"/>
        <v/>
      </c>
      <c r="Y315" s="973" t="str">
        <f t="shared" ca="1" si="201"/>
        <v/>
      </c>
      <c r="Z315" s="973" t="str">
        <f t="shared" ca="1" si="201"/>
        <v/>
      </c>
      <c r="AA315" s="973" t="str">
        <f t="shared" ca="1" si="201"/>
        <v/>
      </c>
      <c r="AB315" s="973" t="str">
        <f t="shared" ca="1" si="201"/>
        <v/>
      </c>
      <c r="AC315" s="973" t="str">
        <f t="shared" ca="1" si="201"/>
        <v/>
      </c>
      <c r="AD315" s="973" t="str">
        <f t="shared" ca="1" si="201"/>
        <v/>
      </c>
      <c r="AE315" s="973" t="str">
        <f t="shared" ca="1" si="201"/>
        <v/>
      </c>
      <c r="AF315" s="973" t="str">
        <f t="shared" ca="1" si="201"/>
        <v/>
      </c>
      <c r="AG315" s="973" t="str">
        <f t="shared" ca="1" si="201"/>
        <v/>
      </c>
      <c r="AH315" s="973" t="str">
        <f t="shared" ca="1" si="201"/>
        <v/>
      </c>
      <c r="AI315" s="973" t="str">
        <f t="shared" ca="1" si="201"/>
        <v/>
      </c>
      <c r="AJ315" s="973" t="str">
        <f t="shared" ca="1" si="201"/>
        <v/>
      </c>
      <c r="AK315" s="973" t="str">
        <f t="shared" ref="AK315:BB315" ca="1" si="202">IFERROR(ADDRESS(ROW(貼付け_2024実績)+99,AK289+COLUMN(貼付け_2024実績),4),"")</f>
        <v/>
      </c>
      <c r="AL315" s="973" t="str">
        <f t="shared" ca="1" si="202"/>
        <v/>
      </c>
      <c r="AM315" s="973" t="str">
        <f t="shared" ca="1" si="202"/>
        <v/>
      </c>
      <c r="AN315" s="973" t="str">
        <f t="shared" ca="1" si="202"/>
        <v/>
      </c>
      <c r="AO315" s="973" t="str">
        <f t="shared" ca="1" si="202"/>
        <v/>
      </c>
      <c r="AP315" s="973" t="str">
        <f t="shared" ca="1" si="202"/>
        <v/>
      </c>
      <c r="AQ315" s="973" t="str">
        <f t="shared" ca="1" si="202"/>
        <v/>
      </c>
      <c r="AR315" s="973" t="str">
        <f t="shared" ca="1" si="202"/>
        <v/>
      </c>
      <c r="AS315" s="973" t="str">
        <f t="shared" ca="1" si="202"/>
        <v/>
      </c>
      <c r="AT315" s="973" t="str">
        <f t="shared" ca="1" si="202"/>
        <v/>
      </c>
      <c r="AU315" s="973" t="str">
        <f t="shared" ca="1" si="202"/>
        <v/>
      </c>
      <c r="AV315" s="973" t="str">
        <f t="shared" ca="1" si="202"/>
        <v/>
      </c>
      <c r="AW315" s="973" t="str">
        <f t="shared" ca="1" si="202"/>
        <v/>
      </c>
      <c r="AX315" s="973" t="str">
        <f t="shared" ca="1" si="202"/>
        <v/>
      </c>
      <c r="AY315" s="973" t="str">
        <f t="shared" ca="1" si="202"/>
        <v/>
      </c>
      <c r="AZ315" s="973" t="str">
        <f t="shared" ca="1" si="202"/>
        <v/>
      </c>
      <c r="BA315" s="973" t="str">
        <f t="shared" ca="1" si="202"/>
        <v/>
      </c>
      <c r="BB315" s="973" t="str">
        <f t="shared" ca="1" si="202"/>
        <v/>
      </c>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4"/>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非表示_リスト!$G$14:$H$14</xm:f>
          </x14:formula1>
          <xm:sqref>H12</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非表示_リスト!$G$52:$H$52</xm:f>
          </x14:formula1>
          <xm:sqref>N11</xm:sqref>
        </x14:dataValidation>
        <x14:dataValidation type="list" allowBlank="1" showInputMessage="1" showErrorMessage="1">
          <x14:formula1>
            <xm:f>非表示_リスト!$G$25:$H$25</xm:f>
          </x14:formula1>
          <xm:sqref>J11</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bestFit="1" customWidth="1"/>
    <col min="4" max="4" width="9.5" style="881" customWidth="1"/>
    <col min="5" max="10" width="11.59765625" style="881" bestFit="1" customWidth="1"/>
    <col min="11" max="210" width="9" style="881" hidden="1" customWidth="1" outlineLevel="1"/>
    <col min="211" max="211" width="8.59765625" style="881" customWidth="1" collapsed="1"/>
    <col min="212" max="218" width="8.59765625" style="881" customWidth="1"/>
    <col min="219" max="219" width="9" style="881"/>
    <col min="220" max="220" width="5.19921875" style="881" customWidth="1"/>
    <col min="221" max="236" width="11.8984375" style="881" customWidth="1"/>
    <col min="237" max="238" width="9" style="881"/>
    <col min="239" max="242" width="9" style="882" hidden="1" customWidth="1"/>
    <col min="243" max="16384" width="9" style="881"/>
  </cols>
  <sheetData>
    <row r="1" spans="1:242" ht="39.9" customHeight="1">
      <c r="A1" s="877" t="s">
        <v>655</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C1" s="879"/>
      <c r="HD1" s="880"/>
      <c r="HE1" s="879"/>
      <c r="HF1" s="880"/>
      <c r="HG1" s="879"/>
      <c r="HH1" s="880"/>
      <c r="HI1" s="879"/>
      <c r="HJ1" s="880"/>
      <c r="HL1" s="1194" t="s">
        <v>448</v>
      </c>
      <c r="HM1" s="364"/>
    </row>
    <row r="2" spans="1:242" ht="26.4">
      <c r="A2" s="883" t="s">
        <v>1669</v>
      </c>
      <c r="B2" s="1182" t="s">
        <v>1677</v>
      </c>
      <c r="C2" s="884"/>
      <c r="D2" s="885"/>
      <c r="E2" s="885"/>
      <c r="F2" s="886"/>
      <c r="G2" s="887"/>
      <c r="H2" s="888"/>
      <c r="I2" s="884"/>
      <c r="J2" s="885"/>
      <c r="K2" s="879"/>
      <c r="L2" s="880"/>
      <c r="M2" s="879"/>
      <c r="N2" s="880"/>
      <c r="O2" s="879"/>
      <c r="P2" s="880"/>
      <c r="Q2" s="879"/>
      <c r="R2" s="880"/>
      <c r="S2" s="879"/>
      <c r="T2" s="880"/>
      <c r="U2" s="879"/>
      <c r="V2" s="880"/>
      <c r="W2" s="879"/>
      <c r="X2" s="880"/>
      <c r="Y2" s="879"/>
      <c r="Z2" s="880"/>
      <c r="AA2" s="879"/>
      <c r="AB2" s="880"/>
      <c r="AC2" s="879"/>
      <c r="AD2" s="880"/>
      <c r="AE2" s="879"/>
      <c r="AF2" s="880"/>
      <c r="AG2" s="879"/>
      <c r="AH2" s="880"/>
      <c r="AI2" s="879"/>
      <c r="AJ2" s="880"/>
      <c r="AK2" s="879"/>
      <c r="AL2" s="880"/>
      <c r="AM2" s="879"/>
      <c r="AN2" s="880"/>
      <c r="AO2" s="879"/>
      <c r="AP2" s="880"/>
      <c r="AQ2" s="879"/>
      <c r="AR2" s="880"/>
      <c r="AS2" s="879"/>
      <c r="AT2" s="880"/>
      <c r="AU2" s="879"/>
      <c r="AV2" s="880"/>
      <c r="AW2" s="879"/>
      <c r="AX2" s="880"/>
      <c r="AY2" s="879"/>
      <c r="AZ2" s="880"/>
      <c r="BA2" s="879"/>
      <c r="BB2" s="880"/>
      <c r="BC2" s="879"/>
      <c r="BD2" s="880"/>
      <c r="BE2" s="879"/>
      <c r="BF2" s="880"/>
      <c r="BG2" s="879"/>
      <c r="BH2" s="880"/>
      <c r="BI2" s="879"/>
      <c r="BJ2" s="880"/>
      <c r="BK2" s="879"/>
      <c r="BL2" s="880"/>
      <c r="BM2" s="879"/>
      <c r="BN2" s="880"/>
      <c r="BO2" s="879"/>
      <c r="BP2" s="880"/>
      <c r="BQ2" s="879"/>
      <c r="BR2" s="880"/>
      <c r="BS2" s="879"/>
      <c r="BT2" s="880"/>
      <c r="BU2" s="879"/>
      <c r="BV2" s="880"/>
      <c r="BW2" s="879"/>
      <c r="BX2" s="880"/>
      <c r="BY2" s="879"/>
      <c r="BZ2" s="880"/>
      <c r="CA2" s="879"/>
      <c r="CB2" s="880"/>
      <c r="CC2" s="879"/>
      <c r="CD2" s="880"/>
      <c r="CE2" s="879"/>
      <c r="CF2" s="880"/>
      <c r="CG2" s="879"/>
      <c r="CH2" s="880"/>
      <c r="CI2" s="879"/>
      <c r="CJ2" s="880"/>
      <c r="CK2" s="879"/>
      <c r="CL2" s="880"/>
      <c r="CM2" s="879"/>
      <c r="CN2" s="880"/>
      <c r="CO2" s="879"/>
      <c r="CP2" s="880"/>
      <c r="CQ2" s="879"/>
      <c r="CR2" s="880"/>
      <c r="CS2" s="879"/>
      <c r="CT2" s="880"/>
      <c r="CU2" s="879"/>
      <c r="CV2" s="880"/>
      <c r="CW2" s="879"/>
      <c r="CX2" s="880"/>
      <c r="CY2" s="879"/>
      <c r="CZ2" s="880"/>
      <c r="DA2" s="879"/>
      <c r="DB2" s="880"/>
      <c r="DC2" s="879"/>
      <c r="DD2" s="880"/>
      <c r="DE2" s="879"/>
      <c r="DF2" s="880"/>
      <c r="DG2" s="879"/>
      <c r="DH2" s="880"/>
      <c r="DI2" s="879"/>
      <c r="DJ2" s="880"/>
      <c r="DK2" s="879"/>
      <c r="DL2" s="880"/>
      <c r="DM2" s="879"/>
      <c r="DN2" s="880"/>
      <c r="DO2" s="879"/>
      <c r="DP2" s="880"/>
      <c r="DQ2" s="879"/>
      <c r="DR2" s="880"/>
      <c r="DS2" s="879"/>
      <c r="DT2" s="880"/>
      <c r="DU2" s="879"/>
      <c r="DV2" s="880"/>
      <c r="DW2" s="879"/>
      <c r="DX2" s="880"/>
      <c r="DY2" s="879"/>
      <c r="DZ2" s="880"/>
      <c r="EA2" s="879"/>
      <c r="EB2" s="880"/>
      <c r="EC2" s="879"/>
      <c r="ED2" s="880"/>
      <c r="EE2" s="879"/>
      <c r="EF2" s="880"/>
      <c r="EG2" s="879"/>
      <c r="EH2" s="880"/>
      <c r="EI2" s="879"/>
      <c r="EJ2" s="880"/>
      <c r="EK2" s="879"/>
      <c r="EL2" s="880"/>
      <c r="EM2" s="879"/>
      <c r="EN2" s="880"/>
      <c r="EO2" s="879"/>
      <c r="EP2" s="880"/>
      <c r="EQ2" s="879"/>
      <c r="ER2" s="880"/>
      <c r="ES2" s="879"/>
      <c r="ET2" s="880"/>
      <c r="EU2" s="879"/>
      <c r="EV2" s="880"/>
      <c r="EW2" s="879"/>
      <c r="EX2" s="880"/>
      <c r="EY2" s="879"/>
      <c r="EZ2" s="880"/>
      <c r="FA2" s="879"/>
      <c r="FB2" s="880"/>
      <c r="FC2" s="879"/>
      <c r="FD2" s="880"/>
      <c r="FE2" s="879"/>
      <c r="FF2" s="880"/>
      <c r="FG2" s="879"/>
      <c r="FH2" s="880"/>
      <c r="FI2" s="879"/>
      <c r="FJ2" s="880"/>
      <c r="FK2" s="879"/>
      <c r="FL2" s="880"/>
      <c r="FM2" s="879"/>
      <c r="FN2" s="880"/>
      <c r="FO2" s="879"/>
      <c r="FP2" s="880"/>
      <c r="FQ2" s="879"/>
      <c r="FR2" s="880"/>
      <c r="FS2" s="879"/>
      <c r="FT2" s="880"/>
      <c r="FU2" s="879"/>
      <c r="FV2" s="880"/>
      <c r="FW2" s="879"/>
      <c r="FX2" s="880"/>
      <c r="FY2" s="879"/>
      <c r="FZ2" s="880"/>
      <c r="GA2" s="879"/>
      <c r="GB2" s="880"/>
      <c r="GC2" s="879"/>
      <c r="GD2" s="880"/>
      <c r="GE2" s="879"/>
      <c r="GF2" s="880"/>
      <c r="GG2" s="879"/>
      <c r="GH2" s="880"/>
      <c r="GI2" s="879"/>
      <c r="GJ2" s="880"/>
      <c r="GK2" s="879"/>
      <c r="GL2" s="880"/>
      <c r="GM2" s="879"/>
      <c r="GN2" s="880"/>
      <c r="GO2" s="879"/>
      <c r="GP2" s="880"/>
      <c r="GQ2" s="879"/>
      <c r="GR2" s="880"/>
      <c r="GS2" s="879"/>
      <c r="GT2" s="880"/>
      <c r="GU2" s="879"/>
      <c r="GV2" s="880"/>
      <c r="GW2" s="879"/>
      <c r="GX2" s="880"/>
      <c r="GY2" s="879"/>
      <c r="GZ2" s="880"/>
      <c r="HA2" s="879"/>
      <c r="HB2" s="880"/>
      <c r="HC2" s="879"/>
      <c r="HD2" s="880"/>
      <c r="HE2" s="879"/>
      <c r="HF2" s="880"/>
      <c r="HG2" s="879"/>
      <c r="HH2" s="880"/>
      <c r="HI2" s="879"/>
      <c r="HJ2" s="880"/>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79"/>
      <c r="O3" s="879"/>
      <c r="P3" s="88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891"/>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79"/>
      <c r="N5" s="879"/>
      <c r="O5" s="879"/>
      <c r="P5" s="892"/>
      <c r="Q5" s="879"/>
      <c r="R5" s="879"/>
      <c r="S5" s="879"/>
      <c r="T5" s="879"/>
      <c r="V5" s="891"/>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375" t="s">
        <v>1674</v>
      </c>
      <c r="C6" s="1375"/>
      <c r="D6" s="1375"/>
      <c r="E6" s="1375"/>
      <c r="F6" s="1375"/>
      <c r="G6" s="1375"/>
      <c r="H6" s="1375"/>
      <c r="I6" s="1375"/>
      <c r="J6" s="1376"/>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1911</v>
      </c>
      <c r="B7" s="898"/>
      <c r="C7" s="899"/>
      <c r="D7" s="899"/>
      <c r="E7" s="900"/>
      <c r="F7" s="899"/>
      <c r="G7" s="899"/>
      <c r="H7" s="899"/>
      <c r="I7" s="899"/>
      <c r="J7" s="899"/>
      <c r="K7" s="899"/>
      <c r="L7" s="899"/>
      <c r="M7" s="899"/>
      <c r="N7" s="899"/>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L7" s="898" t="s">
        <v>455</v>
      </c>
      <c r="HM7" s="898"/>
      <c r="HN7" s="899"/>
      <c r="HO7" s="902"/>
      <c r="HP7" s="903"/>
      <c r="HQ7" s="902"/>
      <c r="HR7" s="902"/>
      <c r="HS7" s="903"/>
      <c r="HT7" s="902"/>
      <c r="HU7" s="902"/>
      <c r="HV7" s="903"/>
      <c r="HW7" s="902"/>
      <c r="HX7" s="902"/>
      <c r="HY7" s="903"/>
      <c r="HZ7" s="903"/>
      <c r="IA7" s="903"/>
      <c r="IB7" s="903"/>
    </row>
    <row r="8" spans="1:242" ht="27" thickBot="1">
      <c r="A8" s="879"/>
      <c r="B8" s="904" t="s">
        <v>656</v>
      </c>
      <c r="C8" s="879"/>
      <c r="D8" s="879"/>
      <c r="E8" s="1047"/>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L8" s="1377" t="s">
        <v>457</v>
      </c>
      <c r="HM8" s="1379" t="s">
        <v>458</v>
      </c>
      <c r="HN8" s="1380"/>
      <c r="HO8" s="1380"/>
      <c r="HP8" s="1381"/>
      <c r="HQ8" s="1379" t="s">
        <v>459</v>
      </c>
      <c r="HR8" s="1380"/>
      <c r="HS8" s="1380"/>
      <c r="HT8" s="1381"/>
      <c r="HU8" s="1379" t="s">
        <v>460</v>
      </c>
      <c r="HV8" s="1380"/>
      <c r="HW8" s="1380"/>
      <c r="HX8" s="1381"/>
      <c r="HY8" s="1379" t="s">
        <v>461</v>
      </c>
      <c r="HZ8" s="1380"/>
      <c r="IA8" s="1380"/>
      <c r="IB8" s="1381"/>
      <c r="IE8" s="882" t="s">
        <v>462</v>
      </c>
    </row>
    <row r="9" spans="1:242" s="889" customFormat="1" ht="69.75" customHeight="1" thickBot="1">
      <c r="B9" s="573" t="s">
        <v>1676</v>
      </c>
      <c r="C9" s="574"/>
      <c r="D9" s="575" t="s">
        <v>1192</v>
      </c>
      <c r="E9" s="576" t="s">
        <v>1193</v>
      </c>
      <c r="F9" s="577" t="s">
        <v>1837</v>
      </c>
      <c r="G9" s="578" t="s">
        <v>1194</v>
      </c>
      <c r="H9" s="579"/>
      <c r="I9" s="1043" t="s">
        <v>1195</v>
      </c>
      <c r="J9" s="1044"/>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387" t="s">
        <v>463</v>
      </c>
      <c r="HD9" s="1388"/>
      <c r="HE9" s="1389" t="s">
        <v>464</v>
      </c>
      <c r="HF9" s="1390"/>
      <c r="HG9" s="1391" t="s">
        <v>459</v>
      </c>
      <c r="HH9" s="1389"/>
      <c r="HI9" s="1389"/>
      <c r="HJ9" s="1392"/>
      <c r="HL9" s="1378"/>
      <c r="HM9" s="905" t="s">
        <v>465</v>
      </c>
      <c r="HN9" s="1382" t="s">
        <v>1629</v>
      </c>
      <c r="HO9" s="1383"/>
      <c r="HP9" s="906" t="s">
        <v>466</v>
      </c>
      <c r="HQ9" s="905" t="s">
        <v>465</v>
      </c>
      <c r="HR9" s="1382" t="s">
        <v>1629</v>
      </c>
      <c r="HS9" s="1383"/>
      <c r="HT9" s="906" t="s">
        <v>466</v>
      </c>
      <c r="HU9" s="905" t="s">
        <v>465</v>
      </c>
      <c r="HV9" s="1382" t="s">
        <v>1629</v>
      </c>
      <c r="HW9" s="1383"/>
      <c r="HX9" s="906" t="s">
        <v>466</v>
      </c>
      <c r="HY9" s="905" t="s">
        <v>465</v>
      </c>
      <c r="HZ9" s="1382" t="s">
        <v>1629</v>
      </c>
      <c r="IA9" s="1383"/>
      <c r="IB9" s="906" t="s">
        <v>466</v>
      </c>
      <c r="IE9" s="882" t="s">
        <v>467</v>
      </c>
      <c r="IF9" s="882" t="s">
        <v>459</v>
      </c>
      <c r="IG9" s="882" t="s">
        <v>460</v>
      </c>
      <c r="IH9" s="882" t="s">
        <v>461</v>
      </c>
    </row>
    <row r="10" spans="1:242" s="889" customFormat="1" ht="20.100000000000001" customHeight="1">
      <c r="B10" s="587" t="s">
        <v>468</v>
      </c>
      <c r="C10" s="588"/>
      <c r="D10" s="589"/>
      <c r="E10" s="589"/>
      <c r="F10" s="589"/>
      <c r="G10" s="590" t="s">
        <v>1198</v>
      </c>
      <c r="H10" s="591"/>
      <c r="I10" s="590" t="s">
        <v>1199</v>
      </c>
      <c r="J10" s="591"/>
      <c r="K10" s="592" t="s">
        <v>1200</v>
      </c>
      <c r="L10" s="593" t="s">
        <v>1</v>
      </c>
      <c r="M10" s="594" t="s">
        <v>1</v>
      </c>
      <c r="N10" s="104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373" t="s">
        <v>469</v>
      </c>
      <c r="HD10" s="1374"/>
      <c r="HE10" s="1325" t="str">
        <f>IF(L10="","",L10)</f>
        <v/>
      </c>
      <c r="HF10" s="1326"/>
      <c r="HG10" s="1327" t="str">
        <f>IF(M10="","",M10)</f>
        <v/>
      </c>
      <c r="HH10" s="1325"/>
      <c r="HI10" s="1325"/>
      <c r="HJ10" s="1328"/>
      <c r="HL10" s="907">
        <v>1</v>
      </c>
      <c r="HM10" s="1222" t="str">
        <f t="shared" ref="HM10:HM41" ca="1" si="49">OFFSET(A1_原単位2025,6,$HL10+2)</f>
        <v/>
      </c>
      <c r="HN10" s="1199" t="str">
        <f ca="1">OFFSET(A1_原単位2026,5,HL10+2)&amp;""</f>
        <v/>
      </c>
      <c r="HO10" s="1202" t="str">
        <f t="shared" ref="HO10:HO41" ca="1" si="50">IF(HN10="","",HYPERLINK("#"&amp;IE10,"&lt;"&amp;IE10&amp;"&gt;"))</f>
        <v/>
      </c>
      <c r="HP10" s="1203" t="str">
        <f t="shared" ref="HP10:HP41" ca="1" si="51">IF(HN10="","",HYPERLINK("#"&amp;OFFSET(A1_原単位2026,66,$HL10+2),OFFSET(A1_原単位2026,62,$HL10+2)))</f>
        <v/>
      </c>
      <c r="HQ10" s="1222" t="str">
        <f t="shared" ref="HQ10:HQ41" ca="1" si="52">OFFSET(A1_原単位2025,18,$HL10+2)</f>
        <v/>
      </c>
      <c r="HR10" s="1199" t="str">
        <f ca="1">OFFSET(A1_原単位2026,17,HL10+2)&amp;""</f>
        <v/>
      </c>
      <c r="HS10" s="1202" t="str">
        <f t="shared" ref="HS10:HS41" ca="1" si="53">IF(HR10="","",HYPERLINK("#"&amp;IF10,"&lt;"&amp;IF10&amp;"&gt;"))</f>
        <v/>
      </c>
      <c r="HT10" s="1208" t="str">
        <f t="shared" ref="HT10:HT41" ca="1" si="54">IF(HR10="","",HYPERLINK("#"&amp;OFFSET(A1_原単位2026,67,$HL10+2),OFFSET(A1_原単位2026,63,$HL10+2)))</f>
        <v/>
      </c>
      <c r="HU10" s="1222" t="str">
        <f t="shared" ref="HU10:HU41" ca="1" si="55">OFFSET(A1_原単位2025,30,$HL10+2)</f>
        <v/>
      </c>
      <c r="HV10" s="1199" t="str">
        <f ca="1">OFFSET(A1_原単位2026,29,HL10+2)&amp;""</f>
        <v/>
      </c>
      <c r="HW10" s="1210" t="str">
        <f t="shared" ref="HW10:HW41" ca="1" si="56">IF(HV10="","",HYPERLINK("#"&amp;IG10,"&lt;"&amp;IG10&amp;"&gt;"))</f>
        <v/>
      </c>
      <c r="HX10" s="1208" t="str">
        <f t="shared" ref="HX10:HX41" ca="1" si="57">IF(HV10="","",HYPERLINK("#"&amp;OFFSET(A1_原単位2026,68,$HL10+2),OFFSET(A1_原単位2026,64,$HL10+2)))</f>
        <v/>
      </c>
      <c r="HY10" s="1222" t="str">
        <f t="shared" ref="HY10:HY41" ca="1" si="58">OFFSET(A1_原単位2025,42,$HL10+2)</f>
        <v/>
      </c>
      <c r="HZ10" s="1199" t="str">
        <f ca="1">OFFSET(A1_原単位2026,41,HL10+2)&amp;""</f>
        <v/>
      </c>
      <c r="IA10" s="1210" t="str">
        <f t="shared" ref="IA10:IA41" ca="1" si="59">IF(HZ10="","",HYPERLINK("#"&amp;IH10,"&lt;"&amp;IH10&amp;"&gt;"))</f>
        <v/>
      </c>
      <c r="IB10" s="1211" t="str">
        <f t="shared" ref="IB10:IB41" ca="1" si="60">IF(HZ10="","",HYPERLINK("#"&amp;OFFSET(A1_原単位2026,69,$HL10+2),OFFSET(A1_原単位2026,65,$HL10+2)))</f>
        <v/>
      </c>
      <c r="IE10" s="882" t="str">
        <f t="shared" ref="IE10:IE41" ca="1" si="61">IF($HN10="","",ADDRESS(ROW(貼付け_2026実績)+5,OFFSET(A1_原単位2026,7,$HL10+2)+COLUMN(貼付け_2026実績)+1,4))</f>
        <v/>
      </c>
      <c r="IF10" s="882" t="str">
        <f t="shared" ref="IF10:IF41" ca="1" si="62">IF($HR10="","",ADDRESS(ROW(貼付け_2026実績)+5,OFFSET(A1_原単位2026,19,$HL10+2)+COLUMN(貼付け_2026実績)+1,4))</f>
        <v/>
      </c>
      <c r="IG10" s="882" t="str">
        <f t="shared" ref="IG10:IG41" ca="1" si="63">IF($HV10="","",ADDRESS(ROW(貼付け_2026実績)+5,OFFSET(A1_原単位2026,31,$HL10+2)+COLUMN(貼付け_2026実績)+1,4))</f>
        <v/>
      </c>
      <c r="IH10" s="882" t="str">
        <f t="shared" ref="IH10:IH41" ca="1" si="64">IF($HZ10="","",ADDRESS(ROW(貼付け_2026実績)+5,OFFSET(A1_原単位2026,43,$HL10+2)+COLUMN(貼付け_2026実績)+1,4))</f>
        <v/>
      </c>
    </row>
    <row r="11" spans="1:242" s="889" customFormat="1" ht="19.8">
      <c r="B11" s="597" t="s">
        <v>1201</v>
      </c>
      <c r="C11" s="598" t="s">
        <v>1202</v>
      </c>
      <c r="D11" s="599"/>
      <c r="E11" s="600" t="s">
        <v>1203</v>
      </c>
      <c r="F11" s="601"/>
      <c r="G11" s="590" t="s">
        <v>1204</v>
      </c>
      <c r="H11" s="591"/>
      <c r="I11" s="590" t="s">
        <v>1205</v>
      </c>
      <c r="J11" s="591"/>
      <c r="K11" s="592" t="s">
        <v>1206</v>
      </c>
      <c r="L11" s="593"/>
      <c r="M11" s="594" t="s">
        <v>1</v>
      </c>
      <c r="N11" s="104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373" t="s">
        <v>470</v>
      </c>
      <c r="HD11" s="1374"/>
      <c r="HE11" s="1325" t="str">
        <f t="shared" ref="HE11:HE12" si="65">IF(L11="","",L11)</f>
        <v/>
      </c>
      <c r="HF11" s="1326"/>
      <c r="HG11" s="1327" t="str">
        <f>IF(M11="","",M11)</f>
        <v/>
      </c>
      <c r="HH11" s="1325"/>
      <c r="HI11" s="1325"/>
      <c r="HJ11" s="1328"/>
      <c r="HL11" s="908">
        <v>2</v>
      </c>
      <c r="HM11" s="1223" t="str">
        <f t="shared" ca="1" si="49"/>
        <v/>
      </c>
      <c r="HN11" s="1200" t="str">
        <f ca="1">IF(COUNTIF(HN$10:HN10,OFFSET(A1_原単位2026,5,HL11+2))&gt;=1,"",OFFSET(A1_原単位2026,5,HL11+2)&amp;"")</f>
        <v/>
      </c>
      <c r="HO11" s="1204" t="str">
        <f t="shared" ca="1" si="50"/>
        <v/>
      </c>
      <c r="HP11" s="1205" t="str">
        <f t="shared" ca="1" si="51"/>
        <v/>
      </c>
      <c r="HQ11" s="1223" t="str">
        <f t="shared" ca="1" si="52"/>
        <v/>
      </c>
      <c r="HR11" s="1200" t="str">
        <f ca="1">IF(COUNTIF(HR$10:HR10,OFFSET(A1_原単位2026,17,HL11+2))&gt;=1,"",OFFSET(A1_原単位2026,17,HL11+2)&amp;"")</f>
        <v/>
      </c>
      <c r="HS11" s="1212" t="str">
        <f t="shared" ca="1" si="53"/>
        <v/>
      </c>
      <c r="HT11" s="1213" t="str">
        <f t="shared" ca="1" si="54"/>
        <v/>
      </c>
      <c r="HU11" s="1223" t="str">
        <f t="shared" ca="1" si="55"/>
        <v/>
      </c>
      <c r="HV11" s="1200" t="str">
        <f ca="1">IF(COUNTIF(HV$10:HV10,OFFSET(A1_原単位2026,29,HL11+2))&gt;=1,"",OFFSET(A1_原単位2026,29,HL11+2)&amp;"")</f>
        <v/>
      </c>
      <c r="HW11" s="1212" t="str">
        <f t="shared" ca="1" si="56"/>
        <v/>
      </c>
      <c r="HX11" s="1213" t="str">
        <f t="shared" ca="1" si="57"/>
        <v/>
      </c>
      <c r="HY11" s="1223" t="str">
        <f t="shared" ca="1" si="58"/>
        <v/>
      </c>
      <c r="HZ11" s="1200" t="str">
        <f ca="1">IF(COUNTIF(HZ$10:HZ10,OFFSET(A1_原単位2026,41,HL11+2))&gt;=1,"",OFFSET(A1_原単位2026,41,HL11+2)&amp;"")</f>
        <v/>
      </c>
      <c r="IA11" s="1215" t="str">
        <f t="shared" ca="1" si="59"/>
        <v/>
      </c>
      <c r="IB11" s="1216" t="str">
        <f t="shared" ca="1" si="60"/>
        <v/>
      </c>
      <c r="IE11" s="882" t="str">
        <f t="shared" ca="1" si="61"/>
        <v/>
      </c>
      <c r="IF11" s="882" t="str">
        <f t="shared" ca="1" si="62"/>
        <v/>
      </c>
      <c r="IG11" s="882" t="str">
        <f t="shared" ca="1" si="63"/>
        <v/>
      </c>
      <c r="IH11" s="882" t="str">
        <f t="shared" ca="1" si="64"/>
        <v/>
      </c>
    </row>
    <row r="12" spans="1:242" s="889" customFormat="1" ht="20.100000000000001" customHeight="1" thickBot="1">
      <c r="B12" s="603" t="s">
        <v>471</v>
      </c>
      <c r="C12" s="604"/>
      <c r="D12" s="605"/>
      <c r="E12" s="606"/>
      <c r="F12" s="607"/>
      <c r="G12" s="608" t="s">
        <v>1207</v>
      </c>
      <c r="H12" s="609"/>
      <c r="I12" s="610"/>
      <c r="J12" s="611"/>
      <c r="K12" s="612" t="s">
        <v>472</v>
      </c>
      <c r="L12" s="613" t="s">
        <v>1</v>
      </c>
      <c r="M12" s="614" t="s">
        <v>1</v>
      </c>
      <c r="N12" s="1046"/>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359" t="s">
        <v>472</v>
      </c>
      <c r="HD12" s="1360"/>
      <c r="HE12" s="1316" t="str">
        <f t="shared" si="65"/>
        <v/>
      </c>
      <c r="HF12" s="1317"/>
      <c r="HG12" s="1318" t="str">
        <f>IF(M12="","",M12)</f>
        <v/>
      </c>
      <c r="HH12" s="1316"/>
      <c r="HI12" s="1316"/>
      <c r="HJ12" s="1319"/>
      <c r="HL12" s="907">
        <v>3</v>
      </c>
      <c r="HM12" s="1223" t="str">
        <f t="shared" ca="1" si="49"/>
        <v/>
      </c>
      <c r="HN12" s="1200" t="str">
        <f ca="1">IF(COUNTIF(HN$10:HN11,OFFSET(A1_原単位2026,5,HL12+2))&gt;=1,"",OFFSET(A1_原単位2026,5,HL12+2)&amp;"")</f>
        <v/>
      </c>
      <c r="HO12" s="1204" t="str">
        <f t="shared" ca="1" si="50"/>
        <v/>
      </c>
      <c r="HP12" s="1205" t="str">
        <f t="shared" ca="1" si="51"/>
        <v/>
      </c>
      <c r="HQ12" s="1223" t="str">
        <f t="shared" ca="1" si="52"/>
        <v/>
      </c>
      <c r="HR12" s="1200" t="str">
        <f ca="1">IF(COUNTIF(HR$10:HR11,OFFSET(A1_原単位2026,17,HL12+2))&gt;=1,"",OFFSET(A1_原単位2026,17,HL12+2)&amp;"")</f>
        <v/>
      </c>
      <c r="HS12" s="1212" t="str">
        <f t="shared" ca="1" si="53"/>
        <v/>
      </c>
      <c r="HT12" s="1213" t="str">
        <f t="shared" ca="1" si="54"/>
        <v/>
      </c>
      <c r="HU12" s="1223" t="str">
        <f t="shared" ca="1" si="55"/>
        <v/>
      </c>
      <c r="HV12" s="1200" t="str">
        <f ca="1">IF(COUNTIF(HV$10:HV11,OFFSET(A1_原単位2026,29,HL12+2))&gt;=1,"",OFFSET(A1_原単位2026,29,HL12+2)&amp;"")</f>
        <v/>
      </c>
      <c r="HW12" s="1212" t="str">
        <f t="shared" ca="1" si="56"/>
        <v/>
      </c>
      <c r="HX12" s="1213" t="str">
        <f t="shared" ca="1" si="57"/>
        <v/>
      </c>
      <c r="HY12" s="1223" t="str">
        <f t="shared" ca="1" si="58"/>
        <v/>
      </c>
      <c r="HZ12" s="1200" t="str">
        <f ca="1">IF(COUNTIF(HZ$10:HZ11,OFFSET(A1_原単位2026,41,HL12+2))&gt;=1,"",OFFSET(A1_原単位2026,41,HL12+2)&amp;"")</f>
        <v/>
      </c>
      <c r="IA12" s="1215" t="str">
        <f t="shared" ca="1" si="59"/>
        <v/>
      </c>
      <c r="IB12" s="1216" t="str">
        <f t="shared" ca="1" si="60"/>
        <v/>
      </c>
      <c r="IE12" s="882" t="str">
        <f t="shared" ca="1" si="61"/>
        <v/>
      </c>
      <c r="IF12" s="882" t="str">
        <f t="shared" ca="1" si="62"/>
        <v/>
      </c>
      <c r="IG12" s="882" t="str">
        <f t="shared" ca="1" si="63"/>
        <v/>
      </c>
      <c r="IH12" s="882" t="str">
        <f t="shared" ca="1" si="64"/>
        <v/>
      </c>
    </row>
    <row r="13" spans="1:242" s="889" customFormat="1" ht="20.100000000000001"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361" t="s">
        <v>464</v>
      </c>
      <c r="HD13" s="1362"/>
      <c r="HE13" s="1362"/>
      <c r="HF13" s="1363"/>
      <c r="HG13" s="1361" t="s">
        <v>459</v>
      </c>
      <c r="HH13" s="1362"/>
      <c r="HI13" s="1362"/>
      <c r="HJ13" s="1363"/>
      <c r="HL13" s="908">
        <v>4</v>
      </c>
      <c r="HM13" s="1223" t="str">
        <f t="shared" ca="1" si="49"/>
        <v/>
      </c>
      <c r="HN13" s="1200" t="str">
        <f ca="1">IF(COUNTIF(HN$10:HN12,OFFSET(A1_原単位2026,5,HL13+2))&gt;=1,"",OFFSET(A1_原単位2026,5,HL13+2)&amp;"")</f>
        <v/>
      </c>
      <c r="HO13" s="1204" t="str">
        <f t="shared" ca="1" si="50"/>
        <v/>
      </c>
      <c r="HP13" s="1205" t="str">
        <f t="shared" ca="1" si="51"/>
        <v/>
      </c>
      <c r="HQ13" s="1223" t="str">
        <f t="shared" ca="1" si="52"/>
        <v/>
      </c>
      <c r="HR13" s="1200" t="str">
        <f ca="1">IF(COUNTIF(HR$10:HR12,OFFSET(A1_原単位2026,17,HL13+2))&gt;=1,"",OFFSET(A1_原単位2026,17,HL13+2)&amp;"")</f>
        <v/>
      </c>
      <c r="HS13" s="1212" t="str">
        <f t="shared" ca="1" si="53"/>
        <v/>
      </c>
      <c r="HT13" s="1213" t="str">
        <f t="shared" ca="1" si="54"/>
        <v/>
      </c>
      <c r="HU13" s="1223" t="str">
        <f t="shared" ca="1" si="55"/>
        <v/>
      </c>
      <c r="HV13" s="1200" t="str">
        <f ca="1">IF(COUNTIF(HV$10:HV12,OFFSET(A1_原単位2026,29,HL13+2))&gt;=1,"",OFFSET(A1_原単位2026,29,HL13+2)&amp;"")</f>
        <v/>
      </c>
      <c r="HW13" s="1212" t="str">
        <f t="shared" ca="1" si="56"/>
        <v/>
      </c>
      <c r="HX13" s="1213" t="str">
        <f t="shared" ca="1" si="57"/>
        <v/>
      </c>
      <c r="HY13" s="1223" t="str">
        <f t="shared" ca="1" si="58"/>
        <v/>
      </c>
      <c r="HZ13" s="1200" t="str">
        <f ca="1">IF(COUNTIF(HZ$10:HZ12,OFFSET(A1_原単位2026,41,HL13+2))&gt;=1,"",OFFSET(A1_原単位2026,41,HL13+2)&amp;"")</f>
        <v/>
      </c>
      <c r="IA13" s="1215" t="str">
        <f t="shared" ca="1" si="59"/>
        <v/>
      </c>
      <c r="IB13" s="1216" t="str">
        <f t="shared" ca="1" si="60"/>
        <v/>
      </c>
      <c r="IE13" s="882" t="str">
        <f t="shared" ca="1" si="61"/>
        <v/>
      </c>
      <c r="IF13" s="882" t="str">
        <f t="shared" ca="1" si="62"/>
        <v/>
      </c>
      <c r="IG13" s="882" t="str">
        <f t="shared" ca="1" si="63"/>
        <v/>
      </c>
      <c r="IH13" s="882" t="str">
        <f t="shared" ca="1" si="64"/>
        <v/>
      </c>
    </row>
    <row r="14" spans="1:242" s="889" customFormat="1" ht="20.100000000000001"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364" t="s">
        <v>518</v>
      </c>
      <c r="HD14" s="1365"/>
      <c r="HE14" s="1195">
        <f ca="1">参考2_エネ使用量経年!N95</f>
        <v>0</v>
      </c>
      <c r="HF14" s="909" t="s">
        <v>519</v>
      </c>
      <c r="HG14" s="1364" t="s">
        <v>518</v>
      </c>
      <c r="HH14" s="1365"/>
      <c r="HI14" s="1195">
        <f ca="1">参考2_エネ使用量経年!V95</f>
        <v>0</v>
      </c>
      <c r="HJ14" s="909" t="s">
        <v>519</v>
      </c>
      <c r="HL14" s="907">
        <v>5</v>
      </c>
      <c r="HM14" s="1223" t="str">
        <f t="shared" ca="1" si="49"/>
        <v/>
      </c>
      <c r="HN14" s="1200" t="str">
        <f ca="1">IF(COUNTIF(HN$10:HN13,OFFSET(A1_原単位2026,5,HL14+2))&gt;=1,"",OFFSET(A1_原単位2026,5,HL14+2)&amp;"")</f>
        <v/>
      </c>
      <c r="HO14" s="1204" t="str">
        <f t="shared" ca="1" si="50"/>
        <v/>
      </c>
      <c r="HP14" s="1205" t="str">
        <f t="shared" ca="1" si="51"/>
        <v/>
      </c>
      <c r="HQ14" s="1223" t="str">
        <f t="shared" ca="1" si="52"/>
        <v/>
      </c>
      <c r="HR14" s="1200" t="str">
        <f ca="1">IF(COUNTIF(HR$10:HR13,OFFSET(A1_原単位2026,17,HL14+2))&gt;=1,"",OFFSET(A1_原単位2026,17,HL14+2)&amp;"")</f>
        <v/>
      </c>
      <c r="HS14" s="1212" t="str">
        <f t="shared" ca="1" si="53"/>
        <v/>
      </c>
      <c r="HT14" s="1213" t="str">
        <f t="shared" ca="1" si="54"/>
        <v/>
      </c>
      <c r="HU14" s="1223" t="str">
        <f t="shared" ca="1" si="55"/>
        <v/>
      </c>
      <c r="HV14" s="1200" t="str">
        <f ca="1">IF(COUNTIF(HV$10:HV13,OFFSET(A1_原単位2026,29,HL14+2))&gt;=1,"",OFFSET(A1_原単位2026,29,HL14+2)&amp;"")</f>
        <v/>
      </c>
      <c r="HW14" s="1212" t="str">
        <f t="shared" ca="1" si="56"/>
        <v/>
      </c>
      <c r="HX14" s="1213" t="str">
        <f t="shared" ca="1" si="57"/>
        <v/>
      </c>
      <c r="HY14" s="1223" t="str">
        <f t="shared" ca="1" si="58"/>
        <v/>
      </c>
      <c r="HZ14" s="1200" t="str">
        <f ca="1">IF(COUNTIF(HZ$10:HZ13,OFFSET(A1_原単位2026,41,HL14+2))&gt;=1,"",OFFSET(A1_原単位2026,41,HL14+2)&amp;"")</f>
        <v/>
      </c>
      <c r="IA14" s="1215" t="str">
        <f t="shared" ca="1" si="59"/>
        <v/>
      </c>
      <c r="IB14" s="1216" t="str">
        <f t="shared" ca="1" si="60"/>
        <v/>
      </c>
      <c r="IE14" s="882" t="str">
        <f t="shared" ca="1" si="61"/>
        <v/>
      </c>
      <c r="IF14" s="882" t="str">
        <f t="shared" ca="1" si="62"/>
        <v/>
      </c>
      <c r="IG14" s="882" t="str">
        <f t="shared" ca="1" si="63"/>
        <v/>
      </c>
      <c r="IH14" s="882" t="str">
        <f t="shared" ca="1" si="64"/>
        <v/>
      </c>
    </row>
    <row r="15" spans="1:242" s="889" customFormat="1" ht="20.100000000000001"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366" t="s">
        <v>524</v>
      </c>
      <c r="HD15" s="1367"/>
      <c r="HE15" s="1196">
        <f ca="1">参考3_排出量経年!N116</f>
        <v>0</v>
      </c>
      <c r="HF15" s="910" t="s">
        <v>525</v>
      </c>
      <c r="HG15" s="1366" t="s">
        <v>524</v>
      </c>
      <c r="HH15" s="1367"/>
      <c r="HI15" s="1196">
        <f ca="1">参考3_排出量経年!V116</f>
        <v>0</v>
      </c>
      <c r="HJ15" s="910" t="s">
        <v>525</v>
      </c>
      <c r="HL15" s="908">
        <v>6</v>
      </c>
      <c r="HM15" s="1223" t="str">
        <f t="shared" ca="1" si="49"/>
        <v/>
      </c>
      <c r="HN15" s="1200" t="str">
        <f ca="1">IF(COUNTIF(HN$10:HN14,OFFSET(A1_原単位2026,5,HL15+2))&gt;=1,"",OFFSET(A1_原単位2026,5,HL15+2)&amp;"")</f>
        <v/>
      </c>
      <c r="HO15" s="1204" t="str">
        <f t="shared" ca="1" si="50"/>
        <v/>
      </c>
      <c r="HP15" s="1205" t="str">
        <f t="shared" ca="1" si="51"/>
        <v/>
      </c>
      <c r="HQ15" s="1223" t="str">
        <f t="shared" ca="1" si="52"/>
        <v/>
      </c>
      <c r="HR15" s="1200" t="str">
        <f ca="1">IF(COUNTIF(HR$10:HR14,OFFSET(A1_原単位2026,17,HL15+2))&gt;=1,"",OFFSET(A1_原単位2026,17,HL15+2)&amp;"")</f>
        <v/>
      </c>
      <c r="HS15" s="1212" t="str">
        <f t="shared" ca="1" si="53"/>
        <v/>
      </c>
      <c r="HT15" s="1213" t="str">
        <f t="shared" ca="1" si="54"/>
        <v/>
      </c>
      <c r="HU15" s="1223" t="str">
        <f t="shared" ca="1" si="55"/>
        <v/>
      </c>
      <c r="HV15" s="1200" t="str">
        <f ca="1">IF(COUNTIF(HV$10:HV14,OFFSET(A1_原単位2026,29,HL15+2))&gt;=1,"",OFFSET(A1_原単位2026,29,HL15+2)&amp;"")</f>
        <v/>
      </c>
      <c r="HW15" s="1212" t="str">
        <f t="shared" ca="1" si="56"/>
        <v/>
      </c>
      <c r="HX15" s="1213" t="str">
        <f t="shared" ca="1" si="57"/>
        <v/>
      </c>
      <c r="HY15" s="1223" t="str">
        <f t="shared" ca="1" si="58"/>
        <v/>
      </c>
      <c r="HZ15" s="1200" t="str">
        <f ca="1">IF(COUNTIF(HZ$10:HZ14,OFFSET(A1_原単位2026,41,HL15+2))&gt;=1,"",OFFSET(A1_原単位2026,41,HL15+2)&amp;"")</f>
        <v/>
      </c>
      <c r="IA15" s="1215" t="str">
        <f t="shared" ca="1" si="59"/>
        <v/>
      </c>
      <c r="IB15" s="1216" t="str">
        <f t="shared" ca="1" si="60"/>
        <v/>
      </c>
      <c r="IE15" s="882" t="str">
        <f t="shared" ca="1" si="61"/>
        <v/>
      </c>
      <c r="IF15" s="882" t="str">
        <f t="shared" ca="1" si="62"/>
        <v/>
      </c>
      <c r="IG15" s="882" t="str">
        <f t="shared" ca="1" si="63"/>
        <v/>
      </c>
      <c r="IH15" s="882" t="str">
        <f t="shared" ca="1" si="64"/>
        <v/>
      </c>
    </row>
    <row r="16" spans="1:242" s="889" customFormat="1" ht="20.100000000000001"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223" t="str">
        <f t="shared" ca="1" si="49"/>
        <v/>
      </c>
      <c r="HN16" s="1200" t="str">
        <f ca="1">IF(COUNTIF(HN$10:HN15,OFFSET(A1_原単位2026,5,HL16+2))&gt;=1,"",OFFSET(A1_原単位2026,5,HL16+2)&amp;"")</f>
        <v/>
      </c>
      <c r="HO16" s="1204" t="str">
        <f t="shared" ca="1" si="50"/>
        <v/>
      </c>
      <c r="HP16" s="1205" t="str">
        <f t="shared" ca="1" si="51"/>
        <v/>
      </c>
      <c r="HQ16" s="1223" t="str">
        <f t="shared" ca="1" si="52"/>
        <v/>
      </c>
      <c r="HR16" s="1200" t="str">
        <f ca="1">IF(COUNTIF(HR$10:HR15,OFFSET(A1_原単位2026,17,HL16+2))&gt;=1,"",OFFSET(A1_原単位2026,17,HL16+2)&amp;"")</f>
        <v/>
      </c>
      <c r="HS16" s="1212" t="str">
        <f t="shared" ca="1" si="53"/>
        <v/>
      </c>
      <c r="HT16" s="1213" t="str">
        <f t="shared" ca="1" si="54"/>
        <v/>
      </c>
      <c r="HU16" s="1223" t="str">
        <f t="shared" ca="1" si="55"/>
        <v/>
      </c>
      <c r="HV16" s="1200" t="str">
        <f ca="1">IF(COUNTIF(HV$10:HV15,OFFSET(A1_原単位2026,29,HL16+2))&gt;=1,"",OFFSET(A1_原単位2026,29,HL16+2)&amp;"")</f>
        <v/>
      </c>
      <c r="HW16" s="1212" t="str">
        <f t="shared" ca="1" si="56"/>
        <v/>
      </c>
      <c r="HX16" s="1213" t="str">
        <f t="shared" ca="1" si="57"/>
        <v/>
      </c>
      <c r="HY16" s="1223" t="str">
        <f t="shared" ca="1" si="58"/>
        <v/>
      </c>
      <c r="HZ16" s="1200" t="str">
        <f ca="1">IF(COUNTIF(HZ$10:HZ15,OFFSET(A1_原単位2026,41,HL16+2))&gt;=1,"",OFFSET(A1_原単位2026,41,HL16+2)&amp;"")</f>
        <v/>
      </c>
      <c r="IA16" s="1215" t="str">
        <f t="shared" ca="1" si="59"/>
        <v/>
      </c>
      <c r="IB16" s="1216" t="str">
        <f t="shared" ca="1" si="60"/>
        <v/>
      </c>
      <c r="IE16" s="882" t="str">
        <f t="shared" ca="1" si="61"/>
        <v/>
      </c>
      <c r="IF16" s="882" t="str">
        <f t="shared" ca="1" si="62"/>
        <v/>
      </c>
      <c r="IG16" s="882" t="str">
        <f t="shared" ca="1" si="63"/>
        <v/>
      </c>
      <c r="IH16" s="882" t="str">
        <f t="shared" ca="1" si="64"/>
        <v/>
      </c>
    </row>
    <row r="17" spans="2:242" s="889" customFormat="1" ht="20.100000000000001"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914">
        <f>K17+O17+S17+W17+AA17+AE17+AI17+AM17+AQ17+AU17+AY17+BC17+BG17+BK17+BO17+BS17+BW17+CA17+CE17+CI17+CM17+CQ17+CU17+CY17+DC17+DG17+DK17+DO17+DS17+DW17+EA17+EE17+EI17+EM17+EQ17+EU17+EY17+FC17+FG17+FK17+FO17+FS17+FW17+GA17+GE17+GI17+GM17+GQ17+GU17+GY17</f>
        <v>0</v>
      </c>
      <c r="HD17" s="916">
        <f t="shared" ref="HD17:HE32" si="66">L17+P17+T17+X17+AB17+AF17+AJ17+AN17+AR17+AV17+AZ17+BD17+BH17+BL17+BP17+BT17+BX17+CB17+CF17+CJ17+CN17+CR17+CV17+CZ17+DD17+DH17+DL17+DP17+DT17+DX17+EB17+EF17+EJ17+EN17+ER17+EV17+EZ17+FD17+FH17+FL17+FP17+FT17+FX17+GB17+GF17+GJ17+GN17+GR17+GV17+GZ17</f>
        <v>0</v>
      </c>
      <c r="HE17" s="916">
        <f t="shared" si="66"/>
        <v>0</v>
      </c>
      <c r="HF17" s="915"/>
      <c r="HG17" s="914">
        <f>SUM(SUMIFS(K17:HB17,$K$13:$HB$13,{"エネルギー管理指定工場等*","県域*"}))</f>
        <v>0</v>
      </c>
      <c r="HH17" s="916">
        <f>SUM(SUMIFS(L17:HC17,$K$13:$HB$13,{"エネルギー管理指定工場等*","県域*"}))</f>
        <v>0</v>
      </c>
      <c r="HI17" s="916">
        <f>SUM(SUMIFS(M17:HD17,$K$13:$HB$13,{"エネルギー管理指定工場等*","県域*"}))</f>
        <v>0</v>
      </c>
      <c r="HJ17" s="915"/>
      <c r="HL17" s="907">
        <v>8</v>
      </c>
      <c r="HM17" s="1223" t="str">
        <f t="shared" ca="1" si="49"/>
        <v/>
      </c>
      <c r="HN17" s="1200" t="str">
        <f ca="1">IF(COUNTIF(HN$10:HN16,OFFSET(A1_原単位2026,5,HL17+2))&gt;=1,"",OFFSET(A1_原単位2026,5,HL17+2)&amp;"")</f>
        <v/>
      </c>
      <c r="HO17" s="1204" t="str">
        <f t="shared" ca="1" si="50"/>
        <v/>
      </c>
      <c r="HP17" s="1205" t="str">
        <f t="shared" ca="1" si="51"/>
        <v/>
      </c>
      <c r="HQ17" s="1223" t="str">
        <f t="shared" ca="1" si="52"/>
        <v/>
      </c>
      <c r="HR17" s="1200" t="str">
        <f ca="1">IF(COUNTIF(HR$10:HR16,OFFSET(A1_原単位2026,17,HL17+2))&gt;=1,"",OFFSET(A1_原単位2026,17,HL17+2)&amp;"")</f>
        <v/>
      </c>
      <c r="HS17" s="1212" t="str">
        <f t="shared" ca="1" si="53"/>
        <v/>
      </c>
      <c r="HT17" s="1213" t="str">
        <f t="shared" ca="1" si="54"/>
        <v/>
      </c>
      <c r="HU17" s="1223" t="str">
        <f t="shared" ca="1" si="55"/>
        <v/>
      </c>
      <c r="HV17" s="1200" t="str">
        <f ca="1">IF(COUNTIF(HV$10:HV16,OFFSET(A1_原単位2026,29,HL17+2))&gt;=1,"",OFFSET(A1_原単位2026,29,HL17+2)&amp;"")</f>
        <v/>
      </c>
      <c r="HW17" s="1212" t="str">
        <f t="shared" ca="1" si="56"/>
        <v/>
      </c>
      <c r="HX17" s="1213" t="str">
        <f t="shared" ca="1" si="57"/>
        <v/>
      </c>
      <c r="HY17" s="1223" t="str">
        <f t="shared" ca="1" si="58"/>
        <v/>
      </c>
      <c r="HZ17" s="1200" t="str">
        <f ca="1">IF(COUNTIF(HZ$10:HZ16,OFFSET(A1_原単位2026,41,HL17+2))&gt;=1,"",OFFSET(A1_原単位2026,41,HL17+2)&amp;"")</f>
        <v/>
      </c>
      <c r="IA17" s="1215" t="str">
        <f t="shared" ca="1" si="59"/>
        <v/>
      </c>
      <c r="IB17" s="1216" t="str">
        <f t="shared" ca="1" si="60"/>
        <v/>
      </c>
      <c r="IE17" s="882" t="str">
        <f t="shared" ca="1" si="61"/>
        <v/>
      </c>
      <c r="IF17" s="882" t="str">
        <f t="shared" ca="1" si="62"/>
        <v/>
      </c>
      <c r="IG17" s="882" t="str">
        <f t="shared" ca="1" si="63"/>
        <v/>
      </c>
      <c r="IH17" s="882" t="str">
        <f t="shared" ca="1" si="64"/>
        <v/>
      </c>
    </row>
    <row r="18" spans="2:242" s="889" customFormat="1" ht="20.100000000000001"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918">
        <f t="shared" ref="HC18:HF81" si="67">K18+O18+S18+W18+AA18+AE18+AI18+AM18+AQ18+AU18+AY18+BC18+BG18+BK18+BO18+BS18+BW18+CA18+CE18+CI18+CM18+CQ18+CU18+CY18+DC18+DG18+DK18+DO18+DS18+DW18+EA18+EE18+EI18+EM18+EQ18+EU18+EY18+FC18+FG18+FK18+FO18+FS18+FW18+GA18+GE18+GI18+GM18+GQ18+GU18+GY18</f>
        <v>0</v>
      </c>
      <c r="HD18" s="921">
        <f t="shared" si="66"/>
        <v>0</v>
      </c>
      <c r="HE18" s="921">
        <f t="shared" si="66"/>
        <v>0</v>
      </c>
      <c r="HF18" s="920"/>
      <c r="HG18" s="918">
        <f>SUM(SUMIFS(K18:HB18,$K$13:$HB$13,{"エネルギー管理指定工場等*","県域*"}))</f>
        <v>0</v>
      </c>
      <c r="HH18" s="921">
        <f>SUM(SUMIFS(L18:HC18,$K$13:$HB$13,{"エネルギー管理指定工場等*","県域*"}))</f>
        <v>0</v>
      </c>
      <c r="HI18" s="921">
        <f>SUM(SUMIFS(M18:HD18,$K$13:$HB$13,{"エネルギー管理指定工場等*","県域*"}))</f>
        <v>0</v>
      </c>
      <c r="HJ18" s="920"/>
      <c r="HL18" s="908">
        <v>9</v>
      </c>
      <c r="HM18" s="1223" t="str">
        <f t="shared" ca="1" si="49"/>
        <v/>
      </c>
      <c r="HN18" s="1200" t="str">
        <f ca="1">IF(COUNTIF(HN$10:HN17,OFFSET(A1_原単位2026,5,HL18+2))&gt;=1,"",OFFSET(A1_原単位2026,5,HL18+2)&amp;"")</f>
        <v/>
      </c>
      <c r="HO18" s="1204" t="str">
        <f t="shared" ca="1" si="50"/>
        <v/>
      </c>
      <c r="HP18" s="1205" t="str">
        <f t="shared" ca="1" si="51"/>
        <v/>
      </c>
      <c r="HQ18" s="1223" t="str">
        <f t="shared" ca="1" si="52"/>
        <v/>
      </c>
      <c r="HR18" s="1200" t="str">
        <f ca="1">IF(COUNTIF(HR$10:HR17,OFFSET(A1_原単位2026,17,HL18+2))&gt;=1,"",OFFSET(A1_原単位2026,17,HL18+2)&amp;"")</f>
        <v/>
      </c>
      <c r="HS18" s="1212" t="str">
        <f t="shared" ca="1" si="53"/>
        <v/>
      </c>
      <c r="HT18" s="1213" t="str">
        <f t="shared" ca="1" si="54"/>
        <v/>
      </c>
      <c r="HU18" s="1223" t="str">
        <f t="shared" ca="1" si="55"/>
        <v/>
      </c>
      <c r="HV18" s="1200" t="str">
        <f ca="1">IF(COUNTIF(HV$10:HV17,OFFSET(A1_原単位2026,29,HL18+2))&gt;=1,"",OFFSET(A1_原単位2026,29,HL18+2)&amp;"")</f>
        <v/>
      </c>
      <c r="HW18" s="1212" t="str">
        <f t="shared" ca="1" si="56"/>
        <v/>
      </c>
      <c r="HX18" s="1213" t="str">
        <f t="shared" ca="1" si="57"/>
        <v/>
      </c>
      <c r="HY18" s="1223" t="str">
        <f t="shared" ca="1" si="58"/>
        <v/>
      </c>
      <c r="HZ18" s="1200" t="str">
        <f ca="1">IF(COUNTIF(HZ$10:HZ17,OFFSET(A1_原単位2026,41,HL18+2))&gt;=1,"",OFFSET(A1_原単位2026,41,HL18+2)&amp;"")</f>
        <v/>
      </c>
      <c r="IA18" s="1215" t="str">
        <f t="shared" ca="1" si="59"/>
        <v/>
      </c>
      <c r="IB18" s="1216" t="str">
        <f t="shared" ca="1" si="60"/>
        <v/>
      </c>
      <c r="IE18" s="882" t="str">
        <f t="shared" ca="1" si="61"/>
        <v/>
      </c>
      <c r="IF18" s="882" t="str">
        <f t="shared" ca="1" si="62"/>
        <v/>
      </c>
      <c r="IG18" s="882" t="str">
        <f t="shared" ca="1" si="63"/>
        <v/>
      </c>
      <c r="IH18" s="882" t="str">
        <f t="shared" ca="1" si="64"/>
        <v/>
      </c>
    </row>
    <row r="19" spans="2:242" s="889" customFormat="1" ht="20.100000000000001"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918">
        <f t="shared" si="67"/>
        <v>0</v>
      </c>
      <c r="HD19" s="921">
        <f t="shared" si="66"/>
        <v>0</v>
      </c>
      <c r="HE19" s="921">
        <f t="shared" si="66"/>
        <v>0</v>
      </c>
      <c r="HF19" s="920"/>
      <c r="HG19" s="918">
        <f>SUM(SUMIFS(K19:HB19,$K$13:$HB$13,{"エネルギー管理指定工場等*","県域*"}))</f>
        <v>0</v>
      </c>
      <c r="HH19" s="921">
        <f>SUM(SUMIFS(L19:HC19,$K$13:$HB$13,{"エネルギー管理指定工場等*","県域*"}))</f>
        <v>0</v>
      </c>
      <c r="HI19" s="921">
        <f>SUM(SUMIFS(M19:HD19,$K$13:$HB$13,{"エネルギー管理指定工場等*","県域*"}))</f>
        <v>0</v>
      </c>
      <c r="HJ19" s="920"/>
      <c r="HL19" s="907">
        <v>10</v>
      </c>
      <c r="HM19" s="1223" t="str">
        <f t="shared" ca="1" si="49"/>
        <v/>
      </c>
      <c r="HN19" s="1200" t="str">
        <f ca="1">IF(COUNTIF(HN$10:HN18,OFFSET(A1_原単位2026,5,HL19+2))&gt;=1,"",OFFSET(A1_原単位2026,5,HL19+2)&amp;"")</f>
        <v/>
      </c>
      <c r="HO19" s="1204" t="str">
        <f t="shared" ca="1" si="50"/>
        <v/>
      </c>
      <c r="HP19" s="1205" t="str">
        <f t="shared" ca="1" si="51"/>
        <v/>
      </c>
      <c r="HQ19" s="1223" t="str">
        <f t="shared" ca="1" si="52"/>
        <v/>
      </c>
      <c r="HR19" s="1200" t="str">
        <f ca="1">IF(COUNTIF(HR$10:HR18,OFFSET(A1_原単位2026,17,HL19+2))&gt;=1,"",OFFSET(A1_原単位2026,17,HL19+2)&amp;"")</f>
        <v/>
      </c>
      <c r="HS19" s="1212" t="str">
        <f t="shared" ca="1" si="53"/>
        <v/>
      </c>
      <c r="HT19" s="1213" t="str">
        <f t="shared" ca="1" si="54"/>
        <v/>
      </c>
      <c r="HU19" s="1223" t="str">
        <f t="shared" ca="1" si="55"/>
        <v/>
      </c>
      <c r="HV19" s="1200" t="str">
        <f ca="1">IF(COUNTIF(HV$10:HV18,OFFSET(A1_原単位2026,29,HL19+2))&gt;=1,"",OFFSET(A1_原単位2026,29,HL19+2)&amp;"")</f>
        <v/>
      </c>
      <c r="HW19" s="1212" t="str">
        <f t="shared" ca="1" si="56"/>
        <v/>
      </c>
      <c r="HX19" s="1213" t="str">
        <f t="shared" ca="1" si="57"/>
        <v/>
      </c>
      <c r="HY19" s="1223" t="str">
        <f t="shared" ca="1" si="58"/>
        <v/>
      </c>
      <c r="HZ19" s="1200" t="str">
        <f ca="1">IF(COUNTIF(HZ$10:HZ18,OFFSET(A1_原単位2026,41,HL19+2))&gt;=1,"",OFFSET(A1_原単位2026,41,HL19+2)&amp;"")</f>
        <v/>
      </c>
      <c r="IA19" s="1215" t="str">
        <f t="shared" ca="1" si="59"/>
        <v/>
      </c>
      <c r="IB19" s="1216" t="str">
        <f t="shared" ca="1" si="60"/>
        <v/>
      </c>
      <c r="IE19" s="882" t="str">
        <f t="shared" ca="1" si="61"/>
        <v/>
      </c>
      <c r="IF19" s="882" t="str">
        <f t="shared" ca="1" si="62"/>
        <v/>
      </c>
      <c r="IG19" s="882" t="str">
        <f t="shared" ca="1" si="63"/>
        <v/>
      </c>
      <c r="IH19" s="882" t="str">
        <f t="shared" ca="1" si="64"/>
        <v/>
      </c>
    </row>
    <row r="20" spans="2:242" s="889" customFormat="1" ht="20.100000000000001"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918">
        <f t="shared" si="67"/>
        <v>0</v>
      </c>
      <c r="HD20" s="921">
        <f t="shared" si="66"/>
        <v>0</v>
      </c>
      <c r="HE20" s="921">
        <f t="shared" si="66"/>
        <v>0</v>
      </c>
      <c r="HF20" s="920"/>
      <c r="HG20" s="918">
        <f>SUM(SUMIFS(K20:HB20,$K$13:$HB$13,{"エネルギー管理指定工場等*","県域*"}))</f>
        <v>0</v>
      </c>
      <c r="HH20" s="921">
        <f>SUM(SUMIFS(L20:HC20,$K$13:$HB$13,{"エネルギー管理指定工場等*","県域*"}))</f>
        <v>0</v>
      </c>
      <c r="HI20" s="921">
        <f>SUM(SUMIFS(M20:HD20,$K$13:$HB$13,{"エネルギー管理指定工場等*","県域*"}))</f>
        <v>0</v>
      </c>
      <c r="HJ20" s="920"/>
      <c r="HL20" s="908">
        <v>11</v>
      </c>
      <c r="HM20" s="1223" t="str">
        <f t="shared" ca="1" si="49"/>
        <v/>
      </c>
      <c r="HN20" s="1200" t="str">
        <f ca="1">IF(COUNTIF(HN$10:HN19,OFFSET(A1_原単位2026,5,HL20+2))&gt;=1,"",OFFSET(A1_原単位2026,5,HL20+2)&amp;"")</f>
        <v/>
      </c>
      <c r="HO20" s="1204" t="str">
        <f t="shared" ca="1" si="50"/>
        <v/>
      </c>
      <c r="HP20" s="1205" t="str">
        <f t="shared" ca="1" si="51"/>
        <v/>
      </c>
      <c r="HQ20" s="1223" t="str">
        <f t="shared" ca="1" si="52"/>
        <v/>
      </c>
      <c r="HR20" s="1200" t="str">
        <f ca="1">IF(COUNTIF(HR$10:HR19,OFFSET(A1_原単位2026,17,HL20+2))&gt;=1,"",OFFSET(A1_原単位2026,17,HL20+2)&amp;"")</f>
        <v/>
      </c>
      <c r="HS20" s="1212" t="str">
        <f t="shared" ca="1" si="53"/>
        <v/>
      </c>
      <c r="HT20" s="1213" t="str">
        <f t="shared" ca="1" si="54"/>
        <v/>
      </c>
      <c r="HU20" s="1223" t="str">
        <f t="shared" ca="1" si="55"/>
        <v/>
      </c>
      <c r="HV20" s="1200" t="str">
        <f ca="1">IF(COUNTIF(HV$10:HV19,OFFSET(A1_原単位2026,29,HL20+2))&gt;=1,"",OFFSET(A1_原単位2026,29,HL20+2)&amp;"")</f>
        <v/>
      </c>
      <c r="HW20" s="1212" t="str">
        <f t="shared" ca="1" si="56"/>
        <v/>
      </c>
      <c r="HX20" s="1213" t="str">
        <f t="shared" ca="1" si="57"/>
        <v/>
      </c>
      <c r="HY20" s="1223" t="str">
        <f t="shared" ca="1" si="58"/>
        <v/>
      </c>
      <c r="HZ20" s="1200" t="str">
        <f ca="1">IF(COUNTIF(HZ$10:HZ19,OFFSET(A1_原単位2026,41,HL20+2))&gt;=1,"",OFFSET(A1_原単位2026,41,HL20+2)&amp;"")</f>
        <v/>
      </c>
      <c r="IA20" s="1215" t="str">
        <f t="shared" ca="1" si="59"/>
        <v/>
      </c>
      <c r="IB20" s="1216" t="str">
        <f t="shared" ca="1" si="60"/>
        <v/>
      </c>
      <c r="IE20" s="882" t="str">
        <f t="shared" ca="1" si="61"/>
        <v/>
      </c>
      <c r="IF20" s="882" t="str">
        <f t="shared" ca="1" si="62"/>
        <v/>
      </c>
      <c r="IG20" s="882" t="str">
        <f t="shared" ca="1" si="63"/>
        <v/>
      </c>
      <c r="IH20" s="882" t="str">
        <f t="shared" ca="1" si="64"/>
        <v/>
      </c>
    </row>
    <row r="21" spans="2:242" s="889" customFormat="1" ht="20.100000000000001"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918">
        <f t="shared" si="67"/>
        <v>0</v>
      </c>
      <c r="HD21" s="921">
        <f t="shared" si="66"/>
        <v>0</v>
      </c>
      <c r="HE21" s="921">
        <f t="shared" si="66"/>
        <v>0</v>
      </c>
      <c r="HF21" s="920"/>
      <c r="HG21" s="918">
        <f>SUM(SUMIFS(K21:HB21,$K$13:$HB$13,{"エネルギー管理指定工場等*","県域*"}))</f>
        <v>0</v>
      </c>
      <c r="HH21" s="921">
        <f>SUM(SUMIFS(L21:HC21,$K$13:$HB$13,{"エネルギー管理指定工場等*","県域*"}))</f>
        <v>0</v>
      </c>
      <c r="HI21" s="921">
        <f>SUM(SUMIFS(M21:HD21,$K$13:$HB$13,{"エネルギー管理指定工場等*","県域*"}))</f>
        <v>0</v>
      </c>
      <c r="HJ21" s="920"/>
      <c r="HL21" s="907">
        <v>12</v>
      </c>
      <c r="HM21" s="1223" t="str">
        <f t="shared" ca="1" si="49"/>
        <v/>
      </c>
      <c r="HN21" s="1200" t="str">
        <f ca="1">IF(COUNTIF(HN$10:HN20,OFFSET(A1_原単位2026,5,HL21+2))&gt;=1,"",OFFSET(A1_原単位2026,5,HL21+2)&amp;"")</f>
        <v/>
      </c>
      <c r="HO21" s="1204" t="str">
        <f t="shared" ca="1" si="50"/>
        <v/>
      </c>
      <c r="HP21" s="1205" t="str">
        <f t="shared" ca="1" si="51"/>
        <v/>
      </c>
      <c r="HQ21" s="1223" t="str">
        <f t="shared" ca="1" si="52"/>
        <v/>
      </c>
      <c r="HR21" s="1200" t="str">
        <f ca="1">IF(COUNTIF(HR$10:HR20,OFFSET(A1_原単位2026,17,HL21+2))&gt;=1,"",OFFSET(A1_原単位2026,17,HL21+2)&amp;"")</f>
        <v/>
      </c>
      <c r="HS21" s="1212" t="str">
        <f t="shared" ca="1" si="53"/>
        <v/>
      </c>
      <c r="HT21" s="1213" t="str">
        <f t="shared" ca="1" si="54"/>
        <v/>
      </c>
      <c r="HU21" s="1223" t="str">
        <f t="shared" ca="1" si="55"/>
        <v/>
      </c>
      <c r="HV21" s="1200" t="str">
        <f ca="1">IF(COUNTIF(HV$10:HV20,OFFSET(A1_原単位2026,29,HL21+2))&gt;=1,"",OFFSET(A1_原単位2026,29,HL21+2)&amp;"")</f>
        <v/>
      </c>
      <c r="HW21" s="1212" t="str">
        <f t="shared" ca="1" si="56"/>
        <v/>
      </c>
      <c r="HX21" s="1213" t="str">
        <f t="shared" ca="1" si="57"/>
        <v/>
      </c>
      <c r="HY21" s="1223" t="str">
        <f t="shared" ca="1" si="58"/>
        <v/>
      </c>
      <c r="HZ21" s="1200" t="str">
        <f ca="1">IF(COUNTIF(HZ$10:HZ20,OFFSET(A1_原単位2026,41,HL21+2))&gt;=1,"",OFFSET(A1_原単位2026,41,HL21+2)&amp;"")</f>
        <v/>
      </c>
      <c r="IA21" s="1215" t="str">
        <f t="shared" ca="1" si="59"/>
        <v/>
      </c>
      <c r="IB21" s="1216" t="str">
        <f t="shared" ca="1" si="60"/>
        <v/>
      </c>
      <c r="IE21" s="882" t="str">
        <f t="shared" ca="1" si="61"/>
        <v/>
      </c>
      <c r="IF21" s="882" t="str">
        <f t="shared" ca="1" si="62"/>
        <v/>
      </c>
      <c r="IG21" s="882" t="str">
        <f t="shared" ca="1" si="63"/>
        <v/>
      </c>
      <c r="IH21" s="882" t="str">
        <f t="shared" ca="1" si="64"/>
        <v/>
      </c>
    </row>
    <row r="22" spans="2:242" s="889" customFormat="1" ht="20.100000000000001"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918">
        <f t="shared" si="67"/>
        <v>0</v>
      </c>
      <c r="HD22" s="921">
        <f t="shared" si="66"/>
        <v>0</v>
      </c>
      <c r="HE22" s="921">
        <f t="shared" si="66"/>
        <v>0</v>
      </c>
      <c r="HF22" s="920"/>
      <c r="HG22" s="918">
        <f>SUM(SUMIFS(K22:HB22,$K$13:$HB$13,{"エネルギー管理指定工場等*","県域*"}))</f>
        <v>0</v>
      </c>
      <c r="HH22" s="921">
        <f>SUM(SUMIFS(L22:HC22,$K$13:$HB$13,{"エネルギー管理指定工場等*","県域*"}))</f>
        <v>0</v>
      </c>
      <c r="HI22" s="921">
        <f>SUM(SUMIFS(M22:HD22,$K$13:$HB$13,{"エネルギー管理指定工場等*","県域*"}))</f>
        <v>0</v>
      </c>
      <c r="HJ22" s="920"/>
      <c r="HL22" s="908">
        <v>13</v>
      </c>
      <c r="HM22" s="1223" t="str">
        <f t="shared" ca="1" si="49"/>
        <v/>
      </c>
      <c r="HN22" s="1200" t="str">
        <f ca="1">IF(COUNTIF(HN$10:HN21,OFFSET(A1_原単位2026,5,HL22+2))&gt;=1,"",OFFSET(A1_原単位2026,5,HL22+2)&amp;"")</f>
        <v/>
      </c>
      <c r="HO22" s="1204" t="str">
        <f t="shared" ca="1" si="50"/>
        <v/>
      </c>
      <c r="HP22" s="1205" t="str">
        <f t="shared" ca="1" si="51"/>
        <v/>
      </c>
      <c r="HQ22" s="1223" t="str">
        <f t="shared" ca="1" si="52"/>
        <v/>
      </c>
      <c r="HR22" s="1200" t="str">
        <f ca="1">IF(COUNTIF(HR$10:HR21,OFFSET(A1_原単位2026,17,HL22+2))&gt;=1,"",OFFSET(A1_原単位2026,17,HL22+2)&amp;"")</f>
        <v/>
      </c>
      <c r="HS22" s="1212" t="str">
        <f t="shared" ca="1" si="53"/>
        <v/>
      </c>
      <c r="HT22" s="1213" t="str">
        <f t="shared" ca="1" si="54"/>
        <v/>
      </c>
      <c r="HU22" s="1223" t="str">
        <f t="shared" ca="1" si="55"/>
        <v/>
      </c>
      <c r="HV22" s="1200" t="str">
        <f ca="1">IF(COUNTIF(HV$10:HV21,OFFSET(A1_原単位2026,29,HL22+2))&gt;=1,"",OFFSET(A1_原単位2026,29,HL22+2)&amp;"")</f>
        <v/>
      </c>
      <c r="HW22" s="1212" t="str">
        <f t="shared" ca="1" si="56"/>
        <v/>
      </c>
      <c r="HX22" s="1213" t="str">
        <f t="shared" ca="1" si="57"/>
        <v/>
      </c>
      <c r="HY22" s="1223" t="str">
        <f t="shared" ca="1" si="58"/>
        <v/>
      </c>
      <c r="HZ22" s="1200" t="str">
        <f ca="1">IF(COUNTIF(HZ$10:HZ21,OFFSET(A1_原単位2026,41,HL22+2))&gt;=1,"",OFFSET(A1_原単位2026,41,HL22+2)&amp;"")</f>
        <v/>
      </c>
      <c r="IA22" s="1215" t="str">
        <f t="shared" ca="1" si="59"/>
        <v/>
      </c>
      <c r="IB22" s="1216" t="str">
        <f t="shared" ca="1" si="60"/>
        <v/>
      </c>
      <c r="IE22" s="882" t="str">
        <f t="shared" ca="1" si="61"/>
        <v/>
      </c>
      <c r="IF22" s="882" t="str">
        <f t="shared" ca="1" si="62"/>
        <v/>
      </c>
      <c r="IG22" s="882" t="str">
        <f t="shared" ca="1" si="63"/>
        <v/>
      </c>
      <c r="IH22" s="882" t="str">
        <f t="shared" ca="1" si="64"/>
        <v/>
      </c>
    </row>
    <row r="23" spans="2:242" s="889" customFormat="1" ht="20.100000000000001"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918">
        <f t="shared" si="67"/>
        <v>0</v>
      </c>
      <c r="HD23" s="921">
        <f t="shared" si="66"/>
        <v>0</v>
      </c>
      <c r="HE23" s="921">
        <f t="shared" si="66"/>
        <v>0</v>
      </c>
      <c r="HF23" s="920"/>
      <c r="HG23" s="918">
        <f>SUM(SUMIFS(K23:HB23,$K$13:$HB$13,{"エネルギー管理指定工場等*","県域*"}))</f>
        <v>0</v>
      </c>
      <c r="HH23" s="921">
        <f>SUM(SUMIFS(L23:HC23,$K$13:$HB$13,{"エネルギー管理指定工場等*","県域*"}))</f>
        <v>0</v>
      </c>
      <c r="HI23" s="921">
        <f>SUM(SUMIFS(M23:HD23,$K$13:$HB$13,{"エネルギー管理指定工場等*","県域*"}))</f>
        <v>0</v>
      </c>
      <c r="HJ23" s="920"/>
      <c r="HL23" s="907">
        <v>14</v>
      </c>
      <c r="HM23" s="1223" t="str">
        <f t="shared" ca="1" si="49"/>
        <v/>
      </c>
      <c r="HN23" s="1200" t="str">
        <f ca="1">IF(COUNTIF(HN$10:HN22,OFFSET(A1_原単位2026,5,HL23+2))&gt;=1,"",OFFSET(A1_原単位2026,5,HL23+2)&amp;"")</f>
        <v/>
      </c>
      <c r="HO23" s="1204" t="str">
        <f t="shared" ca="1" si="50"/>
        <v/>
      </c>
      <c r="HP23" s="1205" t="str">
        <f t="shared" ca="1" si="51"/>
        <v/>
      </c>
      <c r="HQ23" s="1223" t="str">
        <f t="shared" ca="1" si="52"/>
        <v/>
      </c>
      <c r="HR23" s="1200" t="str">
        <f ca="1">IF(COUNTIF(HR$10:HR22,OFFSET(A1_原単位2026,17,HL23+2))&gt;=1,"",OFFSET(A1_原単位2026,17,HL23+2)&amp;"")</f>
        <v/>
      </c>
      <c r="HS23" s="1212" t="str">
        <f t="shared" ca="1" si="53"/>
        <v/>
      </c>
      <c r="HT23" s="1213" t="str">
        <f t="shared" ca="1" si="54"/>
        <v/>
      </c>
      <c r="HU23" s="1223" t="str">
        <f t="shared" ca="1" si="55"/>
        <v/>
      </c>
      <c r="HV23" s="1200" t="str">
        <f ca="1">IF(COUNTIF(HV$10:HV22,OFFSET(A1_原単位2026,29,HL23+2))&gt;=1,"",OFFSET(A1_原単位2026,29,HL23+2)&amp;"")</f>
        <v/>
      </c>
      <c r="HW23" s="1212" t="str">
        <f t="shared" ca="1" si="56"/>
        <v/>
      </c>
      <c r="HX23" s="1213" t="str">
        <f t="shared" ca="1" si="57"/>
        <v/>
      </c>
      <c r="HY23" s="1223" t="str">
        <f t="shared" ca="1" si="58"/>
        <v/>
      </c>
      <c r="HZ23" s="1200" t="str">
        <f ca="1">IF(COUNTIF(HZ$10:HZ22,OFFSET(A1_原単位2026,41,HL23+2))&gt;=1,"",OFFSET(A1_原単位2026,41,HL23+2)&amp;"")</f>
        <v/>
      </c>
      <c r="IA23" s="1215" t="str">
        <f t="shared" ca="1" si="59"/>
        <v/>
      </c>
      <c r="IB23" s="1216" t="str">
        <f t="shared" ca="1" si="60"/>
        <v/>
      </c>
      <c r="IE23" s="882" t="str">
        <f t="shared" ca="1" si="61"/>
        <v/>
      </c>
      <c r="IF23" s="882" t="str">
        <f t="shared" ca="1" si="62"/>
        <v/>
      </c>
      <c r="IG23" s="882" t="str">
        <f t="shared" ca="1" si="63"/>
        <v/>
      </c>
      <c r="IH23" s="882" t="str">
        <f t="shared" ca="1" si="64"/>
        <v/>
      </c>
    </row>
    <row r="24" spans="2:242" s="889" customFormat="1" ht="20.100000000000001"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918">
        <f t="shared" si="67"/>
        <v>0</v>
      </c>
      <c r="HD24" s="921">
        <f t="shared" si="66"/>
        <v>0</v>
      </c>
      <c r="HE24" s="921">
        <f t="shared" si="66"/>
        <v>0</v>
      </c>
      <c r="HF24" s="920"/>
      <c r="HG24" s="918">
        <f>SUM(SUMIFS(K24:HB24,$K$13:$HB$13,{"エネルギー管理指定工場等*","県域*"}))</f>
        <v>0</v>
      </c>
      <c r="HH24" s="921">
        <f>SUM(SUMIFS(L24:HC24,$K$13:$HB$13,{"エネルギー管理指定工場等*","県域*"}))</f>
        <v>0</v>
      </c>
      <c r="HI24" s="921">
        <f>SUM(SUMIFS(M24:HD24,$K$13:$HB$13,{"エネルギー管理指定工場等*","県域*"}))</f>
        <v>0</v>
      </c>
      <c r="HJ24" s="920"/>
      <c r="HL24" s="907">
        <v>15</v>
      </c>
      <c r="HM24" s="1223" t="str">
        <f t="shared" ca="1" si="49"/>
        <v/>
      </c>
      <c r="HN24" s="1200" t="str">
        <f ca="1">IF(COUNTIF(HN$10:HN23,OFFSET(A1_原単位2026,5,HL24+2))&gt;=1,"",OFFSET(A1_原単位2026,5,HL24+2)&amp;"")</f>
        <v/>
      </c>
      <c r="HO24" s="1204" t="str">
        <f t="shared" ca="1" si="50"/>
        <v/>
      </c>
      <c r="HP24" s="1205" t="str">
        <f t="shared" ca="1" si="51"/>
        <v/>
      </c>
      <c r="HQ24" s="1223" t="str">
        <f t="shared" ca="1" si="52"/>
        <v/>
      </c>
      <c r="HR24" s="1200" t="str">
        <f ca="1">IF(COUNTIF(HR$10:HR23,OFFSET(A1_原単位2026,17,HL24+2))&gt;=1,"",OFFSET(A1_原単位2026,17,HL24+2)&amp;"")</f>
        <v/>
      </c>
      <c r="HS24" s="1212" t="str">
        <f t="shared" ca="1" si="53"/>
        <v/>
      </c>
      <c r="HT24" s="1213" t="str">
        <f t="shared" ca="1" si="54"/>
        <v/>
      </c>
      <c r="HU24" s="1223" t="str">
        <f t="shared" ca="1" si="55"/>
        <v/>
      </c>
      <c r="HV24" s="1200" t="str">
        <f ca="1">IF(COUNTIF(HV$10:HV23,OFFSET(A1_原単位2026,29,HL24+2))&gt;=1,"",OFFSET(A1_原単位2026,29,HL24+2)&amp;"")</f>
        <v/>
      </c>
      <c r="HW24" s="1212" t="str">
        <f t="shared" ca="1" si="56"/>
        <v/>
      </c>
      <c r="HX24" s="1213" t="str">
        <f t="shared" ca="1" si="57"/>
        <v/>
      </c>
      <c r="HY24" s="1223" t="str">
        <f t="shared" ca="1" si="58"/>
        <v/>
      </c>
      <c r="HZ24" s="1200" t="str">
        <f ca="1">IF(COUNTIF(HZ$10:HZ23,OFFSET(A1_原単位2026,41,HL24+2))&gt;=1,"",OFFSET(A1_原単位2026,41,HL24+2)&amp;"")</f>
        <v/>
      </c>
      <c r="IA24" s="1215" t="str">
        <f t="shared" ca="1" si="59"/>
        <v/>
      </c>
      <c r="IB24" s="1216" t="str">
        <f t="shared" ca="1" si="60"/>
        <v/>
      </c>
      <c r="IE24" s="882" t="str">
        <f t="shared" ca="1" si="61"/>
        <v/>
      </c>
      <c r="IF24" s="882" t="str">
        <f t="shared" ca="1" si="62"/>
        <v/>
      </c>
      <c r="IG24" s="882" t="str">
        <f t="shared" ca="1" si="63"/>
        <v/>
      </c>
      <c r="IH24" s="882" t="str">
        <f t="shared" ca="1" si="64"/>
        <v/>
      </c>
    </row>
    <row r="25" spans="2:242" s="889" customFormat="1" ht="20.100000000000001"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918">
        <f t="shared" si="67"/>
        <v>0</v>
      </c>
      <c r="HD25" s="921">
        <f t="shared" si="66"/>
        <v>0</v>
      </c>
      <c r="HE25" s="921">
        <f t="shared" si="66"/>
        <v>0</v>
      </c>
      <c r="HF25" s="920"/>
      <c r="HG25" s="918">
        <f>SUM(SUMIFS(K25:HB25,$K$13:$HB$13,{"エネルギー管理指定工場等*","県域*"}))</f>
        <v>0</v>
      </c>
      <c r="HH25" s="921">
        <f>SUM(SUMIFS(L25:HC25,$K$13:$HB$13,{"エネルギー管理指定工場等*","県域*"}))</f>
        <v>0</v>
      </c>
      <c r="HI25" s="921">
        <f>SUM(SUMIFS(M25:HD25,$K$13:$HB$13,{"エネルギー管理指定工場等*","県域*"}))</f>
        <v>0</v>
      </c>
      <c r="HJ25" s="920"/>
      <c r="HL25" s="908">
        <v>16</v>
      </c>
      <c r="HM25" s="1223" t="str">
        <f t="shared" ca="1" si="49"/>
        <v/>
      </c>
      <c r="HN25" s="1200" t="str">
        <f ca="1">IF(COUNTIF(HN$10:HN24,OFFSET(A1_原単位2026,5,HL25+2))&gt;=1,"",OFFSET(A1_原単位2026,5,HL25+2)&amp;"")</f>
        <v/>
      </c>
      <c r="HO25" s="1204" t="str">
        <f t="shared" ca="1" si="50"/>
        <v/>
      </c>
      <c r="HP25" s="1205" t="str">
        <f t="shared" ca="1" si="51"/>
        <v/>
      </c>
      <c r="HQ25" s="1223" t="str">
        <f t="shared" ca="1" si="52"/>
        <v/>
      </c>
      <c r="HR25" s="1200" t="str">
        <f ca="1">IF(COUNTIF(HR$10:HR24,OFFSET(A1_原単位2026,17,HL25+2))&gt;=1,"",OFFSET(A1_原単位2026,17,HL25+2)&amp;"")</f>
        <v/>
      </c>
      <c r="HS25" s="1212" t="str">
        <f t="shared" ca="1" si="53"/>
        <v/>
      </c>
      <c r="HT25" s="1213" t="str">
        <f t="shared" ca="1" si="54"/>
        <v/>
      </c>
      <c r="HU25" s="1223" t="str">
        <f t="shared" ca="1" si="55"/>
        <v/>
      </c>
      <c r="HV25" s="1200" t="str">
        <f ca="1">IF(COUNTIF(HV$10:HV24,OFFSET(A1_原単位2026,29,HL25+2))&gt;=1,"",OFFSET(A1_原単位2026,29,HL25+2)&amp;"")</f>
        <v/>
      </c>
      <c r="HW25" s="1212" t="str">
        <f t="shared" ca="1" si="56"/>
        <v/>
      </c>
      <c r="HX25" s="1213" t="str">
        <f t="shared" ca="1" si="57"/>
        <v/>
      </c>
      <c r="HY25" s="1223" t="str">
        <f t="shared" ca="1" si="58"/>
        <v/>
      </c>
      <c r="HZ25" s="1200" t="str">
        <f ca="1">IF(COUNTIF(HZ$10:HZ24,OFFSET(A1_原単位2026,41,HL25+2))&gt;=1,"",OFFSET(A1_原単位2026,41,HL25+2)&amp;"")</f>
        <v/>
      </c>
      <c r="IA25" s="1215" t="str">
        <f t="shared" ca="1" si="59"/>
        <v/>
      </c>
      <c r="IB25" s="1216" t="str">
        <f t="shared" ca="1" si="60"/>
        <v/>
      </c>
      <c r="IE25" s="882" t="str">
        <f t="shared" ca="1" si="61"/>
        <v/>
      </c>
      <c r="IF25" s="882" t="str">
        <f t="shared" ca="1" si="62"/>
        <v/>
      </c>
      <c r="IG25" s="882" t="str">
        <f t="shared" ca="1" si="63"/>
        <v/>
      </c>
      <c r="IH25" s="882" t="str">
        <f t="shared" ca="1" si="64"/>
        <v/>
      </c>
    </row>
    <row r="26" spans="2:242" s="889" customFormat="1" ht="20.100000000000001"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918">
        <f t="shared" si="67"/>
        <v>0</v>
      </c>
      <c r="HD26" s="921">
        <f t="shared" si="66"/>
        <v>0</v>
      </c>
      <c r="HE26" s="921">
        <f t="shared" si="66"/>
        <v>0</v>
      </c>
      <c r="HF26" s="920"/>
      <c r="HG26" s="918">
        <f>SUM(SUMIFS(K26:HB26,$K$13:$HB$13,{"エネルギー管理指定工場等*","県域*"}))</f>
        <v>0</v>
      </c>
      <c r="HH26" s="921">
        <f>SUM(SUMIFS(L26:HC26,$K$13:$HB$13,{"エネルギー管理指定工場等*","県域*"}))</f>
        <v>0</v>
      </c>
      <c r="HI26" s="921">
        <f>SUM(SUMIFS(M26:HD26,$K$13:$HB$13,{"エネルギー管理指定工場等*","県域*"}))</f>
        <v>0</v>
      </c>
      <c r="HJ26" s="920"/>
      <c r="HL26" s="907">
        <v>17</v>
      </c>
      <c r="HM26" s="1223" t="str">
        <f t="shared" ca="1" si="49"/>
        <v/>
      </c>
      <c r="HN26" s="1200" t="str">
        <f ca="1">IF(COUNTIF(HN$10:HN25,OFFSET(A1_原単位2026,5,HL26+2))&gt;=1,"",OFFSET(A1_原単位2026,5,HL26+2)&amp;"")</f>
        <v/>
      </c>
      <c r="HO26" s="1204" t="str">
        <f t="shared" ca="1" si="50"/>
        <v/>
      </c>
      <c r="HP26" s="1205" t="str">
        <f t="shared" ca="1" si="51"/>
        <v/>
      </c>
      <c r="HQ26" s="1223" t="str">
        <f t="shared" ca="1" si="52"/>
        <v/>
      </c>
      <c r="HR26" s="1200" t="str">
        <f ca="1">IF(COUNTIF(HR$10:HR25,OFFSET(A1_原単位2026,17,HL26+2))&gt;=1,"",OFFSET(A1_原単位2026,17,HL26+2)&amp;"")</f>
        <v/>
      </c>
      <c r="HS26" s="1212" t="str">
        <f t="shared" ca="1" si="53"/>
        <v/>
      </c>
      <c r="HT26" s="1213" t="str">
        <f t="shared" ca="1" si="54"/>
        <v/>
      </c>
      <c r="HU26" s="1223" t="str">
        <f t="shared" ca="1" si="55"/>
        <v/>
      </c>
      <c r="HV26" s="1200" t="str">
        <f ca="1">IF(COUNTIF(HV$10:HV25,OFFSET(A1_原単位2026,29,HL26+2))&gt;=1,"",OFFSET(A1_原単位2026,29,HL26+2)&amp;"")</f>
        <v/>
      </c>
      <c r="HW26" s="1212" t="str">
        <f t="shared" ca="1" si="56"/>
        <v/>
      </c>
      <c r="HX26" s="1213" t="str">
        <f t="shared" ca="1" si="57"/>
        <v/>
      </c>
      <c r="HY26" s="1223" t="str">
        <f t="shared" ca="1" si="58"/>
        <v/>
      </c>
      <c r="HZ26" s="1200" t="str">
        <f ca="1">IF(COUNTIF(HZ$10:HZ25,OFFSET(A1_原単位2026,41,HL26+2))&gt;=1,"",OFFSET(A1_原単位2026,41,HL26+2)&amp;"")</f>
        <v/>
      </c>
      <c r="IA26" s="1215" t="str">
        <f t="shared" ca="1" si="59"/>
        <v/>
      </c>
      <c r="IB26" s="1216" t="str">
        <f t="shared" ca="1" si="60"/>
        <v/>
      </c>
      <c r="IE26" s="882" t="str">
        <f t="shared" ca="1" si="61"/>
        <v/>
      </c>
      <c r="IF26" s="882" t="str">
        <f t="shared" ca="1" si="62"/>
        <v/>
      </c>
      <c r="IG26" s="882" t="str">
        <f t="shared" ca="1" si="63"/>
        <v/>
      </c>
      <c r="IH26" s="882" t="str">
        <f t="shared" ca="1" si="64"/>
        <v/>
      </c>
    </row>
    <row r="27" spans="2:242" s="889" customFormat="1" ht="20.100000000000001"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918">
        <f t="shared" si="67"/>
        <v>0</v>
      </c>
      <c r="HD27" s="921">
        <f t="shared" si="66"/>
        <v>0</v>
      </c>
      <c r="HE27" s="921">
        <f t="shared" si="66"/>
        <v>0</v>
      </c>
      <c r="HF27" s="920"/>
      <c r="HG27" s="918">
        <f>SUM(SUMIFS(K27:HB27,$K$13:$HB$13,{"エネルギー管理指定工場等*","県域*"}))</f>
        <v>0</v>
      </c>
      <c r="HH27" s="921">
        <f>SUM(SUMIFS(L27:HC27,$K$13:$HB$13,{"エネルギー管理指定工場等*","県域*"}))</f>
        <v>0</v>
      </c>
      <c r="HI27" s="921">
        <f>SUM(SUMIFS(M27:HD27,$K$13:$HB$13,{"エネルギー管理指定工場等*","県域*"}))</f>
        <v>0</v>
      </c>
      <c r="HJ27" s="920"/>
      <c r="HL27" s="908">
        <v>18</v>
      </c>
      <c r="HM27" s="1223" t="str">
        <f t="shared" ca="1" si="49"/>
        <v/>
      </c>
      <c r="HN27" s="1200" t="str">
        <f ca="1">IF(COUNTIF(HN$10:HN26,OFFSET(A1_原単位2026,5,HL27+2))&gt;=1,"",OFFSET(A1_原単位2026,5,HL27+2)&amp;"")</f>
        <v/>
      </c>
      <c r="HO27" s="1204" t="str">
        <f t="shared" ca="1" si="50"/>
        <v/>
      </c>
      <c r="HP27" s="1205" t="str">
        <f t="shared" ca="1" si="51"/>
        <v/>
      </c>
      <c r="HQ27" s="1223" t="str">
        <f t="shared" ca="1" si="52"/>
        <v/>
      </c>
      <c r="HR27" s="1200" t="str">
        <f ca="1">IF(COUNTIF(HR$10:HR26,OFFSET(A1_原単位2026,17,HL27+2))&gt;=1,"",OFFSET(A1_原単位2026,17,HL27+2)&amp;"")</f>
        <v/>
      </c>
      <c r="HS27" s="1212" t="str">
        <f t="shared" ca="1" si="53"/>
        <v/>
      </c>
      <c r="HT27" s="1213" t="str">
        <f t="shared" ca="1" si="54"/>
        <v/>
      </c>
      <c r="HU27" s="1223" t="str">
        <f t="shared" ca="1" si="55"/>
        <v/>
      </c>
      <c r="HV27" s="1200" t="str">
        <f ca="1">IF(COUNTIF(HV$10:HV26,OFFSET(A1_原単位2026,29,HL27+2))&gt;=1,"",OFFSET(A1_原単位2026,29,HL27+2)&amp;"")</f>
        <v/>
      </c>
      <c r="HW27" s="1212" t="str">
        <f t="shared" ca="1" si="56"/>
        <v/>
      </c>
      <c r="HX27" s="1213" t="str">
        <f t="shared" ca="1" si="57"/>
        <v/>
      </c>
      <c r="HY27" s="1223" t="str">
        <f t="shared" ca="1" si="58"/>
        <v/>
      </c>
      <c r="HZ27" s="1200" t="str">
        <f ca="1">IF(COUNTIF(HZ$10:HZ26,OFFSET(A1_原単位2026,41,HL27+2))&gt;=1,"",OFFSET(A1_原単位2026,41,HL27+2)&amp;"")</f>
        <v/>
      </c>
      <c r="IA27" s="1215" t="str">
        <f t="shared" ca="1" si="59"/>
        <v/>
      </c>
      <c r="IB27" s="1216" t="str">
        <f t="shared" ca="1" si="60"/>
        <v/>
      </c>
      <c r="IE27" s="882" t="str">
        <f t="shared" ca="1" si="61"/>
        <v/>
      </c>
      <c r="IF27" s="882" t="str">
        <f t="shared" ca="1" si="62"/>
        <v/>
      </c>
      <c r="IG27" s="882" t="str">
        <f t="shared" ca="1" si="63"/>
        <v/>
      </c>
      <c r="IH27" s="882" t="str">
        <f t="shared" ca="1" si="64"/>
        <v/>
      </c>
    </row>
    <row r="28" spans="2:242" s="889" customFormat="1" ht="20.100000000000001"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918">
        <f t="shared" si="67"/>
        <v>0</v>
      </c>
      <c r="HD28" s="921">
        <f t="shared" si="66"/>
        <v>0</v>
      </c>
      <c r="HE28" s="921">
        <f t="shared" si="66"/>
        <v>0</v>
      </c>
      <c r="HF28" s="920"/>
      <c r="HG28" s="918">
        <f>SUM(SUMIFS(K28:HB28,$K$13:$HB$13,{"エネルギー管理指定工場等*","県域*"}))</f>
        <v>0</v>
      </c>
      <c r="HH28" s="921">
        <f>SUM(SUMIFS(L28:HC28,$K$13:$HB$13,{"エネルギー管理指定工場等*","県域*"}))</f>
        <v>0</v>
      </c>
      <c r="HI28" s="921">
        <f>SUM(SUMIFS(M28:HD28,$K$13:$HB$13,{"エネルギー管理指定工場等*","県域*"}))</f>
        <v>0</v>
      </c>
      <c r="HJ28" s="920"/>
      <c r="HL28" s="907">
        <v>19</v>
      </c>
      <c r="HM28" s="1223" t="str">
        <f t="shared" ca="1" si="49"/>
        <v/>
      </c>
      <c r="HN28" s="1200" t="str">
        <f ca="1">IF(COUNTIF(HN$10:HN27,OFFSET(A1_原単位2026,5,HL28+2))&gt;=1,"",OFFSET(A1_原単位2026,5,HL28+2)&amp;"")</f>
        <v/>
      </c>
      <c r="HO28" s="1204" t="str">
        <f t="shared" ca="1" si="50"/>
        <v/>
      </c>
      <c r="HP28" s="1205" t="str">
        <f t="shared" ca="1" si="51"/>
        <v/>
      </c>
      <c r="HQ28" s="1223" t="str">
        <f t="shared" ca="1" si="52"/>
        <v/>
      </c>
      <c r="HR28" s="1200" t="str">
        <f ca="1">IF(COUNTIF(HR$10:HR27,OFFSET(A1_原単位2026,17,HL28+2))&gt;=1,"",OFFSET(A1_原単位2026,17,HL28+2)&amp;"")</f>
        <v/>
      </c>
      <c r="HS28" s="1212" t="str">
        <f t="shared" ca="1" si="53"/>
        <v/>
      </c>
      <c r="HT28" s="1213" t="str">
        <f t="shared" ca="1" si="54"/>
        <v/>
      </c>
      <c r="HU28" s="1223" t="str">
        <f t="shared" ca="1" si="55"/>
        <v/>
      </c>
      <c r="HV28" s="1200" t="str">
        <f ca="1">IF(COUNTIF(HV$10:HV27,OFFSET(A1_原単位2026,29,HL28+2))&gt;=1,"",OFFSET(A1_原単位2026,29,HL28+2)&amp;"")</f>
        <v/>
      </c>
      <c r="HW28" s="1212" t="str">
        <f t="shared" ca="1" si="56"/>
        <v/>
      </c>
      <c r="HX28" s="1213" t="str">
        <f t="shared" ca="1" si="57"/>
        <v/>
      </c>
      <c r="HY28" s="1223" t="str">
        <f t="shared" ca="1" si="58"/>
        <v/>
      </c>
      <c r="HZ28" s="1200" t="str">
        <f ca="1">IF(COUNTIF(HZ$10:HZ27,OFFSET(A1_原単位2026,41,HL28+2))&gt;=1,"",OFFSET(A1_原単位2026,41,HL28+2)&amp;"")</f>
        <v/>
      </c>
      <c r="IA28" s="1215" t="str">
        <f t="shared" ca="1" si="59"/>
        <v/>
      </c>
      <c r="IB28" s="1216" t="str">
        <f t="shared" ca="1" si="60"/>
        <v/>
      </c>
      <c r="IE28" s="882" t="str">
        <f t="shared" ca="1" si="61"/>
        <v/>
      </c>
      <c r="IF28" s="882" t="str">
        <f t="shared" ca="1" si="62"/>
        <v/>
      </c>
      <c r="IG28" s="882" t="str">
        <f t="shared" ca="1" si="63"/>
        <v/>
      </c>
      <c r="IH28" s="882" t="str">
        <f t="shared" ca="1" si="64"/>
        <v/>
      </c>
    </row>
    <row r="29" spans="2:242" s="889" customFormat="1" ht="20.100000000000001"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918">
        <f t="shared" si="67"/>
        <v>0</v>
      </c>
      <c r="HD29" s="921">
        <f t="shared" si="66"/>
        <v>0</v>
      </c>
      <c r="HE29" s="921">
        <f t="shared" si="66"/>
        <v>0</v>
      </c>
      <c r="HF29" s="920"/>
      <c r="HG29" s="918">
        <f>SUM(SUMIFS(K29:HB29,$K$13:$HB$13,{"エネルギー管理指定工場等*","県域*"}))</f>
        <v>0</v>
      </c>
      <c r="HH29" s="921">
        <f>SUM(SUMIFS(L29:HC29,$K$13:$HB$13,{"エネルギー管理指定工場等*","県域*"}))</f>
        <v>0</v>
      </c>
      <c r="HI29" s="921">
        <f>SUM(SUMIFS(M29:HD29,$K$13:$HB$13,{"エネルギー管理指定工場等*","県域*"}))</f>
        <v>0</v>
      </c>
      <c r="HJ29" s="920"/>
      <c r="HL29" s="908">
        <v>20</v>
      </c>
      <c r="HM29" s="1223" t="str">
        <f t="shared" ca="1" si="49"/>
        <v/>
      </c>
      <c r="HN29" s="1200" t="str">
        <f ca="1">IF(COUNTIF(HN$10:HN28,OFFSET(A1_原単位2026,5,HL29+2))&gt;=1,"",OFFSET(A1_原単位2026,5,HL29+2)&amp;"")</f>
        <v/>
      </c>
      <c r="HO29" s="1204" t="str">
        <f t="shared" ca="1" si="50"/>
        <v/>
      </c>
      <c r="HP29" s="1205" t="str">
        <f t="shared" ca="1" si="51"/>
        <v/>
      </c>
      <c r="HQ29" s="1223" t="str">
        <f t="shared" ca="1" si="52"/>
        <v/>
      </c>
      <c r="HR29" s="1200" t="str">
        <f ca="1">IF(COUNTIF(HR$10:HR28,OFFSET(A1_原単位2026,17,HL29+2))&gt;=1,"",OFFSET(A1_原単位2026,17,HL29+2)&amp;"")</f>
        <v/>
      </c>
      <c r="HS29" s="1212" t="str">
        <f t="shared" ca="1" si="53"/>
        <v/>
      </c>
      <c r="HT29" s="1213" t="str">
        <f t="shared" ca="1" si="54"/>
        <v/>
      </c>
      <c r="HU29" s="1223" t="str">
        <f t="shared" ca="1" si="55"/>
        <v/>
      </c>
      <c r="HV29" s="1200" t="str">
        <f ca="1">IF(COUNTIF(HV$10:HV28,OFFSET(A1_原単位2026,29,HL29+2))&gt;=1,"",OFFSET(A1_原単位2026,29,HL29+2)&amp;"")</f>
        <v/>
      </c>
      <c r="HW29" s="1212" t="str">
        <f t="shared" ca="1" si="56"/>
        <v/>
      </c>
      <c r="HX29" s="1213" t="str">
        <f t="shared" ca="1" si="57"/>
        <v/>
      </c>
      <c r="HY29" s="1223" t="str">
        <f t="shared" ca="1" si="58"/>
        <v/>
      </c>
      <c r="HZ29" s="1200" t="str">
        <f ca="1">IF(COUNTIF(HZ$10:HZ28,OFFSET(A1_原単位2026,41,HL29+2))&gt;=1,"",OFFSET(A1_原単位2026,41,HL29+2)&amp;"")</f>
        <v/>
      </c>
      <c r="IA29" s="1215" t="str">
        <f t="shared" ca="1" si="59"/>
        <v/>
      </c>
      <c r="IB29" s="1216" t="str">
        <f t="shared" ca="1" si="60"/>
        <v/>
      </c>
      <c r="IE29" s="882" t="str">
        <f t="shared" ca="1" si="61"/>
        <v/>
      </c>
      <c r="IF29" s="882" t="str">
        <f t="shared" ca="1" si="62"/>
        <v/>
      </c>
      <c r="IG29" s="882" t="str">
        <f t="shared" ca="1" si="63"/>
        <v/>
      </c>
      <c r="IH29" s="882" t="str">
        <f t="shared" ca="1" si="64"/>
        <v/>
      </c>
    </row>
    <row r="30" spans="2:242" s="889" customFormat="1" ht="20.100000000000001"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918">
        <f t="shared" si="67"/>
        <v>0</v>
      </c>
      <c r="HD30" s="921">
        <f t="shared" si="66"/>
        <v>0</v>
      </c>
      <c r="HE30" s="921">
        <f t="shared" si="66"/>
        <v>0</v>
      </c>
      <c r="HF30" s="920"/>
      <c r="HG30" s="918">
        <f>SUM(SUMIFS(K30:HB30,$K$13:$HB$13,{"エネルギー管理指定工場等*","県域*"}))</f>
        <v>0</v>
      </c>
      <c r="HH30" s="921">
        <f>SUM(SUMIFS(L30:HC30,$K$13:$HB$13,{"エネルギー管理指定工場等*","県域*"}))</f>
        <v>0</v>
      </c>
      <c r="HI30" s="921">
        <f>SUM(SUMIFS(M30:HD30,$K$13:$HB$13,{"エネルギー管理指定工場等*","県域*"}))</f>
        <v>0</v>
      </c>
      <c r="HJ30" s="920"/>
      <c r="HL30" s="907">
        <v>21</v>
      </c>
      <c r="HM30" s="1223" t="str">
        <f t="shared" ca="1" si="49"/>
        <v/>
      </c>
      <c r="HN30" s="1200" t="str">
        <f ca="1">IF(COUNTIF(HN$10:HN29,OFFSET(A1_原単位2026,5,HL30+2))&gt;=1,"",OFFSET(A1_原単位2026,5,HL30+2)&amp;"")</f>
        <v/>
      </c>
      <c r="HO30" s="1204" t="str">
        <f t="shared" ca="1" si="50"/>
        <v/>
      </c>
      <c r="HP30" s="1205" t="str">
        <f t="shared" ca="1" si="51"/>
        <v/>
      </c>
      <c r="HQ30" s="1223" t="str">
        <f t="shared" ca="1" si="52"/>
        <v/>
      </c>
      <c r="HR30" s="1200" t="str">
        <f ca="1">IF(COUNTIF(HR$10:HR29,OFFSET(A1_原単位2026,17,HL30+2))&gt;=1,"",OFFSET(A1_原単位2026,17,HL30+2)&amp;"")</f>
        <v/>
      </c>
      <c r="HS30" s="1212" t="str">
        <f t="shared" ca="1" si="53"/>
        <v/>
      </c>
      <c r="HT30" s="1213" t="str">
        <f t="shared" ca="1" si="54"/>
        <v/>
      </c>
      <c r="HU30" s="1223" t="str">
        <f t="shared" ca="1" si="55"/>
        <v/>
      </c>
      <c r="HV30" s="1200" t="str">
        <f ca="1">IF(COUNTIF(HV$10:HV29,OFFSET(A1_原単位2026,29,HL30+2))&gt;=1,"",OFFSET(A1_原単位2026,29,HL30+2)&amp;"")</f>
        <v/>
      </c>
      <c r="HW30" s="1212" t="str">
        <f t="shared" ca="1" si="56"/>
        <v/>
      </c>
      <c r="HX30" s="1213" t="str">
        <f t="shared" ca="1" si="57"/>
        <v/>
      </c>
      <c r="HY30" s="1223" t="str">
        <f t="shared" ca="1" si="58"/>
        <v/>
      </c>
      <c r="HZ30" s="1200" t="str">
        <f ca="1">IF(COUNTIF(HZ$10:HZ29,OFFSET(A1_原単位2026,41,HL30+2))&gt;=1,"",OFFSET(A1_原単位2026,41,HL30+2)&amp;"")</f>
        <v/>
      </c>
      <c r="IA30" s="1215" t="str">
        <f t="shared" ca="1" si="59"/>
        <v/>
      </c>
      <c r="IB30" s="1216" t="str">
        <f t="shared" ca="1" si="60"/>
        <v/>
      </c>
      <c r="IE30" s="882" t="str">
        <f t="shared" ca="1" si="61"/>
        <v/>
      </c>
      <c r="IF30" s="882" t="str">
        <f t="shared" ca="1" si="62"/>
        <v/>
      </c>
      <c r="IG30" s="882" t="str">
        <f t="shared" ca="1" si="63"/>
        <v/>
      </c>
      <c r="IH30" s="882" t="str">
        <f t="shared" ca="1" si="64"/>
        <v/>
      </c>
    </row>
    <row r="31" spans="2:242" s="889" customFormat="1" ht="20.100000000000001"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918">
        <f t="shared" si="67"/>
        <v>0</v>
      </c>
      <c r="HD31" s="921">
        <f t="shared" si="66"/>
        <v>0</v>
      </c>
      <c r="HE31" s="921">
        <f t="shared" si="66"/>
        <v>0</v>
      </c>
      <c r="HF31" s="920"/>
      <c r="HG31" s="918">
        <f>SUM(SUMIFS(K31:HB31,$K$13:$HB$13,{"エネルギー管理指定工場等*","県域*"}))</f>
        <v>0</v>
      </c>
      <c r="HH31" s="921">
        <f>SUM(SUMIFS(L31:HC31,$K$13:$HB$13,{"エネルギー管理指定工場等*","県域*"}))</f>
        <v>0</v>
      </c>
      <c r="HI31" s="921">
        <f>SUM(SUMIFS(M31:HD31,$K$13:$HB$13,{"エネルギー管理指定工場等*","県域*"}))</f>
        <v>0</v>
      </c>
      <c r="HJ31" s="920"/>
      <c r="HL31" s="907">
        <v>22</v>
      </c>
      <c r="HM31" s="1223" t="str">
        <f t="shared" ca="1" si="49"/>
        <v/>
      </c>
      <c r="HN31" s="1200" t="str">
        <f ca="1">IF(COUNTIF(HN$10:HN30,OFFSET(A1_原単位2026,5,HL31+2))&gt;=1,"",OFFSET(A1_原単位2026,5,HL31+2)&amp;"")</f>
        <v/>
      </c>
      <c r="HO31" s="1204" t="str">
        <f t="shared" ca="1" si="50"/>
        <v/>
      </c>
      <c r="HP31" s="1205" t="str">
        <f t="shared" ca="1" si="51"/>
        <v/>
      </c>
      <c r="HQ31" s="1223" t="str">
        <f t="shared" ca="1" si="52"/>
        <v/>
      </c>
      <c r="HR31" s="1200" t="str">
        <f ca="1">IF(COUNTIF(HR$10:HR30,OFFSET(A1_原単位2026,17,HL31+2))&gt;=1,"",OFFSET(A1_原単位2026,17,HL31+2)&amp;"")</f>
        <v/>
      </c>
      <c r="HS31" s="1212" t="str">
        <f t="shared" ca="1" si="53"/>
        <v/>
      </c>
      <c r="HT31" s="1213" t="str">
        <f t="shared" ca="1" si="54"/>
        <v/>
      </c>
      <c r="HU31" s="1223" t="str">
        <f t="shared" ca="1" si="55"/>
        <v/>
      </c>
      <c r="HV31" s="1200" t="str">
        <f ca="1">IF(COUNTIF(HV$10:HV30,OFFSET(A1_原単位2026,29,HL31+2))&gt;=1,"",OFFSET(A1_原単位2026,29,HL31+2)&amp;"")</f>
        <v/>
      </c>
      <c r="HW31" s="1212" t="str">
        <f t="shared" ca="1" si="56"/>
        <v/>
      </c>
      <c r="HX31" s="1213" t="str">
        <f t="shared" ca="1" si="57"/>
        <v/>
      </c>
      <c r="HY31" s="1223" t="str">
        <f t="shared" ca="1" si="58"/>
        <v/>
      </c>
      <c r="HZ31" s="1200" t="str">
        <f ca="1">IF(COUNTIF(HZ$10:HZ30,OFFSET(A1_原単位2026,41,HL31+2))&gt;=1,"",OFFSET(A1_原単位2026,41,HL31+2)&amp;"")</f>
        <v/>
      </c>
      <c r="IA31" s="1215" t="str">
        <f t="shared" ca="1" si="59"/>
        <v/>
      </c>
      <c r="IB31" s="1216" t="str">
        <f t="shared" ca="1" si="60"/>
        <v/>
      </c>
      <c r="IE31" s="882" t="str">
        <f t="shared" ca="1" si="61"/>
        <v/>
      </c>
      <c r="IF31" s="882" t="str">
        <f t="shared" ca="1" si="62"/>
        <v/>
      </c>
      <c r="IG31" s="882" t="str">
        <f t="shared" ca="1" si="63"/>
        <v/>
      </c>
      <c r="IH31" s="882" t="str">
        <f t="shared" ca="1" si="64"/>
        <v/>
      </c>
    </row>
    <row r="32" spans="2:242" s="889" customFormat="1" ht="20.100000000000001"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918">
        <f t="shared" si="67"/>
        <v>0</v>
      </c>
      <c r="HD32" s="921">
        <f t="shared" si="66"/>
        <v>0</v>
      </c>
      <c r="HE32" s="921">
        <f t="shared" si="66"/>
        <v>0</v>
      </c>
      <c r="HF32" s="920"/>
      <c r="HG32" s="918">
        <f>SUM(SUMIFS(K32:HB32,$K$13:$HB$13,{"エネルギー管理指定工場等*","県域*"}))</f>
        <v>0</v>
      </c>
      <c r="HH32" s="921">
        <f>SUM(SUMIFS(L32:HC32,$K$13:$HB$13,{"エネルギー管理指定工場等*","県域*"}))</f>
        <v>0</v>
      </c>
      <c r="HI32" s="921">
        <f>SUM(SUMIFS(M32:HD32,$K$13:$HB$13,{"エネルギー管理指定工場等*","県域*"}))</f>
        <v>0</v>
      </c>
      <c r="HJ32" s="920"/>
      <c r="HL32" s="908">
        <v>23</v>
      </c>
      <c r="HM32" s="1223" t="str">
        <f t="shared" ca="1" si="49"/>
        <v/>
      </c>
      <c r="HN32" s="1200" t="str">
        <f ca="1">IF(COUNTIF(HN$10:HN31,OFFSET(A1_原単位2026,5,HL32+2))&gt;=1,"",OFFSET(A1_原単位2026,5,HL32+2)&amp;"")</f>
        <v/>
      </c>
      <c r="HO32" s="1204" t="str">
        <f t="shared" ca="1" si="50"/>
        <v/>
      </c>
      <c r="HP32" s="1205" t="str">
        <f t="shared" ca="1" si="51"/>
        <v/>
      </c>
      <c r="HQ32" s="1223" t="str">
        <f t="shared" ca="1" si="52"/>
        <v/>
      </c>
      <c r="HR32" s="1200" t="str">
        <f ca="1">IF(COUNTIF(HR$10:HR31,OFFSET(A1_原単位2026,17,HL32+2))&gt;=1,"",OFFSET(A1_原単位2026,17,HL32+2)&amp;"")</f>
        <v/>
      </c>
      <c r="HS32" s="1212" t="str">
        <f t="shared" ca="1" si="53"/>
        <v/>
      </c>
      <c r="HT32" s="1213" t="str">
        <f t="shared" ca="1" si="54"/>
        <v/>
      </c>
      <c r="HU32" s="1223" t="str">
        <f t="shared" ca="1" si="55"/>
        <v/>
      </c>
      <c r="HV32" s="1200" t="str">
        <f ca="1">IF(COUNTIF(HV$10:HV31,OFFSET(A1_原単位2026,29,HL32+2))&gt;=1,"",OFFSET(A1_原単位2026,29,HL32+2)&amp;"")</f>
        <v/>
      </c>
      <c r="HW32" s="1212" t="str">
        <f t="shared" ca="1" si="56"/>
        <v/>
      </c>
      <c r="HX32" s="1213" t="str">
        <f t="shared" ca="1" si="57"/>
        <v/>
      </c>
      <c r="HY32" s="1223" t="str">
        <f t="shared" ca="1" si="58"/>
        <v/>
      </c>
      <c r="HZ32" s="1200" t="str">
        <f ca="1">IF(COUNTIF(HZ$10:HZ31,OFFSET(A1_原単位2026,41,HL32+2))&gt;=1,"",OFFSET(A1_原単位2026,41,HL32+2)&amp;"")</f>
        <v/>
      </c>
      <c r="IA32" s="1215" t="str">
        <f t="shared" ca="1" si="59"/>
        <v/>
      </c>
      <c r="IB32" s="1216" t="str">
        <f t="shared" ca="1" si="60"/>
        <v/>
      </c>
      <c r="IE32" s="882" t="str">
        <f t="shared" ca="1" si="61"/>
        <v/>
      </c>
      <c r="IF32" s="882" t="str">
        <f t="shared" ca="1" si="62"/>
        <v/>
      </c>
      <c r="IG32" s="882" t="str">
        <f t="shared" ca="1" si="63"/>
        <v/>
      </c>
      <c r="IH32" s="882" t="str">
        <f t="shared" ca="1" si="64"/>
        <v/>
      </c>
    </row>
    <row r="33" spans="2:242" s="889" customFormat="1" ht="20.100000000000001"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918">
        <f t="shared" si="67"/>
        <v>0</v>
      </c>
      <c r="HD33" s="921">
        <f t="shared" si="67"/>
        <v>0</v>
      </c>
      <c r="HE33" s="921">
        <f t="shared" si="67"/>
        <v>0</v>
      </c>
      <c r="HF33" s="920"/>
      <c r="HG33" s="918">
        <f>SUM(SUMIFS(K33:HB33,$K$13:$HB$13,{"エネルギー管理指定工場等*","県域*"}))</f>
        <v>0</v>
      </c>
      <c r="HH33" s="921">
        <f>SUM(SUMIFS(L33:HC33,$K$13:$HB$13,{"エネルギー管理指定工場等*","県域*"}))</f>
        <v>0</v>
      </c>
      <c r="HI33" s="921">
        <f>SUM(SUMIFS(M33:HD33,$K$13:$HB$13,{"エネルギー管理指定工場等*","県域*"}))</f>
        <v>0</v>
      </c>
      <c r="HJ33" s="920"/>
      <c r="HL33" s="907">
        <v>24</v>
      </c>
      <c r="HM33" s="1223" t="str">
        <f t="shared" ca="1" si="49"/>
        <v/>
      </c>
      <c r="HN33" s="1200" t="str">
        <f ca="1">IF(COUNTIF(HN$10:HN32,OFFSET(A1_原単位2026,5,HL33+2))&gt;=1,"",OFFSET(A1_原単位2026,5,HL33+2)&amp;"")</f>
        <v/>
      </c>
      <c r="HO33" s="1204" t="str">
        <f t="shared" ca="1" si="50"/>
        <v/>
      </c>
      <c r="HP33" s="1205" t="str">
        <f t="shared" ca="1" si="51"/>
        <v/>
      </c>
      <c r="HQ33" s="1223" t="str">
        <f t="shared" ca="1" si="52"/>
        <v/>
      </c>
      <c r="HR33" s="1200" t="str">
        <f ca="1">IF(COUNTIF(HR$10:HR32,OFFSET(A1_原単位2026,17,HL33+2))&gt;=1,"",OFFSET(A1_原単位2026,17,HL33+2)&amp;"")</f>
        <v/>
      </c>
      <c r="HS33" s="1212" t="str">
        <f t="shared" ca="1" si="53"/>
        <v/>
      </c>
      <c r="HT33" s="1213" t="str">
        <f t="shared" ca="1" si="54"/>
        <v/>
      </c>
      <c r="HU33" s="1223" t="str">
        <f t="shared" ca="1" si="55"/>
        <v/>
      </c>
      <c r="HV33" s="1200" t="str">
        <f ca="1">IF(COUNTIF(HV$10:HV32,OFFSET(A1_原単位2026,29,HL33+2))&gt;=1,"",OFFSET(A1_原単位2026,29,HL33+2)&amp;"")</f>
        <v/>
      </c>
      <c r="HW33" s="1212" t="str">
        <f t="shared" ca="1" si="56"/>
        <v/>
      </c>
      <c r="HX33" s="1213" t="str">
        <f t="shared" ca="1" si="57"/>
        <v/>
      </c>
      <c r="HY33" s="1223" t="str">
        <f t="shared" ca="1" si="58"/>
        <v/>
      </c>
      <c r="HZ33" s="1200" t="str">
        <f ca="1">IF(COUNTIF(HZ$10:HZ32,OFFSET(A1_原単位2026,41,HL33+2))&gt;=1,"",OFFSET(A1_原単位2026,41,HL33+2)&amp;"")</f>
        <v/>
      </c>
      <c r="IA33" s="1215" t="str">
        <f t="shared" ca="1" si="59"/>
        <v/>
      </c>
      <c r="IB33" s="1216" t="str">
        <f t="shared" ca="1" si="60"/>
        <v/>
      </c>
      <c r="IE33" s="882" t="str">
        <f t="shared" ca="1" si="61"/>
        <v/>
      </c>
      <c r="IF33" s="882" t="str">
        <f t="shared" ca="1" si="62"/>
        <v/>
      </c>
      <c r="IG33" s="882" t="str">
        <f t="shared" ca="1" si="63"/>
        <v/>
      </c>
      <c r="IH33" s="882" t="str">
        <f t="shared" ca="1" si="64"/>
        <v/>
      </c>
    </row>
    <row r="34" spans="2:242" s="889" customFormat="1" ht="20.100000000000001"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918">
        <f t="shared" si="67"/>
        <v>0</v>
      </c>
      <c r="HD34" s="921">
        <f t="shared" si="67"/>
        <v>0</v>
      </c>
      <c r="HE34" s="921">
        <f t="shared" si="67"/>
        <v>0</v>
      </c>
      <c r="HF34" s="920"/>
      <c r="HG34" s="918">
        <f>SUM(SUMIFS(K34:HB34,$K$13:$HB$13,{"エネルギー管理指定工場等*","県域*"}))</f>
        <v>0</v>
      </c>
      <c r="HH34" s="921">
        <f>SUM(SUMIFS(L34:HC34,$K$13:$HB$13,{"エネルギー管理指定工場等*","県域*"}))</f>
        <v>0</v>
      </c>
      <c r="HI34" s="921">
        <f>SUM(SUMIFS(M34:HD34,$K$13:$HB$13,{"エネルギー管理指定工場等*","県域*"}))</f>
        <v>0</v>
      </c>
      <c r="HJ34" s="920"/>
      <c r="HL34" s="908">
        <v>25</v>
      </c>
      <c r="HM34" s="1223" t="str">
        <f t="shared" ca="1" si="49"/>
        <v/>
      </c>
      <c r="HN34" s="1200" t="str">
        <f ca="1">IF(COUNTIF(HN$10:HN33,OFFSET(A1_原単位2026,5,HL34+2))&gt;=1,"",OFFSET(A1_原単位2026,5,HL34+2)&amp;"")</f>
        <v/>
      </c>
      <c r="HO34" s="1204" t="str">
        <f t="shared" ca="1" si="50"/>
        <v/>
      </c>
      <c r="HP34" s="1205" t="str">
        <f t="shared" ca="1" si="51"/>
        <v/>
      </c>
      <c r="HQ34" s="1223" t="str">
        <f t="shared" ca="1" si="52"/>
        <v/>
      </c>
      <c r="HR34" s="1200" t="str">
        <f ca="1">IF(COUNTIF(HR$10:HR33,OFFSET(A1_原単位2026,17,HL34+2))&gt;=1,"",OFFSET(A1_原単位2026,17,HL34+2)&amp;"")</f>
        <v/>
      </c>
      <c r="HS34" s="1212" t="str">
        <f t="shared" ca="1" si="53"/>
        <v/>
      </c>
      <c r="HT34" s="1213" t="str">
        <f t="shared" ca="1" si="54"/>
        <v/>
      </c>
      <c r="HU34" s="1223" t="str">
        <f t="shared" ca="1" si="55"/>
        <v/>
      </c>
      <c r="HV34" s="1200" t="str">
        <f ca="1">IF(COUNTIF(HV$10:HV33,OFFSET(A1_原単位2026,29,HL34+2))&gt;=1,"",OFFSET(A1_原単位2026,29,HL34+2)&amp;"")</f>
        <v/>
      </c>
      <c r="HW34" s="1212" t="str">
        <f t="shared" ca="1" si="56"/>
        <v/>
      </c>
      <c r="HX34" s="1213" t="str">
        <f t="shared" ca="1" si="57"/>
        <v/>
      </c>
      <c r="HY34" s="1223" t="str">
        <f t="shared" ca="1" si="58"/>
        <v/>
      </c>
      <c r="HZ34" s="1200" t="str">
        <f ca="1">IF(COUNTIF(HZ$10:HZ33,OFFSET(A1_原単位2026,41,HL34+2))&gt;=1,"",OFFSET(A1_原単位2026,41,HL34+2)&amp;"")</f>
        <v/>
      </c>
      <c r="IA34" s="1215" t="str">
        <f t="shared" ca="1" si="59"/>
        <v/>
      </c>
      <c r="IB34" s="1216" t="str">
        <f t="shared" ca="1" si="60"/>
        <v/>
      </c>
      <c r="IE34" s="882" t="str">
        <f t="shared" ca="1" si="61"/>
        <v/>
      </c>
      <c r="IF34" s="882" t="str">
        <f t="shared" ca="1" si="62"/>
        <v/>
      </c>
      <c r="IG34" s="882" t="str">
        <f t="shared" ca="1" si="63"/>
        <v/>
      </c>
      <c r="IH34" s="882" t="str">
        <f t="shared" ca="1" si="64"/>
        <v/>
      </c>
    </row>
    <row r="35" spans="2:242" s="889" customFormat="1" ht="20.100000000000001"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918">
        <f t="shared" si="67"/>
        <v>0</v>
      </c>
      <c r="HD35" s="921">
        <f t="shared" si="67"/>
        <v>0</v>
      </c>
      <c r="HE35" s="921">
        <f t="shared" si="67"/>
        <v>0</v>
      </c>
      <c r="HF35" s="920"/>
      <c r="HG35" s="918">
        <f>SUM(SUMIFS(K35:HB35,$K$13:$HB$13,{"エネルギー管理指定工場等*","県域*"}))</f>
        <v>0</v>
      </c>
      <c r="HH35" s="921">
        <f>SUM(SUMIFS(L35:HC35,$K$13:$HB$13,{"エネルギー管理指定工場等*","県域*"}))</f>
        <v>0</v>
      </c>
      <c r="HI35" s="921">
        <f>SUM(SUMIFS(M35:HD35,$K$13:$HB$13,{"エネルギー管理指定工場等*","県域*"}))</f>
        <v>0</v>
      </c>
      <c r="HJ35" s="920"/>
      <c r="HL35" s="907">
        <v>26</v>
      </c>
      <c r="HM35" s="1223" t="str">
        <f t="shared" ca="1" si="49"/>
        <v/>
      </c>
      <c r="HN35" s="1200" t="str">
        <f ca="1">IF(COUNTIF(HN$10:HN34,OFFSET(A1_原単位2026,5,HL35+2))&gt;=1,"",OFFSET(A1_原単位2026,5,HL35+2)&amp;"")</f>
        <v/>
      </c>
      <c r="HO35" s="1204" t="str">
        <f t="shared" ca="1" si="50"/>
        <v/>
      </c>
      <c r="HP35" s="1205" t="str">
        <f t="shared" ca="1" si="51"/>
        <v/>
      </c>
      <c r="HQ35" s="1223" t="str">
        <f t="shared" ca="1" si="52"/>
        <v/>
      </c>
      <c r="HR35" s="1200" t="str">
        <f ca="1">IF(COUNTIF(HR$10:HR34,OFFSET(A1_原単位2026,17,HL35+2))&gt;=1,"",OFFSET(A1_原単位2026,17,HL35+2)&amp;"")</f>
        <v/>
      </c>
      <c r="HS35" s="1212" t="str">
        <f t="shared" ca="1" si="53"/>
        <v/>
      </c>
      <c r="HT35" s="1213" t="str">
        <f t="shared" ca="1" si="54"/>
        <v/>
      </c>
      <c r="HU35" s="1223" t="str">
        <f t="shared" ca="1" si="55"/>
        <v/>
      </c>
      <c r="HV35" s="1200" t="str">
        <f ca="1">IF(COUNTIF(HV$10:HV34,OFFSET(A1_原単位2026,29,HL35+2))&gt;=1,"",OFFSET(A1_原単位2026,29,HL35+2)&amp;"")</f>
        <v/>
      </c>
      <c r="HW35" s="1212" t="str">
        <f t="shared" ca="1" si="56"/>
        <v/>
      </c>
      <c r="HX35" s="1213" t="str">
        <f t="shared" ca="1" si="57"/>
        <v/>
      </c>
      <c r="HY35" s="1223" t="str">
        <f t="shared" ca="1" si="58"/>
        <v/>
      </c>
      <c r="HZ35" s="1200" t="str">
        <f ca="1">IF(COUNTIF(HZ$10:HZ34,OFFSET(A1_原単位2026,41,HL35+2))&gt;=1,"",OFFSET(A1_原単位2026,41,HL35+2)&amp;"")</f>
        <v/>
      </c>
      <c r="IA35" s="1215" t="str">
        <f t="shared" ca="1" si="59"/>
        <v/>
      </c>
      <c r="IB35" s="1216" t="str">
        <f t="shared" ca="1" si="60"/>
        <v/>
      </c>
      <c r="IE35" s="882" t="str">
        <f t="shared" ca="1" si="61"/>
        <v/>
      </c>
      <c r="IF35" s="882" t="str">
        <f t="shared" ca="1" si="62"/>
        <v/>
      </c>
      <c r="IG35" s="882" t="str">
        <f t="shared" ca="1" si="63"/>
        <v/>
      </c>
      <c r="IH35" s="882" t="str">
        <f t="shared" ca="1" si="64"/>
        <v/>
      </c>
    </row>
    <row r="36" spans="2:242" s="889" customFormat="1" ht="20.100000000000001"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918">
        <f t="shared" si="67"/>
        <v>0</v>
      </c>
      <c r="HD36" s="921">
        <f t="shared" si="67"/>
        <v>0</v>
      </c>
      <c r="HE36" s="921">
        <f t="shared" si="67"/>
        <v>0</v>
      </c>
      <c r="HF36" s="920"/>
      <c r="HG36" s="918">
        <f>SUM(SUMIFS(K36:HB36,$K$13:$HB$13,{"エネルギー管理指定工場等*","県域*"}))</f>
        <v>0</v>
      </c>
      <c r="HH36" s="921">
        <f>SUM(SUMIFS(L36:HC36,$K$13:$HB$13,{"エネルギー管理指定工場等*","県域*"}))</f>
        <v>0</v>
      </c>
      <c r="HI36" s="921">
        <f>SUM(SUMIFS(M36:HD36,$K$13:$HB$13,{"エネルギー管理指定工場等*","県域*"}))</f>
        <v>0</v>
      </c>
      <c r="HJ36" s="920"/>
      <c r="HL36" s="908">
        <v>27</v>
      </c>
      <c r="HM36" s="1223" t="str">
        <f t="shared" ca="1" si="49"/>
        <v/>
      </c>
      <c r="HN36" s="1200" t="str">
        <f ca="1">IF(COUNTIF(HN$10:HN35,OFFSET(A1_原単位2026,5,HL36+2))&gt;=1,"",OFFSET(A1_原単位2026,5,HL36+2)&amp;"")</f>
        <v/>
      </c>
      <c r="HO36" s="1204" t="str">
        <f t="shared" ca="1" si="50"/>
        <v/>
      </c>
      <c r="HP36" s="1205" t="str">
        <f t="shared" ca="1" si="51"/>
        <v/>
      </c>
      <c r="HQ36" s="1223" t="str">
        <f t="shared" ca="1" si="52"/>
        <v/>
      </c>
      <c r="HR36" s="1200" t="str">
        <f ca="1">IF(COUNTIF(HR$10:HR35,OFFSET(A1_原単位2026,17,HL36+2))&gt;=1,"",OFFSET(A1_原単位2026,17,HL36+2)&amp;"")</f>
        <v/>
      </c>
      <c r="HS36" s="1212" t="str">
        <f t="shared" ca="1" si="53"/>
        <v/>
      </c>
      <c r="HT36" s="1213" t="str">
        <f t="shared" ca="1" si="54"/>
        <v/>
      </c>
      <c r="HU36" s="1223" t="str">
        <f t="shared" ca="1" si="55"/>
        <v/>
      </c>
      <c r="HV36" s="1200" t="str">
        <f ca="1">IF(COUNTIF(HV$10:HV35,OFFSET(A1_原単位2026,29,HL36+2))&gt;=1,"",OFFSET(A1_原単位2026,29,HL36+2)&amp;"")</f>
        <v/>
      </c>
      <c r="HW36" s="1212" t="str">
        <f t="shared" ca="1" si="56"/>
        <v/>
      </c>
      <c r="HX36" s="1213" t="str">
        <f t="shared" ca="1" si="57"/>
        <v/>
      </c>
      <c r="HY36" s="1223" t="str">
        <f t="shared" ca="1" si="58"/>
        <v/>
      </c>
      <c r="HZ36" s="1200" t="str">
        <f ca="1">IF(COUNTIF(HZ$10:HZ35,OFFSET(A1_原単位2026,41,HL36+2))&gt;=1,"",OFFSET(A1_原単位2026,41,HL36+2)&amp;"")</f>
        <v/>
      </c>
      <c r="IA36" s="1215" t="str">
        <f t="shared" ca="1" si="59"/>
        <v/>
      </c>
      <c r="IB36" s="1216" t="str">
        <f t="shared" ca="1" si="60"/>
        <v/>
      </c>
      <c r="IE36" s="882" t="str">
        <f t="shared" ca="1" si="61"/>
        <v/>
      </c>
      <c r="IF36" s="882" t="str">
        <f t="shared" ca="1" si="62"/>
        <v/>
      </c>
      <c r="IG36" s="882" t="str">
        <f t="shared" ca="1" si="63"/>
        <v/>
      </c>
      <c r="IH36" s="882" t="str">
        <f t="shared" ca="1" si="64"/>
        <v/>
      </c>
    </row>
    <row r="37" spans="2:242" s="889" customFormat="1" ht="20.100000000000001"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918">
        <f t="shared" si="67"/>
        <v>0</v>
      </c>
      <c r="HD37" s="921">
        <f t="shared" si="67"/>
        <v>0</v>
      </c>
      <c r="HE37" s="921">
        <f t="shared" si="67"/>
        <v>0</v>
      </c>
      <c r="HF37" s="920"/>
      <c r="HG37" s="918">
        <f>SUM(SUMIFS(K37:HB37,$K$13:$HB$13,{"エネルギー管理指定工場等*","県域*"}))</f>
        <v>0</v>
      </c>
      <c r="HH37" s="921">
        <f>SUM(SUMIFS(L37:HC37,$K$13:$HB$13,{"エネルギー管理指定工場等*","県域*"}))</f>
        <v>0</v>
      </c>
      <c r="HI37" s="921">
        <f>SUM(SUMIFS(M37:HD37,$K$13:$HB$13,{"エネルギー管理指定工場等*","県域*"}))</f>
        <v>0</v>
      </c>
      <c r="HJ37" s="920"/>
      <c r="HL37" s="907">
        <v>28</v>
      </c>
      <c r="HM37" s="1223" t="str">
        <f t="shared" ca="1" si="49"/>
        <v/>
      </c>
      <c r="HN37" s="1200" t="str">
        <f ca="1">IF(COUNTIF(HN$10:HN36,OFFSET(A1_原単位2026,5,HL37+2))&gt;=1,"",OFFSET(A1_原単位2026,5,HL37+2)&amp;"")</f>
        <v/>
      </c>
      <c r="HO37" s="1204" t="str">
        <f t="shared" ca="1" si="50"/>
        <v/>
      </c>
      <c r="HP37" s="1205" t="str">
        <f t="shared" ca="1" si="51"/>
        <v/>
      </c>
      <c r="HQ37" s="1223" t="str">
        <f t="shared" ca="1" si="52"/>
        <v/>
      </c>
      <c r="HR37" s="1200" t="str">
        <f ca="1">IF(COUNTIF(HR$10:HR36,OFFSET(A1_原単位2026,17,HL37+2))&gt;=1,"",OFFSET(A1_原単位2026,17,HL37+2)&amp;"")</f>
        <v/>
      </c>
      <c r="HS37" s="1212" t="str">
        <f t="shared" ca="1" si="53"/>
        <v/>
      </c>
      <c r="HT37" s="1213" t="str">
        <f t="shared" ca="1" si="54"/>
        <v/>
      </c>
      <c r="HU37" s="1223" t="str">
        <f t="shared" ca="1" si="55"/>
        <v/>
      </c>
      <c r="HV37" s="1200" t="str">
        <f ca="1">IF(COUNTIF(HV$10:HV36,OFFSET(A1_原単位2026,29,HL37+2))&gt;=1,"",OFFSET(A1_原単位2026,29,HL37+2)&amp;"")</f>
        <v/>
      </c>
      <c r="HW37" s="1212" t="str">
        <f t="shared" ca="1" si="56"/>
        <v/>
      </c>
      <c r="HX37" s="1213" t="str">
        <f t="shared" ca="1" si="57"/>
        <v/>
      </c>
      <c r="HY37" s="1223" t="str">
        <f t="shared" ca="1" si="58"/>
        <v/>
      </c>
      <c r="HZ37" s="1200" t="str">
        <f ca="1">IF(COUNTIF(HZ$10:HZ36,OFFSET(A1_原単位2026,41,HL37+2))&gt;=1,"",OFFSET(A1_原単位2026,41,HL37+2)&amp;"")</f>
        <v/>
      </c>
      <c r="IA37" s="1215" t="str">
        <f t="shared" ca="1" si="59"/>
        <v/>
      </c>
      <c r="IB37" s="1216" t="str">
        <f t="shared" ca="1" si="60"/>
        <v/>
      </c>
      <c r="IE37" s="882" t="str">
        <f t="shared" ca="1" si="61"/>
        <v/>
      </c>
      <c r="IF37" s="882" t="str">
        <f t="shared" ca="1" si="62"/>
        <v/>
      </c>
      <c r="IG37" s="882" t="str">
        <f t="shared" ca="1" si="63"/>
        <v/>
      </c>
      <c r="IH37" s="882" t="str">
        <f t="shared" ca="1" si="64"/>
        <v/>
      </c>
    </row>
    <row r="38" spans="2:242" s="889" customFormat="1" ht="20.100000000000001"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918">
        <f t="shared" si="67"/>
        <v>0</v>
      </c>
      <c r="HD38" s="921">
        <f t="shared" si="67"/>
        <v>0</v>
      </c>
      <c r="HE38" s="921">
        <f t="shared" si="67"/>
        <v>0</v>
      </c>
      <c r="HF38" s="920"/>
      <c r="HG38" s="918">
        <f>SUM(SUMIFS(K38:HB38,$K$13:$HB$13,{"エネルギー管理指定工場等*","県域*"}))</f>
        <v>0</v>
      </c>
      <c r="HH38" s="921">
        <f>SUM(SUMIFS(L38:HC38,$K$13:$HB$13,{"エネルギー管理指定工場等*","県域*"}))</f>
        <v>0</v>
      </c>
      <c r="HI38" s="921">
        <f>SUM(SUMIFS(M38:HD38,$K$13:$HB$13,{"エネルギー管理指定工場等*","県域*"}))</f>
        <v>0</v>
      </c>
      <c r="HJ38" s="920"/>
      <c r="HL38" s="907">
        <v>29</v>
      </c>
      <c r="HM38" s="1223" t="str">
        <f t="shared" ca="1" si="49"/>
        <v/>
      </c>
      <c r="HN38" s="1200" t="str">
        <f ca="1">IF(COUNTIF(HN$10:HN37,OFFSET(A1_原単位2026,5,HL38+2))&gt;=1,"",OFFSET(A1_原単位2026,5,HL38+2)&amp;"")</f>
        <v/>
      </c>
      <c r="HO38" s="1204" t="str">
        <f t="shared" ca="1" si="50"/>
        <v/>
      </c>
      <c r="HP38" s="1205" t="str">
        <f t="shared" ca="1" si="51"/>
        <v/>
      </c>
      <c r="HQ38" s="1223" t="str">
        <f t="shared" ca="1" si="52"/>
        <v/>
      </c>
      <c r="HR38" s="1200" t="str">
        <f ca="1">IF(COUNTIF(HR$10:HR37,OFFSET(A1_原単位2026,17,HL38+2))&gt;=1,"",OFFSET(A1_原単位2026,17,HL38+2)&amp;"")</f>
        <v/>
      </c>
      <c r="HS38" s="1212" t="str">
        <f t="shared" ca="1" si="53"/>
        <v/>
      </c>
      <c r="HT38" s="1213" t="str">
        <f t="shared" ca="1" si="54"/>
        <v/>
      </c>
      <c r="HU38" s="1223" t="str">
        <f t="shared" ca="1" si="55"/>
        <v/>
      </c>
      <c r="HV38" s="1200" t="str">
        <f ca="1">IF(COUNTIF(HV$10:HV37,OFFSET(A1_原単位2026,29,HL38+2))&gt;=1,"",OFFSET(A1_原単位2026,29,HL38+2)&amp;"")</f>
        <v/>
      </c>
      <c r="HW38" s="1212" t="str">
        <f t="shared" ca="1" si="56"/>
        <v/>
      </c>
      <c r="HX38" s="1213" t="str">
        <f t="shared" ca="1" si="57"/>
        <v/>
      </c>
      <c r="HY38" s="1223" t="str">
        <f t="shared" ca="1" si="58"/>
        <v/>
      </c>
      <c r="HZ38" s="1200" t="str">
        <f ca="1">IF(COUNTIF(HZ$10:HZ37,OFFSET(A1_原単位2026,41,HL38+2))&gt;=1,"",OFFSET(A1_原単位2026,41,HL38+2)&amp;"")</f>
        <v/>
      </c>
      <c r="IA38" s="1215" t="str">
        <f t="shared" ca="1" si="59"/>
        <v/>
      </c>
      <c r="IB38" s="1216" t="str">
        <f t="shared" ca="1" si="60"/>
        <v/>
      </c>
      <c r="IE38" s="882" t="str">
        <f t="shared" ca="1" si="61"/>
        <v/>
      </c>
      <c r="IF38" s="882" t="str">
        <f t="shared" ca="1" si="62"/>
        <v/>
      </c>
      <c r="IG38" s="882" t="str">
        <f t="shared" ca="1" si="63"/>
        <v/>
      </c>
      <c r="IH38" s="882" t="str">
        <f t="shared" ca="1" si="64"/>
        <v/>
      </c>
    </row>
    <row r="39" spans="2:242" s="889" customFormat="1" ht="20.100000000000001"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918">
        <f t="shared" si="67"/>
        <v>0</v>
      </c>
      <c r="HD39" s="921">
        <f t="shared" si="67"/>
        <v>0</v>
      </c>
      <c r="HE39" s="921">
        <f t="shared" si="67"/>
        <v>0</v>
      </c>
      <c r="HF39" s="920"/>
      <c r="HG39" s="918">
        <f>SUM(SUMIFS(K39:HB39,$K$13:$HB$13,{"エネルギー管理指定工場等*","県域*"}))</f>
        <v>0</v>
      </c>
      <c r="HH39" s="921">
        <f>SUM(SUMIFS(L39:HC39,$K$13:$HB$13,{"エネルギー管理指定工場等*","県域*"}))</f>
        <v>0</v>
      </c>
      <c r="HI39" s="921">
        <f>SUM(SUMIFS(M39:HD39,$K$13:$HB$13,{"エネルギー管理指定工場等*","県域*"}))</f>
        <v>0</v>
      </c>
      <c r="HJ39" s="920"/>
      <c r="HL39" s="908">
        <v>30</v>
      </c>
      <c r="HM39" s="1223" t="str">
        <f t="shared" ca="1" si="49"/>
        <v/>
      </c>
      <c r="HN39" s="1200" t="str">
        <f ca="1">IF(COUNTIF(HN$10:HN38,OFFSET(A1_原単位2026,5,HL39+2))&gt;=1,"",OFFSET(A1_原単位2026,5,HL39+2)&amp;"")</f>
        <v/>
      </c>
      <c r="HO39" s="1204" t="str">
        <f t="shared" ca="1" si="50"/>
        <v/>
      </c>
      <c r="HP39" s="1205" t="str">
        <f t="shared" ca="1" si="51"/>
        <v/>
      </c>
      <c r="HQ39" s="1223" t="str">
        <f t="shared" ca="1" si="52"/>
        <v/>
      </c>
      <c r="HR39" s="1200" t="str">
        <f ca="1">IF(COUNTIF(HR$10:HR38,OFFSET(A1_原単位2026,17,HL39+2))&gt;=1,"",OFFSET(A1_原単位2026,17,HL39+2)&amp;"")</f>
        <v/>
      </c>
      <c r="HS39" s="1212" t="str">
        <f t="shared" ca="1" si="53"/>
        <v/>
      </c>
      <c r="HT39" s="1213" t="str">
        <f t="shared" ca="1" si="54"/>
        <v/>
      </c>
      <c r="HU39" s="1223" t="str">
        <f t="shared" ca="1" si="55"/>
        <v/>
      </c>
      <c r="HV39" s="1200" t="str">
        <f ca="1">IF(COUNTIF(HV$10:HV38,OFFSET(A1_原単位2026,29,HL39+2))&gt;=1,"",OFFSET(A1_原単位2026,29,HL39+2)&amp;"")</f>
        <v/>
      </c>
      <c r="HW39" s="1212" t="str">
        <f t="shared" ca="1" si="56"/>
        <v/>
      </c>
      <c r="HX39" s="1213" t="str">
        <f t="shared" ca="1" si="57"/>
        <v/>
      </c>
      <c r="HY39" s="1223" t="str">
        <f t="shared" ca="1" si="58"/>
        <v/>
      </c>
      <c r="HZ39" s="1200" t="str">
        <f ca="1">IF(COUNTIF(HZ$10:HZ38,OFFSET(A1_原単位2026,41,HL39+2))&gt;=1,"",OFFSET(A1_原単位2026,41,HL39+2)&amp;"")</f>
        <v/>
      </c>
      <c r="IA39" s="1215" t="str">
        <f t="shared" ca="1" si="59"/>
        <v/>
      </c>
      <c r="IB39" s="1216" t="str">
        <f t="shared" ca="1" si="60"/>
        <v/>
      </c>
      <c r="IE39" s="882" t="str">
        <f t="shared" ca="1" si="61"/>
        <v/>
      </c>
      <c r="IF39" s="882" t="str">
        <f t="shared" ca="1" si="62"/>
        <v/>
      </c>
      <c r="IG39" s="882" t="str">
        <f t="shared" ca="1" si="63"/>
        <v/>
      </c>
      <c r="IH39" s="882" t="str">
        <f t="shared" ca="1" si="64"/>
        <v/>
      </c>
    </row>
    <row r="40" spans="2:242" s="889" customFormat="1" ht="20.100000000000001"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918">
        <f t="shared" si="67"/>
        <v>0</v>
      </c>
      <c r="HD40" s="921">
        <f t="shared" si="67"/>
        <v>0</v>
      </c>
      <c r="HE40" s="921">
        <f t="shared" si="67"/>
        <v>0</v>
      </c>
      <c r="HF40" s="920"/>
      <c r="HG40" s="918">
        <f>SUM(SUMIFS(K40:HB40,$K$13:$HB$13,{"エネルギー管理指定工場等*","県域*"}))</f>
        <v>0</v>
      </c>
      <c r="HH40" s="921">
        <f>SUM(SUMIFS(L40:HC40,$K$13:$HB$13,{"エネルギー管理指定工場等*","県域*"}))</f>
        <v>0</v>
      </c>
      <c r="HI40" s="921">
        <f>SUM(SUMIFS(M40:HD40,$K$13:$HB$13,{"エネルギー管理指定工場等*","県域*"}))</f>
        <v>0</v>
      </c>
      <c r="HJ40" s="920"/>
      <c r="HL40" s="907">
        <v>31</v>
      </c>
      <c r="HM40" s="1223" t="str">
        <f t="shared" ca="1" si="49"/>
        <v/>
      </c>
      <c r="HN40" s="1200" t="str">
        <f ca="1">IF(COUNTIF(HN$10:HN39,OFFSET(A1_原単位2026,5,HL40+2))&gt;=1,"",OFFSET(A1_原単位2026,5,HL40+2)&amp;"")</f>
        <v/>
      </c>
      <c r="HO40" s="1204" t="str">
        <f t="shared" ca="1" si="50"/>
        <v/>
      </c>
      <c r="HP40" s="1205" t="str">
        <f t="shared" ca="1" si="51"/>
        <v/>
      </c>
      <c r="HQ40" s="1223" t="str">
        <f t="shared" ca="1" si="52"/>
        <v/>
      </c>
      <c r="HR40" s="1200" t="str">
        <f ca="1">IF(COUNTIF(HR$10:HR39,OFFSET(A1_原単位2026,17,HL40+2))&gt;=1,"",OFFSET(A1_原単位2026,17,HL40+2)&amp;"")</f>
        <v/>
      </c>
      <c r="HS40" s="1212" t="str">
        <f t="shared" ca="1" si="53"/>
        <v/>
      </c>
      <c r="HT40" s="1213" t="str">
        <f t="shared" ca="1" si="54"/>
        <v/>
      </c>
      <c r="HU40" s="1223" t="str">
        <f t="shared" ca="1" si="55"/>
        <v/>
      </c>
      <c r="HV40" s="1200" t="str">
        <f ca="1">IF(COUNTIF(HV$10:HV39,OFFSET(A1_原単位2026,29,HL40+2))&gt;=1,"",OFFSET(A1_原単位2026,29,HL40+2)&amp;"")</f>
        <v/>
      </c>
      <c r="HW40" s="1212" t="str">
        <f t="shared" ca="1" si="56"/>
        <v/>
      </c>
      <c r="HX40" s="1213" t="str">
        <f t="shared" ca="1" si="57"/>
        <v/>
      </c>
      <c r="HY40" s="1223" t="str">
        <f t="shared" ca="1" si="58"/>
        <v/>
      </c>
      <c r="HZ40" s="1200" t="str">
        <f ca="1">IF(COUNTIF(HZ$10:HZ39,OFFSET(A1_原単位2026,41,HL40+2))&gt;=1,"",OFFSET(A1_原単位2026,41,HL40+2)&amp;"")</f>
        <v/>
      </c>
      <c r="IA40" s="1215" t="str">
        <f t="shared" ca="1" si="59"/>
        <v/>
      </c>
      <c r="IB40" s="1216" t="str">
        <f t="shared" ca="1" si="60"/>
        <v/>
      </c>
      <c r="IE40" s="882" t="str">
        <f t="shared" ca="1" si="61"/>
        <v/>
      </c>
      <c r="IF40" s="882" t="str">
        <f t="shared" ca="1" si="62"/>
        <v/>
      </c>
      <c r="IG40" s="882" t="str">
        <f t="shared" ca="1" si="63"/>
        <v/>
      </c>
      <c r="IH40" s="882" t="str">
        <f t="shared" ca="1" si="64"/>
        <v/>
      </c>
    </row>
    <row r="41" spans="2:242" s="889" customFormat="1" ht="20.100000000000001"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918">
        <f t="shared" si="67"/>
        <v>0</v>
      </c>
      <c r="HD41" s="921">
        <f t="shared" si="67"/>
        <v>0</v>
      </c>
      <c r="HE41" s="921">
        <f t="shared" si="67"/>
        <v>0</v>
      </c>
      <c r="HF41" s="920"/>
      <c r="HG41" s="918">
        <f>SUM(SUMIFS(K41:HB41,$K$13:$HB$13,{"エネルギー管理指定工場等*","県域*"}))</f>
        <v>0</v>
      </c>
      <c r="HH41" s="921">
        <f>SUM(SUMIFS(L41:HC41,$K$13:$HB$13,{"エネルギー管理指定工場等*","県域*"}))</f>
        <v>0</v>
      </c>
      <c r="HI41" s="921">
        <f>SUM(SUMIFS(M41:HD41,$K$13:$HB$13,{"エネルギー管理指定工場等*","県域*"}))</f>
        <v>0</v>
      </c>
      <c r="HJ41" s="920"/>
      <c r="HL41" s="908">
        <v>32</v>
      </c>
      <c r="HM41" s="1223" t="str">
        <f t="shared" ca="1" si="49"/>
        <v/>
      </c>
      <c r="HN41" s="1200" t="str">
        <f ca="1">IF(COUNTIF(HN$10:HN40,OFFSET(A1_原単位2026,5,HL41+2))&gt;=1,"",OFFSET(A1_原単位2026,5,HL41+2)&amp;"")</f>
        <v/>
      </c>
      <c r="HO41" s="1204" t="str">
        <f t="shared" ca="1" si="50"/>
        <v/>
      </c>
      <c r="HP41" s="1205" t="str">
        <f t="shared" ca="1" si="51"/>
        <v/>
      </c>
      <c r="HQ41" s="1223" t="str">
        <f t="shared" ca="1" si="52"/>
        <v/>
      </c>
      <c r="HR41" s="1200" t="str">
        <f ca="1">IF(COUNTIF(HR$10:HR40,OFFSET(A1_原単位2026,17,HL41+2))&gt;=1,"",OFFSET(A1_原単位2026,17,HL41+2)&amp;"")</f>
        <v/>
      </c>
      <c r="HS41" s="1212" t="str">
        <f t="shared" ca="1" si="53"/>
        <v/>
      </c>
      <c r="HT41" s="1213" t="str">
        <f t="shared" ca="1" si="54"/>
        <v/>
      </c>
      <c r="HU41" s="1223" t="str">
        <f t="shared" ca="1" si="55"/>
        <v/>
      </c>
      <c r="HV41" s="1200" t="str">
        <f ca="1">IF(COUNTIF(HV$10:HV40,OFFSET(A1_原単位2026,29,HL41+2))&gt;=1,"",OFFSET(A1_原単位2026,29,HL41+2)&amp;"")</f>
        <v/>
      </c>
      <c r="HW41" s="1212" t="str">
        <f t="shared" ca="1" si="56"/>
        <v/>
      </c>
      <c r="HX41" s="1213" t="str">
        <f t="shared" ca="1" si="57"/>
        <v/>
      </c>
      <c r="HY41" s="1223" t="str">
        <f t="shared" ca="1" si="58"/>
        <v/>
      </c>
      <c r="HZ41" s="1200" t="str">
        <f ca="1">IF(COUNTIF(HZ$10:HZ40,OFFSET(A1_原単位2026,41,HL41+2))&gt;=1,"",OFFSET(A1_原単位2026,41,HL41+2)&amp;"")</f>
        <v/>
      </c>
      <c r="IA41" s="1215" t="str">
        <f t="shared" ca="1" si="59"/>
        <v/>
      </c>
      <c r="IB41" s="1216" t="str">
        <f t="shared" ca="1" si="60"/>
        <v/>
      </c>
      <c r="IE41" s="882" t="str">
        <f t="shared" ca="1" si="61"/>
        <v/>
      </c>
      <c r="IF41" s="882" t="str">
        <f t="shared" ca="1" si="62"/>
        <v/>
      </c>
      <c r="IG41" s="882" t="str">
        <f t="shared" ca="1" si="63"/>
        <v/>
      </c>
      <c r="IH41" s="882" t="str">
        <f t="shared" ca="1" si="64"/>
        <v/>
      </c>
    </row>
    <row r="42" spans="2:242" s="889" customFormat="1" ht="20.100000000000001"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918">
        <f t="shared" si="67"/>
        <v>0</v>
      </c>
      <c r="HD42" s="921">
        <f t="shared" si="67"/>
        <v>0</v>
      </c>
      <c r="HE42" s="921">
        <f t="shared" si="67"/>
        <v>0</v>
      </c>
      <c r="HF42" s="920"/>
      <c r="HG42" s="918">
        <f>SUM(SUMIFS(K42:HB42,$K$13:$HB$13,{"エネルギー管理指定工場等*","県域*"}))</f>
        <v>0</v>
      </c>
      <c r="HH42" s="921">
        <f>SUM(SUMIFS(L42:HC42,$K$13:$HB$13,{"エネルギー管理指定工場等*","県域*"}))</f>
        <v>0</v>
      </c>
      <c r="HI42" s="921">
        <f>SUM(SUMIFS(M42:HD42,$K$13:$HB$13,{"エネルギー管理指定工場等*","県域*"}))</f>
        <v>0</v>
      </c>
      <c r="HJ42" s="920"/>
      <c r="HL42" s="907">
        <v>33</v>
      </c>
      <c r="HM42" s="1223" t="str">
        <f t="shared" ref="HM42:HM59" ca="1" si="68">OFFSET(A1_原単位2025,6,$HL42+2)</f>
        <v/>
      </c>
      <c r="HN42" s="1200" t="str">
        <f ca="1">IF(COUNTIF(HN$10:HN41,OFFSET(A1_原単位2026,5,HL42+2))&gt;=1,"",OFFSET(A1_原単位2026,5,HL42+2)&amp;"")</f>
        <v/>
      </c>
      <c r="HO42" s="1204" t="str">
        <f t="shared" ref="HO42:HO59" ca="1" si="69">IF(HN42="","",HYPERLINK("#"&amp;IE42,"&lt;"&amp;IE42&amp;"&gt;"))</f>
        <v/>
      </c>
      <c r="HP42" s="1205" t="str">
        <f t="shared" ref="HP42:HP59" ca="1" si="70">IF(HN42="","",HYPERLINK("#"&amp;OFFSET(A1_原単位2026,66,$HL42+2),OFFSET(A1_原単位2026,62,$HL42+2)))</f>
        <v/>
      </c>
      <c r="HQ42" s="1223" t="str">
        <f t="shared" ref="HQ42:HQ59" ca="1" si="71">OFFSET(A1_原単位2025,18,$HL42+2)</f>
        <v/>
      </c>
      <c r="HR42" s="1200" t="str">
        <f ca="1">IF(COUNTIF(HR$10:HR41,OFFSET(A1_原単位2026,17,HL42+2))&gt;=1,"",OFFSET(A1_原単位2026,17,HL42+2)&amp;"")</f>
        <v/>
      </c>
      <c r="HS42" s="1212" t="str">
        <f t="shared" ref="HS42:HS59" ca="1" si="72">IF(HR42="","",HYPERLINK("#"&amp;IF42,"&lt;"&amp;IF42&amp;"&gt;"))</f>
        <v/>
      </c>
      <c r="HT42" s="1213" t="str">
        <f t="shared" ref="HT42:HT59" ca="1" si="73">IF(HR42="","",HYPERLINK("#"&amp;OFFSET(A1_原単位2026,67,$HL42+2),OFFSET(A1_原単位2026,63,$HL42+2)))</f>
        <v/>
      </c>
      <c r="HU42" s="1223" t="str">
        <f t="shared" ref="HU42:HU59" ca="1" si="74">OFFSET(A1_原単位2025,30,$HL42+2)</f>
        <v/>
      </c>
      <c r="HV42" s="1200" t="str">
        <f ca="1">IF(COUNTIF(HV$10:HV41,OFFSET(A1_原単位2026,29,HL42+2))&gt;=1,"",OFFSET(A1_原単位2026,29,HL42+2)&amp;"")</f>
        <v/>
      </c>
      <c r="HW42" s="1212" t="str">
        <f t="shared" ref="HW42:HW59" ca="1" si="75">IF(HV42="","",HYPERLINK("#"&amp;IG42,"&lt;"&amp;IG42&amp;"&gt;"))</f>
        <v/>
      </c>
      <c r="HX42" s="1213" t="str">
        <f t="shared" ref="HX42:HX59" ca="1" si="76">IF(HV42="","",HYPERLINK("#"&amp;OFFSET(A1_原単位2026,68,$HL42+2),OFFSET(A1_原単位2026,64,$HL42+2)))</f>
        <v/>
      </c>
      <c r="HY42" s="1223" t="str">
        <f t="shared" ref="HY42:HY59" ca="1" si="77">OFFSET(A1_原単位2025,42,$HL42+2)</f>
        <v/>
      </c>
      <c r="HZ42" s="1200" t="str">
        <f ca="1">IF(COUNTIF(HZ$10:HZ41,OFFSET(A1_原単位2026,41,HL42+2))&gt;=1,"",OFFSET(A1_原単位2026,41,HL42+2)&amp;"")</f>
        <v/>
      </c>
      <c r="IA42" s="1215" t="str">
        <f t="shared" ref="IA42:IA59" ca="1" si="78">IF(HZ42="","",HYPERLINK("#"&amp;IH42,"&lt;"&amp;IH42&amp;"&gt;"))</f>
        <v/>
      </c>
      <c r="IB42" s="1216" t="str">
        <f t="shared" ref="IB42:IB59" ca="1" si="79">IF(HZ42="","",HYPERLINK("#"&amp;OFFSET(A1_原単位2026,69,$HL42+2),OFFSET(A1_原単位2026,65,$HL42+2)))</f>
        <v/>
      </c>
      <c r="IE42" s="882" t="str">
        <f t="shared" ref="IE42:IE59" ca="1" si="80">IF($HN42="","",ADDRESS(ROW(貼付け_2026実績)+5,OFFSET(A1_原単位2026,7,$HL42+2)+COLUMN(貼付け_2026実績)+1,4))</f>
        <v/>
      </c>
      <c r="IF42" s="882" t="str">
        <f t="shared" ref="IF42:IF59" ca="1" si="81">IF($HR42="","",ADDRESS(ROW(貼付け_2026実績)+5,OFFSET(A1_原単位2026,19,$HL42+2)+COLUMN(貼付け_2026実績)+1,4))</f>
        <v/>
      </c>
      <c r="IG42" s="882" t="str">
        <f t="shared" ref="IG42:IG59" ca="1" si="82">IF($HV42="","",ADDRESS(ROW(貼付け_2026実績)+5,OFFSET(A1_原単位2026,31,$HL42+2)+COLUMN(貼付け_2026実績)+1,4))</f>
        <v/>
      </c>
      <c r="IH42" s="882" t="str">
        <f t="shared" ref="IH42:IH59" ca="1" si="83">IF($HZ42="","",ADDRESS(ROW(貼付け_2026実績)+5,OFFSET(A1_原単位2026,43,$HL42+2)+COLUMN(貼付け_2026実績)+1,4))</f>
        <v/>
      </c>
    </row>
    <row r="43" spans="2:242" s="889" customFormat="1" ht="20.100000000000001"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918">
        <f t="shared" si="67"/>
        <v>0</v>
      </c>
      <c r="HD43" s="921">
        <f t="shared" si="67"/>
        <v>0</v>
      </c>
      <c r="HE43" s="921">
        <f t="shared" si="67"/>
        <v>0</v>
      </c>
      <c r="HF43" s="920"/>
      <c r="HG43" s="918">
        <f>SUM(SUMIFS(K43:HB43,$K$13:$HB$13,{"エネルギー管理指定工場等*","県域*"}))</f>
        <v>0</v>
      </c>
      <c r="HH43" s="921">
        <f>SUM(SUMIFS(L43:HC43,$K$13:$HB$13,{"エネルギー管理指定工場等*","県域*"}))</f>
        <v>0</v>
      </c>
      <c r="HI43" s="921">
        <f>SUM(SUMIFS(M43:HD43,$K$13:$HB$13,{"エネルギー管理指定工場等*","県域*"}))</f>
        <v>0</v>
      </c>
      <c r="HJ43" s="920"/>
      <c r="HL43" s="908">
        <v>34</v>
      </c>
      <c r="HM43" s="1223" t="str">
        <f t="shared" ca="1" si="68"/>
        <v/>
      </c>
      <c r="HN43" s="1200" t="str">
        <f ca="1">IF(COUNTIF(HN$10:HN42,OFFSET(A1_原単位2026,5,HL43+2))&gt;=1,"",OFFSET(A1_原単位2026,5,HL43+2)&amp;"")</f>
        <v/>
      </c>
      <c r="HO43" s="1204" t="str">
        <f t="shared" ca="1" si="69"/>
        <v/>
      </c>
      <c r="HP43" s="1205" t="str">
        <f t="shared" ca="1" si="70"/>
        <v/>
      </c>
      <c r="HQ43" s="1223" t="str">
        <f t="shared" ca="1" si="71"/>
        <v/>
      </c>
      <c r="HR43" s="1200" t="str">
        <f ca="1">IF(COUNTIF(HR$10:HR42,OFFSET(A1_原単位2026,17,HL43+2))&gt;=1,"",OFFSET(A1_原単位2026,17,HL43+2)&amp;"")</f>
        <v/>
      </c>
      <c r="HS43" s="1212" t="str">
        <f t="shared" ca="1" si="72"/>
        <v/>
      </c>
      <c r="HT43" s="1213" t="str">
        <f t="shared" ca="1" si="73"/>
        <v/>
      </c>
      <c r="HU43" s="1223" t="str">
        <f t="shared" ca="1" si="74"/>
        <v/>
      </c>
      <c r="HV43" s="1200" t="str">
        <f ca="1">IF(COUNTIF(HV$10:HV42,OFFSET(A1_原単位2026,29,HL43+2))&gt;=1,"",OFFSET(A1_原単位2026,29,HL43+2)&amp;"")</f>
        <v/>
      </c>
      <c r="HW43" s="1212" t="str">
        <f t="shared" ca="1" si="75"/>
        <v/>
      </c>
      <c r="HX43" s="1213" t="str">
        <f t="shared" ca="1" si="76"/>
        <v/>
      </c>
      <c r="HY43" s="1223" t="str">
        <f t="shared" ca="1" si="77"/>
        <v/>
      </c>
      <c r="HZ43" s="1200" t="str">
        <f ca="1">IF(COUNTIF(HZ$10:HZ42,OFFSET(A1_原単位2026,41,HL43+2))&gt;=1,"",OFFSET(A1_原単位2026,41,HL43+2)&amp;"")</f>
        <v/>
      </c>
      <c r="IA43" s="1215" t="str">
        <f t="shared" ca="1" si="78"/>
        <v/>
      </c>
      <c r="IB43" s="1216" t="str">
        <f t="shared" ca="1" si="79"/>
        <v/>
      </c>
      <c r="IE43" s="882" t="str">
        <f t="shared" ca="1" si="80"/>
        <v/>
      </c>
      <c r="IF43" s="882" t="str">
        <f t="shared" ca="1" si="81"/>
        <v/>
      </c>
      <c r="IG43" s="882" t="str">
        <f t="shared" ca="1" si="82"/>
        <v/>
      </c>
      <c r="IH43" s="882" t="str">
        <f t="shared" ca="1" si="83"/>
        <v/>
      </c>
    </row>
    <row r="44" spans="2:242" s="889" customFormat="1" ht="20.100000000000001"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918">
        <f t="shared" si="67"/>
        <v>0</v>
      </c>
      <c r="HD44" s="921">
        <f t="shared" si="67"/>
        <v>0</v>
      </c>
      <c r="HE44" s="921">
        <f t="shared" si="67"/>
        <v>0</v>
      </c>
      <c r="HF44" s="920"/>
      <c r="HG44" s="918">
        <f>SUM(SUMIFS(K44:HB44,$K$13:$HB$13,{"エネルギー管理指定工場等*","県域*"}))</f>
        <v>0</v>
      </c>
      <c r="HH44" s="921">
        <f>SUM(SUMIFS(L44:HC44,$K$13:$HB$13,{"エネルギー管理指定工場等*","県域*"}))</f>
        <v>0</v>
      </c>
      <c r="HI44" s="921">
        <f>SUM(SUMIFS(M44:HD44,$K$13:$HB$13,{"エネルギー管理指定工場等*","県域*"}))</f>
        <v>0</v>
      </c>
      <c r="HJ44" s="920"/>
      <c r="HL44" s="907">
        <v>35</v>
      </c>
      <c r="HM44" s="1223" t="str">
        <f t="shared" ca="1" si="68"/>
        <v/>
      </c>
      <c r="HN44" s="1200" t="str">
        <f ca="1">IF(COUNTIF(HN$10:HN43,OFFSET(A1_原単位2026,5,HL44+2))&gt;=1,"",OFFSET(A1_原単位2026,5,HL44+2)&amp;"")</f>
        <v/>
      </c>
      <c r="HO44" s="1204" t="str">
        <f t="shared" ca="1" si="69"/>
        <v/>
      </c>
      <c r="HP44" s="1205" t="str">
        <f t="shared" ca="1" si="70"/>
        <v/>
      </c>
      <c r="HQ44" s="1223" t="str">
        <f t="shared" ca="1" si="71"/>
        <v/>
      </c>
      <c r="HR44" s="1200" t="str">
        <f ca="1">IF(COUNTIF(HR$10:HR43,OFFSET(A1_原単位2026,17,HL44+2))&gt;=1,"",OFFSET(A1_原単位2026,17,HL44+2)&amp;"")</f>
        <v/>
      </c>
      <c r="HS44" s="1212" t="str">
        <f t="shared" ca="1" si="72"/>
        <v/>
      </c>
      <c r="HT44" s="1213" t="str">
        <f t="shared" ca="1" si="73"/>
        <v/>
      </c>
      <c r="HU44" s="1223" t="str">
        <f t="shared" ca="1" si="74"/>
        <v/>
      </c>
      <c r="HV44" s="1200" t="str">
        <f ca="1">IF(COUNTIF(HV$10:HV43,OFFSET(A1_原単位2026,29,HL44+2))&gt;=1,"",OFFSET(A1_原単位2026,29,HL44+2)&amp;"")</f>
        <v/>
      </c>
      <c r="HW44" s="1212" t="str">
        <f t="shared" ca="1" si="75"/>
        <v/>
      </c>
      <c r="HX44" s="1213" t="str">
        <f t="shared" ca="1" si="76"/>
        <v/>
      </c>
      <c r="HY44" s="1223" t="str">
        <f t="shared" ca="1" si="77"/>
        <v/>
      </c>
      <c r="HZ44" s="1200" t="str">
        <f ca="1">IF(COUNTIF(HZ$10:HZ43,OFFSET(A1_原単位2026,41,HL44+2))&gt;=1,"",OFFSET(A1_原単位2026,41,HL44+2)&amp;"")</f>
        <v/>
      </c>
      <c r="IA44" s="1215" t="str">
        <f t="shared" ca="1" si="78"/>
        <v/>
      </c>
      <c r="IB44" s="1216" t="str">
        <f t="shared" ca="1" si="79"/>
        <v/>
      </c>
      <c r="IE44" s="882" t="str">
        <f t="shared" ca="1" si="80"/>
        <v/>
      </c>
      <c r="IF44" s="882" t="str">
        <f t="shared" ca="1" si="81"/>
        <v/>
      </c>
      <c r="IG44" s="882" t="str">
        <f t="shared" ca="1" si="82"/>
        <v/>
      </c>
      <c r="IH44" s="882" t="str">
        <f t="shared" ca="1" si="83"/>
        <v/>
      </c>
    </row>
    <row r="45" spans="2:242" s="889" customFormat="1" ht="20.100000000000001"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918">
        <f t="shared" si="67"/>
        <v>0</v>
      </c>
      <c r="HD45" s="921">
        <f t="shared" si="67"/>
        <v>0</v>
      </c>
      <c r="HE45" s="921">
        <f t="shared" si="67"/>
        <v>0</v>
      </c>
      <c r="HF45" s="920"/>
      <c r="HG45" s="918">
        <f>SUM(SUMIFS(K45:HB45,$K$13:$HB$13,{"エネルギー管理指定工場等*","県域*"}))</f>
        <v>0</v>
      </c>
      <c r="HH45" s="921">
        <f>SUM(SUMIFS(L45:HC45,$K$13:$HB$13,{"エネルギー管理指定工場等*","県域*"}))</f>
        <v>0</v>
      </c>
      <c r="HI45" s="921">
        <f>SUM(SUMIFS(M45:HD45,$K$13:$HB$13,{"エネルギー管理指定工場等*","県域*"}))</f>
        <v>0</v>
      </c>
      <c r="HJ45" s="920"/>
      <c r="HL45" s="907">
        <v>36</v>
      </c>
      <c r="HM45" s="1223" t="str">
        <f t="shared" ca="1" si="68"/>
        <v/>
      </c>
      <c r="HN45" s="1200" t="str">
        <f ca="1">IF(COUNTIF(HN$10:HN44,OFFSET(A1_原単位2026,5,HL45+2))&gt;=1,"",OFFSET(A1_原単位2026,5,HL45+2)&amp;"")</f>
        <v/>
      </c>
      <c r="HO45" s="1204" t="str">
        <f t="shared" ca="1" si="69"/>
        <v/>
      </c>
      <c r="HP45" s="1205" t="str">
        <f t="shared" ca="1" si="70"/>
        <v/>
      </c>
      <c r="HQ45" s="1223" t="str">
        <f t="shared" ca="1" si="71"/>
        <v/>
      </c>
      <c r="HR45" s="1200" t="str">
        <f ca="1">IF(COUNTIF(HR$10:HR44,OFFSET(A1_原単位2026,17,HL45+2))&gt;=1,"",OFFSET(A1_原単位2026,17,HL45+2)&amp;"")</f>
        <v/>
      </c>
      <c r="HS45" s="1212" t="str">
        <f t="shared" ca="1" si="72"/>
        <v/>
      </c>
      <c r="HT45" s="1213" t="str">
        <f t="shared" ca="1" si="73"/>
        <v/>
      </c>
      <c r="HU45" s="1223" t="str">
        <f t="shared" ca="1" si="74"/>
        <v/>
      </c>
      <c r="HV45" s="1200" t="str">
        <f ca="1">IF(COUNTIF(HV$10:HV44,OFFSET(A1_原単位2026,29,HL45+2))&gt;=1,"",OFFSET(A1_原単位2026,29,HL45+2)&amp;"")</f>
        <v/>
      </c>
      <c r="HW45" s="1212" t="str">
        <f t="shared" ca="1" si="75"/>
        <v/>
      </c>
      <c r="HX45" s="1213" t="str">
        <f t="shared" ca="1" si="76"/>
        <v/>
      </c>
      <c r="HY45" s="1223" t="str">
        <f t="shared" ca="1" si="77"/>
        <v/>
      </c>
      <c r="HZ45" s="1200" t="str">
        <f ca="1">IF(COUNTIF(HZ$10:HZ44,OFFSET(A1_原単位2026,41,HL45+2))&gt;=1,"",OFFSET(A1_原単位2026,41,HL45+2)&amp;"")</f>
        <v/>
      </c>
      <c r="IA45" s="1215" t="str">
        <f t="shared" ca="1" si="78"/>
        <v/>
      </c>
      <c r="IB45" s="1216" t="str">
        <f t="shared" ca="1" si="79"/>
        <v/>
      </c>
      <c r="IE45" s="882" t="str">
        <f t="shared" ca="1" si="80"/>
        <v/>
      </c>
      <c r="IF45" s="882" t="str">
        <f t="shared" ca="1" si="81"/>
        <v/>
      </c>
      <c r="IG45" s="882" t="str">
        <f t="shared" ca="1" si="82"/>
        <v/>
      </c>
      <c r="IH45" s="882" t="str">
        <f t="shared" ca="1" si="83"/>
        <v/>
      </c>
    </row>
    <row r="46" spans="2:242" s="889" customFormat="1" ht="20.100000000000001"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918">
        <f t="shared" si="67"/>
        <v>0</v>
      </c>
      <c r="HD46" s="921">
        <f t="shared" si="67"/>
        <v>0</v>
      </c>
      <c r="HE46" s="921">
        <f t="shared" si="67"/>
        <v>0</v>
      </c>
      <c r="HF46" s="920"/>
      <c r="HG46" s="918">
        <f>SUM(SUMIFS(K46:HB46,$K$13:$HB$13,{"エネルギー管理指定工場等*","県域*"}))</f>
        <v>0</v>
      </c>
      <c r="HH46" s="921">
        <f>SUM(SUMIFS(L46:HC46,$K$13:$HB$13,{"エネルギー管理指定工場等*","県域*"}))</f>
        <v>0</v>
      </c>
      <c r="HI46" s="921">
        <f>SUM(SUMIFS(M46:HD46,$K$13:$HB$13,{"エネルギー管理指定工場等*","県域*"}))</f>
        <v>0</v>
      </c>
      <c r="HJ46" s="920"/>
      <c r="HL46" s="908">
        <v>37</v>
      </c>
      <c r="HM46" s="1223" t="str">
        <f t="shared" ca="1" si="68"/>
        <v/>
      </c>
      <c r="HN46" s="1200" t="str">
        <f ca="1">IF(COUNTIF(HN$10:HN45,OFFSET(A1_原単位2026,5,HL46+2))&gt;=1,"",OFFSET(A1_原単位2026,5,HL46+2)&amp;"")</f>
        <v/>
      </c>
      <c r="HO46" s="1204" t="str">
        <f t="shared" ca="1" si="69"/>
        <v/>
      </c>
      <c r="HP46" s="1205" t="str">
        <f t="shared" ca="1" si="70"/>
        <v/>
      </c>
      <c r="HQ46" s="1223" t="str">
        <f t="shared" ca="1" si="71"/>
        <v/>
      </c>
      <c r="HR46" s="1200" t="str">
        <f ca="1">IF(COUNTIF(HR$10:HR45,OFFSET(A1_原単位2026,17,HL46+2))&gt;=1,"",OFFSET(A1_原単位2026,17,HL46+2)&amp;"")</f>
        <v/>
      </c>
      <c r="HS46" s="1212" t="str">
        <f t="shared" ca="1" si="72"/>
        <v/>
      </c>
      <c r="HT46" s="1213" t="str">
        <f t="shared" ca="1" si="73"/>
        <v/>
      </c>
      <c r="HU46" s="1223" t="str">
        <f t="shared" ca="1" si="74"/>
        <v/>
      </c>
      <c r="HV46" s="1200" t="str">
        <f ca="1">IF(COUNTIF(HV$10:HV45,OFFSET(A1_原単位2026,29,HL46+2))&gt;=1,"",OFFSET(A1_原単位2026,29,HL46+2)&amp;"")</f>
        <v/>
      </c>
      <c r="HW46" s="1212" t="str">
        <f t="shared" ca="1" si="75"/>
        <v/>
      </c>
      <c r="HX46" s="1213" t="str">
        <f t="shared" ca="1" si="76"/>
        <v/>
      </c>
      <c r="HY46" s="1223" t="str">
        <f t="shared" ca="1" si="77"/>
        <v/>
      </c>
      <c r="HZ46" s="1200" t="str">
        <f ca="1">IF(COUNTIF(HZ$10:HZ45,OFFSET(A1_原単位2026,41,HL46+2))&gt;=1,"",OFFSET(A1_原単位2026,41,HL46+2)&amp;"")</f>
        <v/>
      </c>
      <c r="IA46" s="1215" t="str">
        <f t="shared" ca="1" si="78"/>
        <v/>
      </c>
      <c r="IB46" s="1216" t="str">
        <f t="shared" ca="1" si="79"/>
        <v/>
      </c>
      <c r="IE46" s="882" t="str">
        <f t="shared" ca="1" si="80"/>
        <v/>
      </c>
      <c r="IF46" s="882" t="str">
        <f t="shared" ca="1" si="81"/>
        <v/>
      </c>
      <c r="IG46" s="882" t="str">
        <f t="shared" ca="1" si="82"/>
        <v/>
      </c>
      <c r="IH46" s="882" t="str">
        <f t="shared" ca="1" si="83"/>
        <v/>
      </c>
    </row>
    <row r="47" spans="2:242" s="889" customFormat="1" ht="20.100000000000001"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918">
        <f t="shared" si="67"/>
        <v>0</v>
      </c>
      <c r="HD47" s="921">
        <f t="shared" si="67"/>
        <v>0</v>
      </c>
      <c r="HE47" s="921">
        <f t="shared" si="67"/>
        <v>0</v>
      </c>
      <c r="HF47" s="920"/>
      <c r="HG47" s="918">
        <f>SUM(SUMIFS(K47:HB47,$K$13:$HB$13,{"エネルギー管理指定工場等*","県域*"}))</f>
        <v>0</v>
      </c>
      <c r="HH47" s="921">
        <f>SUM(SUMIFS(L47:HC47,$K$13:$HB$13,{"エネルギー管理指定工場等*","県域*"}))</f>
        <v>0</v>
      </c>
      <c r="HI47" s="921">
        <f>SUM(SUMIFS(M47:HD47,$K$13:$HB$13,{"エネルギー管理指定工場等*","県域*"}))</f>
        <v>0</v>
      </c>
      <c r="HJ47" s="920"/>
      <c r="HL47" s="907">
        <v>38</v>
      </c>
      <c r="HM47" s="1223" t="str">
        <f t="shared" ca="1" si="68"/>
        <v/>
      </c>
      <c r="HN47" s="1200" t="str">
        <f ca="1">IF(COUNTIF(HN$10:HN46,OFFSET(A1_原単位2026,5,HL47+2))&gt;=1,"",OFFSET(A1_原単位2026,5,HL47+2)&amp;"")</f>
        <v/>
      </c>
      <c r="HO47" s="1204" t="str">
        <f t="shared" ca="1" si="69"/>
        <v/>
      </c>
      <c r="HP47" s="1205" t="str">
        <f t="shared" ca="1" si="70"/>
        <v/>
      </c>
      <c r="HQ47" s="1223" t="str">
        <f t="shared" ca="1" si="71"/>
        <v/>
      </c>
      <c r="HR47" s="1200" t="str">
        <f ca="1">IF(COUNTIF(HR$10:HR46,OFFSET(A1_原単位2026,17,HL47+2))&gt;=1,"",OFFSET(A1_原単位2026,17,HL47+2)&amp;"")</f>
        <v/>
      </c>
      <c r="HS47" s="1212" t="str">
        <f t="shared" ca="1" si="72"/>
        <v/>
      </c>
      <c r="HT47" s="1213" t="str">
        <f t="shared" ca="1" si="73"/>
        <v/>
      </c>
      <c r="HU47" s="1223" t="str">
        <f t="shared" ca="1" si="74"/>
        <v/>
      </c>
      <c r="HV47" s="1200" t="str">
        <f ca="1">IF(COUNTIF(HV$10:HV46,OFFSET(A1_原単位2026,29,HL47+2))&gt;=1,"",OFFSET(A1_原単位2026,29,HL47+2)&amp;"")</f>
        <v/>
      </c>
      <c r="HW47" s="1212" t="str">
        <f t="shared" ca="1" si="75"/>
        <v/>
      </c>
      <c r="HX47" s="1213" t="str">
        <f t="shared" ca="1" si="76"/>
        <v/>
      </c>
      <c r="HY47" s="1223" t="str">
        <f t="shared" ca="1" si="77"/>
        <v/>
      </c>
      <c r="HZ47" s="1200" t="str">
        <f ca="1">IF(COUNTIF(HZ$10:HZ46,OFFSET(A1_原単位2026,41,HL47+2))&gt;=1,"",OFFSET(A1_原単位2026,41,HL47+2)&amp;"")</f>
        <v/>
      </c>
      <c r="IA47" s="1215" t="str">
        <f t="shared" ca="1" si="78"/>
        <v/>
      </c>
      <c r="IB47" s="1216" t="str">
        <f t="shared" ca="1" si="79"/>
        <v/>
      </c>
      <c r="IE47" s="882" t="str">
        <f t="shared" ca="1" si="80"/>
        <v/>
      </c>
      <c r="IF47" s="882" t="str">
        <f t="shared" ca="1" si="81"/>
        <v/>
      </c>
      <c r="IG47" s="882" t="str">
        <f t="shared" ca="1" si="82"/>
        <v/>
      </c>
      <c r="IH47" s="882" t="str">
        <f t="shared" ca="1" si="83"/>
        <v/>
      </c>
    </row>
    <row r="48" spans="2:242" s="889" customFormat="1" ht="20.100000000000001"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918">
        <f t="shared" si="67"/>
        <v>0</v>
      </c>
      <c r="HD48" s="921">
        <f t="shared" si="67"/>
        <v>0</v>
      </c>
      <c r="HE48" s="921">
        <f t="shared" si="67"/>
        <v>0</v>
      </c>
      <c r="HF48" s="920"/>
      <c r="HG48" s="918">
        <f>SUM(SUMIFS(K48:HB48,$K$13:$HB$13,{"エネルギー管理指定工場等*","県域*"}))</f>
        <v>0</v>
      </c>
      <c r="HH48" s="921">
        <f>SUM(SUMIFS(L48:HC48,$K$13:$HB$13,{"エネルギー管理指定工場等*","県域*"}))</f>
        <v>0</v>
      </c>
      <c r="HI48" s="921">
        <f>SUM(SUMIFS(M48:HD48,$K$13:$HB$13,{"エネルギー管理指定工場等*","県域*"}))</f>
        <v>0</v>
      </c>
      <c r="HJ48" s="920"/>
      <c r="HL48" s="907">
        <v>39</v>
      </c>
      <c r="HM48" s="1223" t="str">
        <f t="shared" ca="1" si="68"/>
        <v/>
      </c>
      <c r="HN48" s="1200" t="str">
        <f ca="1">IF(COUNTIF(HN$10:HN47,OFFSET(A1_原単位2026,5,HL48+2))&gt;=1,"",OFFSET(A1_原単位2026,5,HL48+2)&amp;"")</f>
        <v/>
      </c>
      <c r="HO48" s="1204" t="str">
        <f t="shared" ca="1" si="69"/>
        <v/>
      </c>
      <c r="HP48" s="1205" t="str">
        <f t="shared" ca="1" si="70"/>
        <v/>
      </c>
      <c r="HQ48" s="1223" t="str">
        <f t="shared" ca="1" si="71"/>
        <v/>
      </c>
      <c r="HR48" s="1200" t="str">
        <f ca="1">IF(COUNTIF(HR$10:HR47,OFFSET(A1_原単位2026,17,HL48+2))&gt;=1,"",OFFSET(A1_原単位2026,17,HL48+2)&amp;"")</f>
        <v/>
      </c>
      <c r="HS48" s="1212" t="str">
        <f t="shared" ca="1" si="72"/>
        <v/>
      </c>
      <c r="HT48" s="1213" t="str">
        <f t="shared" ca="1" si="73"/>
        <v/>
      </c>
      <c r="HU48" s="1223" t="str">
        <f t="shared" ca="1" si="74"/>
        <v/>
      </c>
      <c r="HV48" s="1200" t="str">
        <f ca="1">IF(COUNTIF(HV$10:HV47,OFFSET(A1_原単位2026,29,HL48+2))&gt;=1,"",OFFSET(A1_原単位2026,29,HL48+2)&amp;"")</f>
        <v/>
      </c>
      <c r="HW48" s="1212" t="str">
        <f t="shared" ca="1" si="75"/>
        <v/>
      </c>
      <c r="HX48" s="1213" t="str">
        <f t="shared" ca="1" si="76"/>
        <v/>
      </c>
      <c r="HY48" s="1223" t="str">
        <f t="shared" ca="1" si="77"/>
        <v/>
      </c>
      <c r="HZ48" s="1200" t="str">
        <f ca="1">IF(COUNTIF(HZ$10:HZ47,OFFSET(A1_原単位2026,41,HL48+2))&gt;=1,"",OFFSET(A1_原単位2026,41,HL48+2)&amp;"")</f>
        <v/>
      </c>
      <c r="IA48" s="1215" t="str">
        <f t="shared" ca="1" si="78"/>
        <v/>
      </c>
      <c r="IB48" s="1216" t="str">
        <f t="shared" ca="1" si="79"/>
        <v/>
      </c>
      <c r="IE48" s="882" t="str">
        <f t="shared" ca="1" si="80"/>
        <v/>
      </c>
      <c r="IF48" s="882" t="str">
        <f t="shared" ca="1" si="81"/>
        <v/>
      </c>
      <c r="IG48" s="882" t="str">
        <f t="shared" ca="1" si="82"/>
        <v/>
      </c>
      <c r="IH48" s="882" t="str">
        <f t="shared" ca="1" si="83"/>
        <v/>
      </c>
    </row>
    <row r="49" spans="2:242" s="889" customFormat="1" ht="20.100000000000001"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918">
        <f t="shared" si="67"/>
        <v>0</v>
      </c>
      <c r="HD49" s="921">
        <f t="shared" si="67"/>
        <v>0</v>
      </c>
      <c r="HE49" s="921">
        <f t="shared" si="67"/>
        <v>0</v>
      </c>
      <c r="HF49" s="920"/>
      <c r="HG49" s="918">
        <f>SUM(SUMIFS(K49:HB49,$K$13:$HB$13,{"エネルギー管理指定工場等*","県域*"}))</f>
        <v>0</v>
      </c>
      <c r="HH49" s="921">
        <f>SUM(SUMIFS(L49:HC49,$K$13:$HB$13,{"エネルギー管理指定工場等*","県域*"}))</f>
        <v>0</v>
      </c>
      <c r="HI49" s="921">
        <f>SUM(SUMIFS(M49:HD49,$K$13:$HB$13,{"エネルギー管理指定工場等*","県域*"}))</f>
        <v>0</v>
      </c>
      <c r="HJ49" s="920"/>
      <c r="HL49" s="908">
        <v>40</v>
      </c>
      <c r="HM49" s="1223" t="str">
        <f t="shared" ca="1" si="68"/>
        <v/>
      </c>
      <c r="HN49" s="1200" t="str">
        <f ca="1">IF(COUNTIF(HN$10:HN48,OFFSET(A1_原単位2026,5,HL49+2))&gt;=1,"",OFFSET(A1_原単位2026,5,HL49+2)&amp;"")</f>
        <v/>
      </c>
      <c r="HO49" s="1204" t="str">
        <f t="shared" ca="1" si="69"/>
        <v/>
      </c>
      <c r="HP49" s="1205" t="str">
        <f t="shared" ca="1" si="70"/>
        <v/>
      </c>
      <c r="HQ49" s="1223" t="str">
        <f t="shared" ca="1" si="71"/>
        <v/>
      </c>
      <c r="HR49" s="1200" t="str">
        <f ca="1">IF(COUNTIF(HR$10:HR48,OFFSET(A1_原単位2026,17,HL49+2))&gt;=1,"",OFFSET(A1_原単位2026,17,HL49+2)&amp;"")</f>
        <v/>
      </c>
      <c r="HS49" s="1212" t="str">
        <f t="shared" ca="1" si="72"/>
        <v/>
      </c>
      <c r="HT49" s="1213" t="str">
        <f t="shared" ca="1" si="73"/>
        <v/>
      </c>
      <c r="HU49" s="1223" t="str">
        <f t="shared" ca="1" si="74"/>
        <v/>
      </c>
      <c r="HV49" s="1200" t="str">
        <f ca="1">IF(COUNTIF(HV$10:HV48,OFFSET(A1_原単位2026,29,HL49+2))&gt;=1,"",OFFSET(A1_原単位2026,29,HL49+2)&amp;"")</f>
        <v/>
      </c>
      <c r="HW49" s="1212" t="str">
        <f t="shared" ca="1" si="75"/>
        <v/>
      </c>
      <c r="HX49" s="1213" t="str">
        <f t="shared" ca="1" si="76"/>
        <v/>
      </c>
      <c r="HY49" s="1223" t="str">
        <f t="shared" ca="1" si="77"/>
        <v/>
      </c>
      <c r="HZ49" s="1200" t="str">
        <f ca="1">IF(COUNTIF(HZ$10:HZ48,OFFSET(A1_原単位2026,41,HL49+2))&gt;=1,"",OFFSET(A1_原単位2026,41,HL49+2)&amp;"")</f>
        <v/>
      </c>
      <c r="IA49" s="1215" t="str">
        <f t="shared" ca="1" si="78"/>
        <v/>
      </c>
      <c r="IB49" s="1216" t="str">
        <f t="shared" ca="1" si="79"/>
        <v/>
      </c>
      <c r="IE49" s="882" t="str">
        <f t="shared" ca="1" si="80"/>
        <v/>
      </c>
      <c r="IF49" s="882" t="str">
        <f t="shared" ca="1" si="81"/>
        <v/>
      </c>
      <c r="IG49" s="882" t="str">
        <f t="shared" ca="1" si="82"/>
        <v/>
      </c>
      <c r="IH49" s="882" t="str">
        <f t="shared" ca="1" si="83"/>
        <v/>
      </c>
    </row>
    <row r="50" spans="2:242" s="889" customFormat="1" ht="20.100000000000001"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918">
        <f t="shared" si="67"/>
        <v>0</v>
      </c>
      <c r="HD50" s="921">
        <f t="shared" si="67"/>
        <v>0</v>
      </c>
      <c r="HE50" s="921">
        <f t="shared" si="67"/>
        <v>0</v>
      </c>
      <c r="HF50" s="920"/>
      <c r="HG50" s="918">
        <f>SUM(SUMIFS(K50:HB50,$K$13:$HB$13,{"エネルギー管理指定工場等*","県域*"}))</f>
        <v>0</v>
      </c>
      <c r="HH50" s="921">
        <f>SUM(SUMIFS(L50:HC50,$K$13:$HB$13,{"エネルギー管理指定工場等*","県域*"}))</f>
        <v>0</v>
      </c>
      <c r="HI50" s="921">
        <f>SUM(SUMIFS(M50:HD50,$K$13:$HB$13,{"エネルギー管理指定工場等*","県域*"}))</f>
        <v>0</v>
      </c>
      <c r="HJ50" s="920"/>
      <c r="HL50" s="907">
        <v>41</v>
      </c>
      <c r="HM50" s="1223" t="str">
        <f t="shared" ca="1" si="68"/>
        <v/>
      </c>
      <c r="HN50" s="1200" t="str">
        <f ca="1">IF(COUNTIF(HN$10:HN49,OFFSET(A1_原単位2026,5,HL50+2))&gt;=1,"",OFFSET(A1_原単位2026,5,HL50+2)&amp;"")</f>
        <v/>
      </c>
      <c r="HO50" s="1204" t="str">
        <f t="shared" ca="1" si="69"/>
        <v/>
      </c>
      <c r="HP50" s="1205" t="str">
        <f t="shared" ca="1" si="70"/>
        <v/>
      </c>
      <c r="HQ50" s="1223" t="str">
        <f t="shared" ca="1" si="71"/>
        <v/>
      </c>
      <c r="HR50" s="1200" t="str">
        <f ca="1">IF(COUNTIF(HR$10:HR49,OFFSET(A1_原単位2026,17,HL50+2))&gt;=1,"",OFFSET(A1_原単位2026,17,HL50+2)&amp;"")</f>
        <v/>
      </c>
      <c r="HS50" s="1212" t="str">
        <f t="shared" ca="1" si="72"/>
        <v/>
      </c>
      <c r="HT50" s="1213" t="str">
        <f t="shared" ca="1" si="73"/>
        <v/>
      </c>
      <c r="HU50" s="1223" t="str">
        <f t="shared" ca="1" si="74"/>
        <v/>
      </c>
      <c r="HV50" s="1200" t="str">
        <f ca="1">IF(COUNTIF(HV$10:HV49,OFFSET(A1_原単位2026,29,HL50+2))&gt;=1,"",OFFSET(A1_原単位2026,29,HL50+2)&amp;"")</f>
        <v/>
      </c>
      <c r="HW50" s="1212" t="str">
        <f t="shared" ca="1" si="75"/>
        <v/>
      </c>
      <c r="HX50" s="1213" t="str">
        <f t="shared" ca="1" si="76"/>
        <v/>
      </c>
      <c r="HY50" s="1223" t="str">
        <f t="shared" ca="1" si="77"/>
        <v/>
      </c>
      <c r="HZ50" s="1200" t="str">
        <f ca="1">IF(COUNTIF(HZ$10:HZ49,OFFSET(A1_原単位2026,41,HL50+2))&gt;=1,"",OFFSET(A1_原単位2026,41,HL50+2)&amp;"")</f>
        <v/>
      </c>
      <c r="IA50" s="1215" t="str">
        <f t="shared" ca="1" si="78"/>
        <v/>
      </c>
      <c r="IB50" s="1216" t="str">
        <f t="shared" ca="1" si="79"/>
        <v/>
      </c>
      <c r="IE50" s="882" t="str">
        <f t="shared" ca="1" si="80"/>
        <v/>
      </c>
      <c r="IF50" s="882" t="str">
        <f t="shared" ca="1" si="81"/>
        <v/>
      </c>
      <c r="IG50" s="882" t="str">
        <f t="shared" ca="1" si="82"/>
        <v/>
      </c>
      <c r="IH50" s="882" t="str">
        <f t="shared" ca="1" si="83"/>
        <v/>
      </c>
    </row>
    <row r="51" spans="2:242" s="889" customFormat="1" ht="20.100000000000001"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918">
        <f t="shared" si="67"/>
        <v>0</v>
      </c>
      <c r="HD51" s="921">
        <f t="shared" si="67"/>
        <v>0</v>
      </c>
      <c r="HE51" s="921">
        <f t="shared" si="67"/>
        <v>0</v>
      </c>
      <c r="HF51" s="920"/>
      <c r="HG51" s="918">
        <f>SUM(SUMIFS(K51:HB51,$K$13:$HB$13,{"エネルギー管理指定工場等*","県域*"}))</f>
        <v>0</v>
      </c>
      <c r="HH51" s="921">
        <f>SUM(SUMIFS(L51:HC51,$K$13:$HB$13,{"エネルギー管理指定工場等*","県域*"}))</f>
        <v>0</v>
      </c>
      <c r="HI51" s="921">
        <f>SUM(SUMIFS(M51:HD51,$K$13:$HB$13,{"エネルギー管理指定工場等*","県域*"}))</f>
        <v>0</v>
      </c>
      <c r="HJ51" s="920"/>
      <c r="HL51" s="907">
        <v>42</v>
      </c>
      <c r="HM51" s="1223" t="str">
        <f t="shared" ca="1" si="68"/>
        <v/>
      </c>
      <c r="HN51" s="1200" t="str">
        <f ca="1">IF(COUNTIF(HN$10:HN50,OFFSET(A1_原単位2026,5,HL51+2))&gt;=1,"",OFFSET(A1_原単位2026,5,HL51+2)&amp;"")</f>
        <v/>
      </c>
      <c r="HO51" s="1204" t="str">
        <f t="shared" ca="1" si="69"/>
        <v/>
      </c>
      <c r="HP51" s="1205" t="str">
        <f t="shared" ca="1" si="70"/>
        <v/>
      </c>
      <c r="HQ51" s="1223" t="str">
        <f t="shared" ca="1" si="71"/>
        <v/>
      </c>
      <c r="HR51" s="1200" t="str">
        <f ca="1">IF(COUNTIF(HR$10:HR50,OFFSET(A1_原単位2026,17,HL51+2))&gt;=1,"",OFFSET(A1_原単位2026,17,HL51+2)&amp;"")</f>
        <v/>
      </c>
      <c r="HS51" s="1212" t="str">
        <f t="shared" ca="1" si="72"/>
        <v/>
      </c>
      <c r="HT51" s="1213" t="str">
        <f t="shared" ca="1" si="73"/>
        <v/>
      </c>
      <c r="HU51" s="1223" t="str">
        <f t="shared" ca="1" si="74"/>
        <v/>
      </c>
      <c r="HV51" s="1200" t="str">
        <f ca="1">IF(COUNTIF(HV$10:HV50,OFFSET(A1_原単位2026,29,HL51+2))&gt;=1,"",OFFSET(A1_原単位2026,29,HL51+2)&amp;"")</f>
        <v/>
      </c>
      <c r="HW51" s="1212" t="str">
        <f t="shared" ca="1" si="75"/>
        <v/>
      </c>
      <c r="HX51" s="1213" t="str">
        <f t="shared" ca="1" si="76"/>
        <v/>
      </c>
      <c r="HY51" s="1223" t="str">
        <f t="shared" ca="1" si="77"/>
        <v/>
      </c>
      <c r="HZ51" s="1200" t="str">
        <f ca="1">IF(COUNTIF(HZ$10:HZ50,OFFSET(A1_原単位2026,41,HL51+2))&gt;=1,"",OFFSET(A1_原単位2026,41,HL51+2)&amp;"")</f>
        <v/>
      </c>
      <c r="IA51" s="1215" t="str">
        <f t="shared" ca="1" si="78"/>
        <v/>
      </c>
      <c r="IB51" s="1216" t="str">
        <f t="shared" ca="1" si="79"/>
        <v/>
      </c>
      <c r="IE51" s="882" t="str">
        <f t="shared" ca="1" si="80"/>
        <v/>
      </c>
      <c r="IF51" s="882" t="str">
        <f t="shared" ca="1" si="81"/>
        <v/>
      </c>
      <c r="IG51" s="882" t="str">
        <f t="shared" ca="1" si="82"/>
        <v/>
      </c>
      <c r="IH51" s="882" t="str">
        <f t="shared" ca="1" si="83"/>
        <v/>
      </c>
    </row>
    <row r="52" spans="2:242" s="889" customFormat="1" ht="20.100000000000001"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918">
        <f t="shared" si="67"/>
        <v>0</v>
      </c>
      <c r="HD52" s="921">
        <f t="shared" si="67"/>
        <v>0</v>
      </c>
      <c r="HE52" s="921">
        <f t="shared" si="67"/>
        <v>0</v>
      </c>
      <c r="HF52" s="920"/>
      <c r="HG52" s="918">
        <f>SUM(SUMIFS(K52:HB52,$K$13:$HB$13,{"エネルギー管理指定工場等*","県域*"}))</f>
        <v>0</v>
      </c>
      <c r="HH52" s="921">
        <f>SUM(SUMIFS(L52:HC52,$K$13:$HB$13,{"エネルギー管理指定工場等*","県域*"}))</f>
        <v>0</v>
      </c>
      <c r="HI52" s="921">
        <f>SUM(SUMIFS(M52:HD52,$K$13:$HB$13,{"エネルギー管理指定工場等*","県域*"}))</f>
        <v>0</v>
      </c>
      <c r="HJ52" s="920"/>
      <c r="HL52" s="908">
        <v>43</v>
      </c>
      <c r="HM52" s="1223" t="str">
        <f t="shared" ca="1" si="68"/>
        <v/>
      </c>
      <c r="HN52" s="1200" t="str">
        <f ca="1">IF(COUNTIF(HN$10:HN51,OFFSET(A1_原単位2026,5,HL52+2))&gt;=1,"",OFFSET(A1_原単位2026,5,HL52+2)&amp;"")</f>
        <v/>
      </c>
      <c r="HO52" s="1204" t="str">
        <f t="shared" ca="1" si="69"/>
        <v/>
      </c>
      <c r="HP52" s="1205" t="str">
        <f t="shared" ca="1" si="70"/>
        <v/>
      </c>
      <c r="HQ52" s="1223" t="str">
        <f t="shared" ca="1" si="71"/>
        <v/>
      </c>
      <c r="HR52" s="1200" t="str">
        <f ca="1">IF(COUNTIF(HR$10:HR51,OFFSET(A1_原単位2026,17,HL52+2))&gt;=1,"",OFFSET(A1_原単位2026,17,HL52+2)&amp;"")</f>
        <v/>
      </c>
      <c r="HS52" s="1212" t="str">
        <f t="shared" ca="1" si="72"/>
        <v/>
      </c>
      <c r="HT52" s="1213" t="str">
        <f t="shared" ca="1" si="73"/>
        <v/>
      </c>
      <c r="HU52" s="1223" t="str">
        <f t="shared" ca="1" si="74"/>
        <v/>
      </c>
      <c r="HV52" s="1200" t="str">
        <f ca="1">IF(COUNTIF(HV$10:HV51,OFFSET(A1_原単位2026,29,HL52+2))&gt;=1,"",OFFSET(A1_原単位2026,29,HL52+2)&amp;"")</f>
        <v/>
      </c>
      <c r="HW52" s="1212" t="str">
        <f t="shared" ca="1" si="75"/>
        <v/>
      </c>
      <c r="HX52" s="1213" t="str">
        <f t="shared" ca="1" si="76"/>
        <v/>
      </c>
      <c r="HY52" s="1223" t="str">
        <f t="shared" ca="1" si="77"/>
        <v/>
      </c>
      <c r="HZ52" s="1200" t="str">
        <f ca="1">IF(COUNTIF(HZ$10:HZ51,OFFSET(A1_原単位2026,41,HL52+2))&gt;=1,"",OFFSET(A1_原単位2026,41,HL52+2)&amp;"")</f>
        <v/>
      </c>
      <c r="IA52" s="1215" t="str">
        <f t="shared" ca="1" si="78"/>
        <v/>
      </c>
      <c r="IB52" s="1216" t="str">
        <f t="shared" ca="1" si="79"/>
        <v/>
      </c>
      <c r="IE52" s="882" t="str">
        <f t="shared" ca="1" si="80"/>
        <v/>
      </c>
      <c r="IF52" s="882" t="str">
        <f t="shared" ca="1" si="81"/>
        <v/>
      </c>
      <c r="IG52" s="882" t="str">
        <f t="shared" ca="1" si="82"/>
        <v/>
      </c>
      <c r="IH52" s="882" t="str">
        <f t="shared" ca="1" si="83"/>
        <v/>
      </c>
    </row>
    <row r="53" spans="2:242" s="889" customFormat="1" ht="20.100000000000001"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918">
        <f t="shared" si="67"/>
        <v>0</v>
      </c>
      <c r="HD53" s="921">
        <f t="shared" si="67"/>
        <v>0</v>
      </c>
      <c r="HE53" s="921">
        <f t="shared" si="67"/>
        <v>0</v>
      </c>
      <c r="HF53" s="920"/>
      <c r="HG53" s="918">
        <f>SUM(SUMIFS(K53:HB53,$K$13:$HB$13,{"エネルギー管理指定工場等*","県域*"}))</f>
        <v>0</v>
      </c>
      <c r="HH53" s="921">
        <f>SUM(SUMIFS(L53:HC53,$K$13:$HB$13,{"エネルギー管理指定工場等*","県域*"}))</f>
        <v>0</v>
      </c>
      <c r="HI53" s="921">
        <f>SUM(SUMIFS(M53:HD53,$K$13:$HB$13,{"エネルギー管理指定工場等*","県域*"}))</f>
        <v>0</v>
      </c>
      <c r="HJ53" s="920"/>
      <c r="HL53" s="907">
        <v>44</v>
      </c>
      <c r="HM53" s="1223" t="str">
        <f t="shared" ca="1" si="68"/>
        <v/>
      </c>
      <c r="HN53" s="1200" t="str">
        <f ca="1">IF(COUNTIF(HN$10:HN52,OFFSET(A1_原単位2026,5,HL53+2))&gt;=1,"",OFFSET(A1_原単位2026,5,HL53+2)&amp;"")</f>
        <v/>
      </c>
      <c r="HO53" s="1204" t="str">
        <f t="shared" ca="1" si="69"/>
        <v/>
      </c>
      <c r="HP53" s="1205" t="str">
        <f t="shared" ca="1" si="70"/>
        <v/>
      </c>
      <c r="HQ53" s="1223" t="str">
        <f t="shared" ca="1" si="71"/>
        <v/>
      </c>
      <c r="HR53" s="1200" t="str">
        <f ca="1">IF(COUNTIF(HR$10:HR52,OFFSET(A1_原単位2026,17,HL53+2))&gt;=1,"",OFFSET(A1_原単位2026,17,HL53+2)&amp;"")</f>
        <v/>
      </c>
      <c r="HS53" s="1212" t="str">
        <f t="shared" ca="1" si="72"/>
        <v/>
      </c>
      <c r="HT53" s="1213" t="str">
        <f t="shared" ca="1" si="73"/>
        <v/>
      </c>
      <c r="HU53" s="1223" t="str">
        <f t="shared" ca="1" si="74"/>
        <v/>
      </c>
      <c r="HV53" s="1200" t="str">
        <f ca="1">IF(COUNTIF(HV$10:HV52,OFFSET(A1_原単位2026,29,HL53+2))&gt;=1,"",OFFSET(A1_原単位2026,29,HL53+2)&amp;"")</f>
        <v/>
      </c>
      <c r="HW53" s="1212" t="str">
        <f t="shared" ca="1" si="75"/>
        <v/>
      </c>
      <c r="HX53" s="1213" t="str">
        <f t="shared" ca="1" si="76"/>
        <v/>
      </c>
      <c r="HY53" s="1223" t="str">
        <f t="shared" ca="1" si="77"/>
        <v/>
      </c>
      <c r="HZ53" s="1200" t="str">
        <f ca="1">IF(COUNTIF(HZ$10:HZ52,OFFSET(A1_原単位2026,41,HL53+2))&gt;=1,"",OFFSET(A1_原単位2026,41,HL53+2)&amp;"")</f>
        <v/>
      </c>
      <c r="IA53" s="1215" t="str">
        <f t="shared" ca="1" si="78"/>
        <v/>
      </c>
      <c r="IB53" s="1216" t="str">
        <f t="shared" ca="1" si="79"/>
        <v/>
      </c>
      <c r="IE53" s="882" t="str">
        <f t="shared" ca="1" si="80"/>
        <v/>
      </c>
      <c r="IF53" s="882" t="str">
        <f t="shared" ca="1" si="81"/>
        <v/>
      </c>
      <c r="IG53" s="882" t="str">
        <f t="shared" ca="1" si="82"/>
        <v/>
      </c>
      <c r="IH53" s="882" t="str">
        <f t="shared" ca="1" si="83"/>
        <v/>
      </c>
    </row>
    <row r="54" spans="2:242" s="889" customFormat="1" ht="20.100000000000001"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918">
        <f t="shared" si="67"/>
        <v>0</v>
      </c>
      <c r="HD54" s="921">
        <f t="shared" si="67"/>
        <v>0</v>
      </c>
      <c r="HE54" s="921">
        <f t="shared" si="67"/>
        <v>0</v>
      </c>
      <c r="HF54" s="920"/>
      <c r="HG54" s="918">
        <f>SUM(SUMIFS(K54:HB54,$K$13:$HB$13,{"エネルギー管理指定工場等*","県域*"}))</f>
        <v>0</v>
      </c>
      <c r="HH54" s="921">
        <f>SUM(SUMIFS(L54:HC54,$K$13:$HB$13,{"エネルギー管理指定工場等*","県域*"}))</f>
        <v>0</v>
      </c>
      <c r="HI54" s="921">
        <f>SUM(SUMIFS(M54:HD54,$K$13:$HB$13,{"エネルギー管理指定工場等*","県域*"}))</f>
        <v>0</v>
      </c>
      <c r="HJ54" s="920"/>
      <c r="HL54" s="907">
        <v>45</v>
      </c>
      <c r="HM54" s="1223" t="str">
        <f t="shared" ca="1" si="68"/>
        <v/>
      </c>
      <c r="HN54" s="1200" t="str">
        <f ca="1">IF(COUNTIF(HN$10:HN53,OFFSET(A1_原単位2026,5,HL54+2))&gt;=1,"",OFFSET(A1_原単位2026,5,HL54+2)&amp;"")</f>
        <v/>
      </c>
      <c r="HO54" s="1204" t="str">
        <f t="shared" ca="1" si="69"/>
        <v/>
      </c>
      <c r="HP54" s="1205" t="str">
        <f t="shared" ca="1" si="70"/>
        <v/>
      </c>
      <c r="HQ54" s="1223" t="str">
        <f t="shared" ca="1" si="71"/>
        <v/>
      </c>
      <c r="HR54" s="1200" t="str">
        <f ca="1">IF(COUNTIF(HR$10:HR53,OFFSET(A1_原単位2026,17,HL54+2))&gt;=1,"",OFFSET(A1_原単位2026,17,HL54+2)&amp;"")</f>
        <v/>
      </c>
      <c r="HS54" s="1212" t="str">
        <f t="shared" ca="1" si="72"/>
        <v/>
      </c>
      <c r="HT54" s="1213" t="str">
        <f t="shared" ca="1" si="73"/>
        <v/>
      </c>
      <c r="HU54" s="1223" t="str">
        <f t="shared" ca="1" si="74"/>
        <v/>
      </c>
      <c r="HV54" s="1200" t="str">
        <f ca="1">IF(COUNTIF(HV$10:HV53,OFFSET(A1_原単位2026,29,HL54+2))&gt;=1,"",OFFSET(A1_原単位2026,29,HL54+2)&amp;"")</f>
        <v/>
      </c>
      <c r="HW54" s="1212" t="str">
        <f t="shared" ca="1" si="75"/>
        <v/>
      </c>
      <c r="HX54" s="1213" t="str">
        <f t="shared" ca="1" si="76"/>
        <v/>
      </c>
      <c r="HY54" s="1223" t="str">
        <f t="shared" ca="1" si="77"/>
        <v/>
      </c>
      <c r="HZ54" s="1200" t="str">
        <f ca="1">IF(COUNTIF(HZ$10:HZ53,OFFSET(A1_原単位2026,41,HL54+2))&gt;=1,"",OFFSET(A1_原単位2026,41,HL54+2)&amp;"")</f>
        <v/>
      </c>
      <c r="IA54" s="1215" t="str">
        <f t="shared" ca="1" si="78"/>
        <v/>
      </c>
      <c r="IB54" s="1216" t="str">
        <f t="shared" ca="1" si="79"/>
        <v/>
      </c>
      <c r="IE54" s="882" t="str">
        <f t="shared" ca="1" si="80"/>
        <v/>
      </c>
      <c r="IF54" s="882" t="str">
        <f t="shared" ca="1" si="81"/>
        <v/>
      </c>
      <c r="IG54" s="882" t="str">
        <f t="shared" ca="1" si="82"/>
        <v/>
      </c>
      <c r="IH54" s="882" t="str">
        <f t="shared" ca="1" si="83"/>
        <v/>
      </c>
    </row>
    <row r="55" spans="2:242" s="889" customFormat="1" ht="20.100000000000001"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918">
        <f t="shared" si="67"/>
        <v>0</v>
      </c>
      <c r="HD55" s="921">
        <f t="shared" si="67"/>
        <v>0</v>
      </c>
      <c r="HE55" s="921">
        <f t="shared" si="67"/>
        <v>0</v>
      </c>
      <c r="HF55" s="920"/>
      <c r="HG55" s="918">
        <f>SUM(SUMIFS(K55:HB55,$K$13:$HB$13,{"エネルギー管理指定工場等*","県域*"}))</f>
        <v>0</v>
      </c>
      <c r="HH55" s="921">
        <f>SUM(SUMIFS(L55:HC55,$K$13:$HB$13,{"エネルギー管理指定工場等*","県域*"}))</f>
        <v>0</v>
      </c>
      <c r="HI55" s="921">
        <f>SUM(SUMIFS(M55:HD55,$K$13:$HB$13,{"エネルギー管理指定工場等*","県域*"}))</f>
        <v>0</v>
      </c>
      <c r="HJ55" s="920"/>
      <c r="HL55" s="908">
        <v>46</v>
      </c>
      <c r="HM55" s="1223" t="str">
        <f t="shared" ca="1" si="68"/>
        <v/>
      </c>
      <c r="HN55" s="1200" t="str">
        <f ca="1">IF(COUNTIF(HN$10:HN54,OFFSET(A1_原単位2026,5,HL55+2))&gt;=1,"",OFFSET(A1_原単位2026,5,HL55+2)&amp;"")</f>
        <v/>
      </c>
      <c r="HO55" s="1204" t="str">
        <f t="shared" ca="1" si="69"/>
        <v/>
      </c>
      <c r="HP55" s="1205" t="str">
        <f t="shared" ca="1" si="70"/>
        <v/>
      </c>
      <c r="HQ55" s="1223" t="str">
        <f t="shared" ca="1" si="71"/>
        <v/>
      </c>
      <c r="HR55" s="1200" t="str">
        <f ca="1">IF(COUNTIF(HR$10:HR54,OFFSET(A1_原単位2026,17,HL55+2))&gt;=1,"",OFFSET(A1_原単位2026,17,HL55+2)&amp;"")</f>
        <v/>
      </c>
      <c r="HS55" s="1212" t="str">
        <f t="shared" ca="1" si="72"/>
        <v/>
      </c>
      <c r="HT55" s="1213" t="str">
        <f t="shared" ca="1" si="73"/>
        <v/>
      </c>
      <c r="HU55" s="1223" t="str">
        <f t="shared" ca="1" si="74"/>
        <v/>
      </c>
      <c r="HV55" s="1200" t="str">
        <f ca="1">IF(COUNTIF(HV$10:HV54,OFFSET(A1_原単位2026,29,HL55+2))&gt;=1,"",OFFSET(A1_原単位2026,29,HL55+2)&amp;"")</f>
        <v/>
      </c>
      <c r="HW55" s="1212" t="str">
        <f t="shared" ca="1" si="75"/>
        <v/>
      </c>
      <c r="HX55" s="1213" t="str">
        <f t="shared" ca="1" si="76"/>
        <v/>
      </c>
      <c r="HY55" s="1223" t="str">
        <f t="shared" ca="1" si="77"/>
        <v/>
      </c>
      <c r="HZ55" s="1200" t="str">
        <f ca="1">IF(COUNTIF(HZ$10:HZ54,OFFSET(A1_原単位2026,41,HL55+2))&gt;=1,"",OFFSET(A1_原単位2026,41,HL55+2)&amp;"")</f>
        <v/>
      </c>
      <c r="IA55" s="1215" t="str">
        <f t="shared" ca="1" si="78"/>
        <v/>
      </c>
      <c r="IB55" s="1216" t="str">
        <f t="shared" ca="1" si="79"/>
        <v/>
      </c>
      <c r="IE55" s="882" t="str">
        <f t="shared" ca="1" si="80"/>
        <v/>
      </c>
      <c r="IF55" s="882" t="str">
        <f t="shared" ca="1" si="81"/>
        <v/>
      </c>
      <c r="IG55" s="882" t="str">
        <f t="shared" ca="1" si="82"/>
        <v/>
      </c>
      <c r="IH55" s="882" t="str">
        <f t="shared" ca="1" si="83"/>
        <v/>
      </c>
    </row>
    <row r="56" spans="2:242" s="889" customFormat="1" ht="20.100000000000001"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918">
        <f t="shared" si="67"/>
        <v>0</v>
      </c>
      <c r="HD56" s="921">
        <f t="shared" si="67"/>
        <v>0</v>
      </c>
      <c r="HE56" s="921">
        <f t="shared" si="67"/>
        <v>0</v>
      </c>
      <c r="HF56" s="920"/>
      <c r="HG56" s="918">
        <f>SUM(SUMIFS(K56:HB56,$K$13:$HB$13,{"エネルギー管理指定工場等*","県域*"}))</f>
        <v>0</v>
      </c>
      <c r="HH56" s="921">
        <f>SUM(SUMIFS(L56:HC56,$K$13:$HB$13,{"エネルギー管理指定工場等*","県域*"}))</f>
        <v>0</v>
      </c>
      <c r="HI56" s="921">
        <f>SUM(SUMIFS(M56:HD56,$K$13:$HB$13,{"エネルギー管理指定工場等*","県域*"}))</f>
        <v>0</v>
      </c>
      <c r="HJ56" s="920"/>
      <c r="HL56" s="907">
        <v>47</v>
      </c>
      <c r="HM56" s="1223" t="str">
        <f t="shared" ca="1" si="68"/>
        <v/>
      </c>
      <c r="HN56" s="1200" t="str">
        <f ca="1">IF(COUNTIF(HN$10:HN55,OFFSET(A1_原単位2026,5,HL56+2))&gt;=1,"",OFFSET(A1_原単位2026,5,HL56+2)&amp;"")</f>
        <v/>
      </c>
      <c r="HO56" s="1204" t="str">
        <f t="shared" ca="1" si="69"/>
        <v/>
      </c>
      <c r="HP56" s="1205" t="str">
        <f t="shared" ca="1" si="70"/>
        <v/>
      </c>
      <c r="HQ56" s="1223" t="str">
        <f t="shared" ca="1" si="71"/>
        <v/>
      </c>
      <c r="HR56" s="1200" t="str">
        <f ca="1">IF(COUNTIF(HR$10:HR55,OFFSET(A1_原単位2026,17,HL56+2))&gt;=1,"",OFFSET(A1_原単位2026,17,HL56+2)&amp;"")</f>
        <v/>
      </c>
      <c r="HS56" s="1212" t="str">
        <f t="shared" ca="1" si="72"/>
        <v/>
      </c>
      <c r="HT56" s="1213" t="str">
        <f t="shared" ca="1" si="73"/>
        <v/>
      </c>
      <c r="HU56" s="1223" t="str">
        <f t="shared" ca="1" si="74"/>
        <v/>
      </c>
      <c r="HV56" s="1200" t="str">
        <f ca="1">IF(COUNTIF(HV$10:HV55,OFFSET(A1_原単位2026,29,HL56+2))&gt;=1,"",OFFSET(A1_原単位2026,29,HL56+2)&amp;"")</f>
        <v/>
      </c>
      <c r="HW56" s="1212" t="str">
        <f t="shared" ca="1" si="75"/>
        <v/>
      </c>
      <c r="HX56" s="1213" t="str">
        <f t="shared" ca="1" si="76"/>
        <v/>
      </c>
      <c r="HY56" s="1223" t="str">
        <f t="shared" ca="1" si="77"/>
        <v/>
      </c>
      <c r="HZ56" s="1200" t="str">
        <f ca="1">IF(COUNTIF(HZ$10:HZ55,OFFSET(A1_原単位2026,41,HL56+2))&gt;=1,"",OFFSET(A1_原単位2026,41,HL56+2)&amp;"")</f>
        <v/>
      </c>
      <c r="IA56" s="1215" t="str">
        <f t="shared" ca="1" si="78"/>
        <v/>
      </c>
      <c r="IB56" s="1216" t="str">
        <f t="shared" ca="1" si="79"/>
        <v/>
      </c>
      <c r="IE56" s="882" t="str">
        <f t="shared" ca="1" si="80"/>
        <v/>
      </c>
      <c r="IF56" s="882" t="str">
        <f t="shared" ca="1" si="81"/>
        <v/>
      </c>
      <c r="IG56" s="882" t="str">
        <f t="shared" ca="1" si="82"/>
        <v/>
      </c>
      <c r="IH56" s="882" t="str">
        <f t="shared" ca="1" si="83"/>
        <v/>
      </c>
    </row>
    <row r="57" spans="2:242" s="889" customFormat="1" ht="20.100000000000001"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918">
        <f t="shared" si="67"/>
        <v>0</v>
      </c>
      <c r="HD57" s="921">
        <f t="shared" si="67"/>
        <v>0</v>
      </c>
      <c r="HE57" s="921">
        <f t="shared" si="67"/>
        <v>0</v>
      </c>
      <c r="HF57" s="920"/>
      <c r="HG57" s="918">
        <f>SUM(SUMIFS(K57:HB57,$K$13:$HB$13,{"エネルギー管理指定工場等*","県域*"}))</f>
        <v>0</v>
      </c>
      <c r="HH57" s="921">
        <f>SUM(SUMIFS(L57:HC57,$K$13:$HB$13,{"エネルギー管理指定工場等*","県域*"}))</f>
        <v>0</v>
      </c>
      <c r="HI57" s="921">
        <f>SUM(SUMIFS(M57:HD57,$K$13:$HB$13,{"エネルギー管理指定工場等*","県域*"}))</f>
        <v>0</v>
      </c>
      <c r="HJ57" s="920"/>
      <c r="HL57" s="908">
        <v>48</v>
      </c>
      <c r="HM57" s="1223" t="str">
        <f t="shared" ca="1" si="68"/>
        <v/>
      </c>
      <c r="HN57" s="1200" t="str">
        <f ca="1">IF(COUNTIF(HN$10:HN56,OFFSET(A1_原単位2026,5,HL57+2))&gt;=1,"",OFFSET(A1_原単位2026,5,HL57+2)&amp;"")</f>
        <v/>
      </c>
      <c r="HO57" s="1204" t="str">
        <f t="shared" ca="1" si="69"/>
        <v/>
      </c>
      <c r="HP57" s="1205" t="str">
        <f t="shared" ca="1" si="70"/>
        <v/>
      </c>
      <c r="HQ57" s="1223" t="str">
        <f t="shared" ca="1" si="71"/>
        <v/>
      </c>
      <c r="HR57" s="1200" t="str">
        <f ca="1">IF(COUNTIF(HR$10:HR56,OFFSET(A1_原単位2026,17,HL57+2))&gt;=1,"",OFFSET(A1_原単位2026,17,HL57+2)&amp;"")</f>
        <v/>
      </c>
      <c r="HS57" s="1212" t="str">
        <f t="shared" ca="1" si="72"/>
        <v/>
      </c>
      <c r="HT57" s="1213" t="str">
        <f t="shared" ca="1" si="73"/>
        <v/>
      </c>
      <c r="HU57" s="1223" t="str">
        <f t="shared" ca="1" si="74"/>
        <v/>
      </c>
      <c r="HV57" s="1200" t="str">
        <f ca="1">IF(COUNTIF(HV$10:HV56,OFFSET(A1_原単位2026,29,HL57+2))&gt;=1,"",OFFSET(A1_原単位2026,29,HL57+2)&amp;"")</f>
        <v/>
      </c>
      <c r="HW57" s="1212" t="str">
        <f t="shared" ca="1" si="75"/>
        <v/>
      </c>
      <c r="HX57" s="1213" t="str">
        <f t="shared" ca="1" si="76"/>
        <v/>
      </c>
      <c r="HY57" s="1223" t="str">
        <f t="shared" ca="1" si="77"/>
        <v/>
      </c>
      <c r="HZ57" s="1200" t="str">
        <f ca="1">IF(COUNTIF(HZ$10:HZ56,OFFSET(A1_原単位2026,41,HL57+2))&gt;=1,"",OFFSET(A1_原単位2026,41,HL57+2)&amp;"")</f>
        <v/>
      </c>
      <c r="IA57" s="1215" t="str">
        <f t="shared" ca="1" si="78"/>
        <v/>
      </c>
      <c r="IB57" s="1216" t="str">
        <f t="shared" ca="1" si="79"/>
        <v/>
      </c>
      <c r="IE57" s="882" t="str">
        <f t="shared" ca="1" si="80"/>
        <v/>
      </c>
      <c r="IF57" s="882" t="str">
        <f t="shared" ca="1" si="81"/>
        <v/>
      </c>
      <c r="IG57" s="882" t="str">
        <f t="shared" ca="1" si="82"/>
        <v/>
      </c>
      <c r="IH57" s="882" t="str">
        <f t="shared" ca="1" si="83"/>
        <v/>
      </c>
    </row>
    <row r="58" spans="2:242" s="889" customFormat="1" ht="20.100000000000001"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918">
        <f t="shared" si="67"/>
        <v>0</v>
      </c>
      <c r="HD58" s="921">
        <f t="shared" si="67"/>
        <v>0</v>
      </c>
      <c r="HE58" s="921">
        <f t="shared" si="67"/>
        <v>0</v>
      </c>
      <c r="HF58" s="920"/>
      <c r="HG58" s="918">
        <f>SUM(SUMIFS(K58:HB58,$K$13:$HB$13,{"エネルギー管理指定工場等*","県域*"}))</f>
        <v>0</v>
      </c>
      <c r="HH58" s="921">
        <f>SUM(SUMIFS(L58:HC58,$K$13:$HB$13,{"エネルギー管理指定工場等*","県域*"}))</f>
        <v>0</v>
      </c>
      <c r="HI58" s="921">
        <f>SUM(SUMIFS(M58:HD58,$K$13:$HB$13,{"エネルギー管理指定工場等*","県域*"}))</f>
        <v>0</v>
      </c>
      <c r="HJ58" s="920"/>
      <c r="HL58" s="907">
        <v>49</v>
      </c>
      <c r="HM58" s="1223" t="str">
        <f t="shared" ca="1" si="68"/>
        <v/>
      </c>
      <c r="HN58" s="1200" t="str">
        <f ca="1">IF(COUNTIF(HN$10:HN57,OFFSET(A1_原単位2026,5,HL58+2))&gt;=1,"",OFFSET(A1_原単位2026,5,HL58+2)&amp;"")</f>
        <v/>
      </c>
      <c r="HO58" s="1204" t="str">
        <f t="shared" ca="1" si="69"/>
        <v/>
      </c>
      <c r="HP58" s="1205" t="str">
        <f t="shared" ca="1" si="70"/>
        <v/>
      </c>
      <c r="HQ58" s="1223" t="str">
        <f t="shared" ca="1" si="71"/>
        <v/>
      </c>
      <c r="HR58" s="1200" t="str">
        <f ca="1">IF(COUNTIF(HR$10:HR57,OFFSET(A1_原単位2026,17,HL58+2))&gt;=1,"",OFFSET(A1_原単位2026,17,HL58+2)&amp;"")</f>
        <v/>
      </c>
      <c r="HS58" s="1212" t="str">
        <f t="shared" ca="1" si="72"/>
        <v/>
      </c>
      <c r="HT58" s="1213" t="str">
        <f t="shared" ca="1" si="73"/>
        <v/>
      </c>
      <c r="HU58" s="1223" t="str">
        <f t="shared" ca="1" si="74"/>
        <v/>
      </c>
      <c r="HV58" s="1200" t="str">
        <f ca="1">IF(COUNTIF(HV$10:HV57,OFFSET(A1_原単位2026,29,HL58+2))&gt;=1,"",OFFSET(A1_原単位2026,29,HL58+2)&amp;"")</f>
        <v/>
      </c>
      <c r="HW58" s="1212" t="str">
        <f t="shared" ca="1" si="75"/>
        <v/>
      </c>
      <c r="HX58" s="1213" t="str">
        <f t="shared" ca="1" si="76"/>
        <v/>
      </c>
      <c r="HY58" s="1223" t="str">
        <f t="shared" ca="1" si="77"/>
        <v/>
      </c>
      <c r="HZ58" s="1200" t="str">
        <f ca="1">IF(COUNTIF(HZ$10:HZ57,OFFSET(A1_原単位2026,41,HL58+2))&gt;=1,"",OFFSET(A1_原単位2026,41,HL58+2)&amp;"")</f>
        <v/>
      </c>
      <c r="IA58" s="1215" t="str">
        <f t="shared" ca="1" si="78"/>
        <v/>
      </c>
      <c r="IB58" s="1216" t="str">
        <f t="shared" ca="1" si="79"/>
        <v/>
      </c>
      <c r="IE58" s="882" t="str">
        <f t="shared" ca="1" si="80"/>
        <v/>
      </c>
      <c r="IF58" s="882" t="str">
        <f t="shared" ca="1" si="81"/>
        <v/>
      </c>
      <c r="IG58" s="882" t="str">
        <f t="shared" ca="1" si="82"/>
        <v/>
      </c>
      <c r="IH58" s="882" t="str">
        <f t="shared" ca="1" si="83"/>
        <v/>
      </c>
    </row>
    <row r="59" spans="2:242" s="889" customFormat="1" ht="20.100000000000001"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918">
        <f t="shared" si="67"/>
        <v>0</v>
      </c>
      <c r="HD59" s="921">
        <f t="shared" si="67"/>
        <v>0</v>
      </c>
      <c r="HE59" s="921">
        <f t="shared" si="67"/>
        <v>0</v>
      </c>
      <c r="HF59" s="920"/>
      <c r="HG59" s="918">
        <f>SUM(SUMIFS(K59:HB59,$K$13:$HB$13,{"エネルギー管理指定工場等*","県域*"}))</f>
        <v>0</v>
      </c>
      <c r="HH59" s="921">
        <f>SUM(SUMIFS(L59:HC59,$K$13:$HB$13,{"エネルギー管理指定工場等*","県域*"}))</f>
        <v>0</v>
      </c>
      <c r="HI59" s="921">
        <f>SUM(SUMIFS(M59:HD59,$K$13:$HB$13,{"エネルギー管理指定工場等*","県域*"}))</f>
        <v>0</v>
      </c>
      <c r="HJ59" s="920"/>
      <c r="HL59" s="926">
        <v>50</v>
      </c>
      <c r="HM59" s="1224" t="str">
        <f t="shared" ca="1" si="68"/>
        <v/>
      </c>
      <c r="HN59" s="1201" t="str">
        <f ca="1">IF(COUNTIF(HN$10:HN58,OFFSET(A1_原単位2026,5,HL59+2))&gt;=1,"",OFFSET(A1_原単位2026,5,HL59+2)&amp;"")</f>
        <v/>
      </c>
      <c r="HO59" s="1206" t="str">
        <f t="shared" ca="1" si="69"/>
        <v/>
      </c>
      <c r="HP59" s="1207" t="str">
        <f t="shared" ca="1" si="70"/>
        <v/>
      </c>
      <c r="HQ59" s="1224" t="str">
        <f t="shared" ca="1" si="71"/>
        <v/>
      </c>
      <c r="HR59" s="1201" t="str">
        <f ca="1">IF(COUNTIF(HR$10:HR58,OFFSET(A1_原単位2026,17,HL59+2))&gt;=1,"",OFFSET(A1_原単位2026,17,HL59+2)&amp;"")</f>
        <v/>
      </c>
      <c r="HS59" s="1217" t="str">
        <f t="shared" ca="1" si="72"/>
        <v/>
      </c>
      <c r="HT59" s="1218" t="str">
        <f t="shared" ca="1" si="73"/>
        <v/>
      </c>
      <c r="HU59" s="1224" t="str">
        <f t="shared" ca="1" si="74"/>
        <v/>
      </c>
      <c r="HV59" s="1201" t="str">
        <f ca="1">IF(COUNTIF(HV$10:HV58,OFFSET(A1_原単位2026,29,HL59+2))&gt;=1,"",OFFSET(A1_原単位2026,29,HL59+2)&amp;"")</f>
        <v/>
      </c>
      <c r="HW59" s="1217" t="str">
        <f t="shared" ca="1" si="75"/>
        <v/>
      </c>
      <c r="HX59" s="1218" t="str">
        <f t="shared" ca="1" si="76"/>
        <v/>
      </c>
      <c r="HY59" s="1224" t="str">
        <f t="shared" ca="1" si="77"/>
        <v/>
      </c>
      <c r="HZ59" s="1201" t="str">
        <f ca="1">IF(COUNTIF(HZ$10:HZ58,OFFSET(A1_原単位2026,41,HL59+2))&gt;=1,"",OFFSET(A1_原単位2026,41,HL59+2)&amp;"")</f>
        <v/>
      </c>
      <c r="IA59" s="1220" t="str">
        <f t="shared" ca="1" si="78"/>
        <v/>
      </c>
      <c r="IB59" s="1221" t="str">
        <f t="shared" ca="1" si="79"/>
        <v/>
      </c>
      <c r="IE59" s="882" t="str">
        <f t="shared" ca="1" si="80"/>
        <v/>
      </c>
      <c r="IF59" s="882" t="str">
        <f t="shared" ca="1" si="81"/>
        <v/>
      </c>
      <c r="IG59" s="882" t="str">
        <f t="shared" ca="1" si="82"/>
        <v/>
      </c>
      <c r="IH59" s="882" t="str">
        <f t="shared" ca="1" si="83"/>
        <v/>
      </c>
    </row>
    <row r="60" spans="2:242" s="889" customFormat="1" ht="20.100000000000001"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918">
        <f t="shared" si="67"/>
        <v>0</v>
      </c>
      <c r="HD60" s="921">
        <f t="shared" si="67"/>
        <v>0</v>
      </c>
      <c r="HE60" s="921">
        <f t="shared" si="67"/>
        <v>0</v>
      </c>
      <c r="HF60" s="920"/>
      <c r="HG60" s="918">
        <f>SUM(SUMIFS(K60:HB60,$K$13:$HB$13,{"エネルギー管理指定工場等*","県域*"}))</f>
        <v>0</v>
      </c>
      <c r="HH60" s="921">
        <f>SUM(SUMIFS(L60:HC60,$K$13:$HB$13,{"エネルギー管理指定工場等*","県域*"}))</f>
        <v>0</v>
      </c>
      <c r="HI60" s="921">
        <f>SUM(SUMIFS(M60:HD60,$K$13:$HB$13,{"エネルギー管理指定工場等*","県域*"}))</f>
        <v>0</v>
      </c>
      <c r="HJ60" s="920"/>
      <c r="IE60" s="927"/>
      <c r="IF60" s="927"/>
      <c r="IG60" s="927"/>
      <c r="IH60" s="927"/>
    </row>
    <row r="61" spans="2:242" s="889" customFormat="1" ht="20.100000000000001"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918">
        <f t="shared" si="67"/>
        <v>0</v>
      </c>
      <c r="HD61" s="921">
        <f t="shared" si="67"/>
        <v>0</v>
      </c>
      <c r="HE61" s="921">
        <f t="shared" si="67"/>
        <v>0</v>
      </c>
      <c r="HF61" s="920"/>
      <c r="HG61" s="918">
        <f>SUM(SUMIFS(K61:HB61,$K$13:$HB$13,{"エネルギー管理指定工場等*","県域*"}))</f>
        <v>0</v>
      </c>
      <c r="HH61" s="921">
        <f>SUM(SUMIFS(L61:HC61,$K$13:$HB$13,{"エネルギー管理指定工場等*","県域*"}))</f>
        <v>0</v>
      </c>
      <c r="HI61" s="921">
        <f>SUM(SUMIFS(M61:HD61,$K$13:$HB$13,{"エネルギー管理指定工場等*","県域*"}))</f>
        <v>0</v>
      </c>
      <c r="HJ61" s="920"/>
      <c r="IE61" s="927"/>
      <c r="IF61" s="927"/>
      <c r="IG61" s="927"/>
      <c r="IH61" s="927"/>
    </row>
    <row r="62" spans="2:242" s="889" customFormat="1" ht="20.100000000000001"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918">
        <f t="shared" si="67"/>
        <v>0</v>
      </c>
      <c r="HD62" s="921">
        <f t="shared" si="67"/>
        <v>0</v>
      </c>
      <c r="HE62" s="921">
        <f t="shared" si="67"/>
        <v>0</v>
      </c>
      <c r="HF62" s="920"/>
      <c r="HG62" s="918">
        <f>SUM(SUMIFS(K62:HB62,$K$13:$HB$13,{"エネルギー管理指定工場等*","県域*"}))</f>
        <v>0</v>
      </c>
      <c r="HH62" s="921">
        <f>SUM(SUMIFS(L62:HC62,$K$13:$HB$13,{"エネルギー管理指定工場等*","県域*"}))</f>
        <v>0</v>
      </c>
      <c r="HI62" s="921">
        <f>SUM(SUMIFS(M62:HD62,$K$13:$HB$13,{"エネルギー管理指定工場等*","県域*"}))</f>
        <v>0</v>
      </c>
      <c r="HJ62" s="920"/>
      <c r="IE62" s="927"/>
      <c r="IF62" s="927"/>
      <c r="IG62" s="927"/>
      <c r="IH62" s="927"/>
    </row>
    <row r="63" spans="2:242" s="889" customFormat="1" ht="20.100000000000001"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918">
        <f t="shared" si="67"/>
        <v>0</v>
      </c>
      <c r="HD63" s="921">
        <f t="shared" si="67"/>
        <v>0</v>
      </c>
      <c r="HE63" s="921">
        <f t="shared" si="67"/>
        <v>0</v>
      </c>
      <c r="HF63" s="920"/>
      <c r="HG63" s="918">
        <f>SUM(SUMIFS(K63:HB63,$K$13:$HB$13,{"エネルギー管理指定工場等*","県域*"}))</f>
        <v>0</v>
      </c>
      <c r="HH63" s="921">
        <f>SUM(SUMIFS(L63:HC63,$K$13:$HB$13,{"エネルギー管理指定工場等*","県域*"}))</f>
        <v>0</v>
      </c>
      <c r="HI63" s="921">
        <f>SUM(SUMIFS(M63:HD63,$K$13:$HB$13,{"エネルギー管理指定工場等*","県域*"}))</f>
        <v>0</v>
      </c>
      <c r="HJ63" s="920"/>
      <c r="IE63" s="927"/>
      <c r="IF63" s="927"/>
      <c r="IG63" s="927"/>
      <c r="IH63" s="927"/>
    </row>
    <row r="64" spans="2:242" s="889" customFormat="1" ht="20.100000000000001"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918">
        <f t="shared" si="67"/>
        <v>0</v>
      </c>
      <c r="HD64" s="921">
        <f t="shared" si="67"/>
        <v>0</v>
      </c>
      <c r="HE64" s="921">
        <f t="shared" si="67"/>
        <v>0</v>
      </c>
      <c r="HF64" s="920"/>
      <c r="HG64" s="918">
        <f>SUM(SUMIFS(K64:HB64,$K$13:$HB$13,{"エネルギー管理指定工場等*","県域*"}))</f>
        <v>0</v>
      </c>
      <c r="HH64" s="921">
        <f>SUM(SUMIFS(L64:HC64,$K$13:$HB$13,{"エネルギー管理指定工場等*","県域*"}))</f>
        <v>0</v>
      </c>
      <c r="HI64" s="921">
        <f>SUM(SUMIFS(M64:HD64,$K$13:$HB$13,{"エネルギー管理指定工場等*","県域*"}))</f>
        <v>0</v>
      </c>
      <c r="HJ64" s="920"/>
      <c r="IE64" s="927"/>
      <c r="IF64" s="927"/>
      <c r="IG64" s="927"/>
      <c r="IH64" s="927"/>
    </row>
    <row r="65" spans="2:242" s="889" customFormat="1" ht="59.4">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918">
        <f t="shared" si="67"/>
        <v>0</v>
      </c>
      <c r="HD65" s="928"/>
      <c r="HE65" s="921">
        <f t="shared" si="67"/>
        <v>0</v>
      </c>
      <c r="HF65" s="919">
        <f t="shared" si="67"/>
        <v>0</v>
      </c>
      <c r="HG65" s="918">
        <f>SUM(SUMIFS(K65:HB65,$K$13:$HB$13,{"エネルギー管理指定工場等*","県域*"}))</f>
        <v>0</v>
      </c>
      <c r="HH65" s="928"/>
      <c r="HI65" s="921">
        <f>SUM(SUMIFS(M65:HD65,$K$13:$HB$13,{"エネルギー管理指定工場等*","県域*"}))</f>
        <v>0</v>
      </c>
      <c r="HJ65" s="919">
        <f>SUM(SUMIFS(N65:HE65,$K$13:$HB$13,{"エネルギー管理指定工場等*","県域*"}))</f>
        <v>0</v>
      </c>
      <c r="IE65" s="927"/>
      <c r="IF65" s="927"/>
      <c r="IG65" s="927"/>
      <c r="IH65" s="927"/>
    </row>
    <row r="66" spans="2:242" s="889" customFormat="1" ht="20.100000000000001"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918">
        <f t="shared" si="67"/>
        <v>0</v>
      </c>
      <c r="HD66" s="928"/>
      <c r="HE66" s="921">
        <f t="shared" si="67"/>
        <v>0</v>
      </c>
      <c r="HF66" s="919">
        <f t="shared" si="67"/>
        <v>0</v>
      </c>
      <c r="HG66" s="918">
        <f>SUM(SUMIFS(K66:HB66,$K$13:$HB$13,{"エネルギー管理指定工場等*","県域*"}))</f>
        <v>0</v>
      </c>
      <c r="HH66" s="928"/>
      <c r="HI66" s="921">
        <f>SUM(SUMIFS(M66:HD66,$K$13:$HB$13,{"エネルギー管理指定工場等*","県域*"}))</f>
        <v>0</v>
      </c>
      <c r="HJ66" s="919">
        <f>SUM(SUMIFS(N66:HE66,$K$13:$HB$13,{"エネルギー管理指定工場等*","県域*"}))</f>
        <v>0</v>
      </c>
      <c r="IE66" s="927"/>
      <c r="IF66" s="927"/>
      <c r="IG66" s="927"/>
      <c r="IH66" s="927"/>
    </row>
    <row r="67" spans="2:242" s="889" customFormat="1" ht="20.100000000000001"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918">
        <f t="shared" si="67"/>
        <v>0</v>
      </c>
      <c r="HD67" s="928"/>
      <c r="HE67" s="921">
        <f t="shared" si="67"/>
        <v>0</v>
      </c>
      <c r="HF67" s="919">
        <f t="shared" si="67"/>
        <v>0</v>
      </c>
      <c r="HG67" s="918">
        <f>SUM(SUMIFS(K67:HB67,$K$13:$HB$13,{"エネルギー管理指定工場等*","県域*"}))</f>
        <v>0</v>
      </c>
      <c r="HH67" s="928"/>
      <c r="HI67" s="921">
        <f>SUM(SUMIFS(M67:HD67,$K$13:$HB$13,{"エネルギー管理指定工場等*","県域*"}))</f>
        <v>0</v>
      </c>
      <c r="HJ67" s="919">
        <f>SUM(SUMIFS(N67:HE67,$K$13:$HB$13,{"エネルギー管理指定工場等*","県域*"}))</f>
        <v>0</v>
      </c>
      <c r="IE67" s="927"/>
      <c r="IF67" s="927"/>
      <c r="IG67" s="927"/>
      <c r="IH67" s="927"/>
    </row>
    <row r="68" spans="2:242" s="889" customFormat="1" ht="20.100000000000001"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918">
        <f t="shared" si="67"/>
        <v>0</v>
      </c>
      <c r="HD68" s="928"/>
      <c r="HE68" s="921">
        <f t="shared" si="67"/>
        <v>0</v>
      </c>
      <c r="HF68" s="919">
        <f t="shared" si="67"/>
        <v>0</v>
      </c>
      <c r="HG68" s="918">
        <f>SUM(SUMIFS(K68:HB68,$K$13:$HB$13,{"エネルギー管理指定工場等*","県域*"}))</f>
        <v>0</v>
      </c>
      <c r="HH68" s="928"/>
      <c r="HI68" s="921">
        <f>SUM(SUMIFS(M68:HD68,$K$13:$HB$13,{"エネルギー管理指定工場等*","県域*"}))</f>
        <v>0</v>
      </c>
      <c r="HJ68" s="919">
        <f>SUM(SUMIFS(N68:HE68,$K$13:$HB$13,{"エネルギー管理指定工場等*","県域*"}))</f>
        <v>0</v>
      </c>
      <c r="IE68" s="927"/>
      <c r="IF68" s="927"/>
      <c r="IG68" s="927"/>
      <c r="IH68" s="927"/>
    </row>
    <row r="69" spans="2:242" s="889" customFormat="1" ht="20.100000000000001"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918">
        <f t="shared" si="67"/>
        <v>0</v>
      </c>
      <c r="HD69" s="928"/>
      <c r="HE69" s="921">
        <f t="shared" si="67"/>
        <v>0</v>
      </c>
      <c r="HF69" s="919">
        <f t="shared" si="67"/>
        <v>0</v>
      </c>
      <c r="HG69" s="918">
        <f>SUM(SUMIFS(K69:HB69,$K$13:$HB$13,{"エネルギー管理指定工場等*","県域*"}))</f>
        <v>0</v>
      </c>
      <c r="HH69" s="928"/>
      <c r="HI69" s="921">
        <f>SUM(SUMIFS(M69:HD69,$K$13:$HB$13,{"エネルギー管理指定工場等*","県域*"}))</f>
        <v>0</v>
      </c>
      <c r="HJ69" s="919">
        <f>SUM(SUMIFS(N69:HE69,$K$13:$HB$13,{"エネルギー管理指定工場等*","県域*"}))</f>
        <v>0</v>
      </c>
      <c r="IE69" s="927"/>
      <c r="IF69" s="927"/>
      <c r="IG69" s="927"/>
      <c r="IH69" s="927"/>
    </row>
    <row r="70" spans="2:242" s="889" customFormat="1" ht="20.100000000000001"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918">
        <f t="shared" si="67"/>
        <v>0</v>
      </c>
      <c r="HD70" s="928"/>
      <c r="HE70" s="921">
        <f t="shared" si="67"/>
        <v>0</v>
      </c>
      <c r="HF70" s="919">
        <f t="shared" si="67"/>
        <v>0</v>
      </c>
      <c r="HG70" s="918">
        <f>SUM(SUMIFS(K70:HB70,$K$13:$HB$13,{"エネルギー管理指定工場等*","県域*"}))</f>
        <v>0</v>
      </c>
      <c r="HH70" s="928"/>
      <c r="HI70" s="921">
        <f>SUM(SUMIFS(M70:HD70,$K$13:$HB$13,{"エネルギー管理指定工場等*","県域*"}))</f>
        <v>0</v>
      </c>
      <c r="HJ70" s="919">
        <f>SUM(SUMIFS(N70:HE70,$K$13:$HB$13,{"エネルギー管理指定工場等*","県域*"}))</f>
        <v>0</v>
      </c>
      <c r="IE70" s="927"/>
      <c r="IF70" s="927"/>
      <c r="IG70" s="927"/>
      <c r="IH70" s="927"/>
    </row>
    <row r="71" spans="2:242" s="889" customFormat="1" ht="20.100000000000001"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918">
        <f t="shared" si="67"/>
        <v>0</v>
      </c>
      <c r="HD71" s="928"/>
      <c r="HE71" s="921">
        <f t="shared" si="67"/>
        <v>0</v>
      </c>
      <c r="HF71" s="919">
        <f t="shared" si="67"/>
        <v>0</v>
      </c>
      <c r="HG71" s="918">
        <f>SUM(SUMIFS(K71:HB71,$K$13:$HB$13,{"エネルギー管理指定工場等*","県域*"}))</f>
        <v>0</v>
      </c>
      <c r="HH71" s="928"/>
      <c r="HI71" s="921">
        <f>SUM(SUMIFS(M71:HD71,$K$13:$HB$13,{"エネルギー管理指定工場等*","県域*"}))</f>
        <v>0</v>
      </c>
      <c r="HJ71" s="919">
        <f>SUM(SUMIFS(N71:HE71,$K$13:$HB$13,{"エネルギー管理指定工場等*","県域*"}))</f>
        <v>0</v>
      </c>
      <c r="IE71" s="927"/>
      <c r="IF71" s="927"/>
      <c r="IG71" s="927"/>
      <c r="IH71" s="927"/>
    </row>
    <row r="72" spans="2:242" s="889" customFormat="1" ht="20.100000000000001"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918">
        <f t="shared" si="67"/>
        <v>0</v>
      </c>
      <c r="HD72" s="928"/>
      <c r="HE72" s="921">
        <f t="shared" si="67"/>
        <v>0</v>
      </c>
      <c r="HF72" s="919">
        <f t="shared" si="67"/>
        <v>0</v>
      </c>
      <c r="HG72" s="918">
        <f>SUM(SUMIFS(K72:HB72,$K$13:$HB$13,{"エネルギー管理指定工場等*","県域*"}))</f>
        <v>0</v>
      </c>
      <c r="HH72" s="928"/>
      <c r="HI72" s="921">
        <f>SUM(SUMIFS(M72:HD72,$K$13:$HB$13,{"エネルギー管理指定工場等*","県域*"}))</f>
        <v>0</v>
      </c>
      <c r="HJ72" s="919">
        <f>SUM(SUMIFS(N72:HE72,$K$13:$HB$13,{"エネルギー管理指定工場等*","県域*"}))</f>
        <v>0</v>
      </c>
      <c r="IE72" s="927"/>
      <c r="IF72" s="927"/>
      <c r="IG72" s="927"/>
      <c r="IH72" s="927"/>
    </row>
    <row r="73" spans="2:242" s="889" customFormat="1" ht="20.100000000000001"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918">
        <f t="shared" si="67"/>
        <v>0</v>
      </c>
      <c r="HD73" s="928"/>
      <c r="HE73" s="921">
        <f t="shared" si="67"/>
        <v>0</v>
      </c>
      <c r="HF73" s="919">
        <f t="shared" si="67"/>
        <v>0</v>
      </c>
      <c r="HG73" s="918">
        <f>SUM(SUMIFS(K73:HB73,$K$13:$HB$13,{"エネルギー管理指定工場等*","県域*"}))</f>
        <v>0</v>
      </c>
      <c r="HH73" s="928"/>
      <c r="HI73" s="921">
        <f>SUM(SUMIFS(M73:HD73,$K$13:$HB$13,{"エネルギー管理指定工場等*","県域*"}))</f>
        <v>0</v>
      </c>
      <c r="HJ73" s="919">
        <f>SUM(SUMIFS(N73:HE73,$K$13:$HB$13,{"エネルギー管理指定工場等*","県域*"}))</f>
        <v>0</v>
      </c>
      <c r="IE73" s="927"/>
      <c r="IF73" s="927"/>
      <c r="IG73" s="927"/>
      <c r="IH73" s="927"/>
    </row>
    <row r="74" spans="2:242" s="889" customFormat="1" ht="20.100000000000001"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925">
        <f t="shared" si="67"/>
        <v>0</v>
      </c>
      <c r="HD74" s="929"/>
      <c r="HE74" s="922">
        <f t="shared" si="67"/>
        <v>0</v>
      </c>
      <c r="HF74" s="930">
        <f t="shared" si="67"/>
        <v>0</v>
      </c>
      <c r="HG74" s="925">
        <f>SUM(SUMIFS(K74:HB74,$K$13:$HB$13,{"エネルギー管理指定工場等*","県域*"}))</f>
        <v>0</v>
      </c>
      <c r="HH74" s="929"/>
      <c r="HI74" s="922">
        <f>SUM(SUMIFS(M74:HD74,$K$13:$HB$13,{"エネルギー管理指定工場等*","県域*"}))</f>
        <v>0</v>
      </c>
      <c r="HJ74" s="930">
        <f>SUM(SUMIFS(N74:HE74,$K$13:$HB$13,{"エネルギー管理指定工場等*","県域*"}))</f>
        <v>0</v>
      </c>
      <c r="IE74" s="927"/>
      <c r="IF74" s="927"/>
      <c r="IG74" s="927"/>
      <c r="IH74" s="927"/>
    </row>
    <row r="75" spans="2:242" s="889" customFormat="1" ht="39.6">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925">
        <f t="shared" si="67"/>
        <v>0</v>
      </c>
      <c r="HD75" s="929"/>
      <c r="HE75" s="922">
        <f t="shared" si="67"/>
        <v>0</v>
      </c>
      <c r="HF75" s="930">
        <f t="shared" si="67"/>
        <v>0</v>
      </c>
      <c r="HG75" s="925">
        <f>SUM(SUMIFS(K75:HB75,$K$13:$HB$13,{"エネルギー管理指定工場等*","県域*"}))</f>
        <v>0</v>
      </c>
      <c r="HH75" s="929"/>
      <c r="HI75" s="922">
        <f>SUM(SUMIFS(M75:HD75,$K$13:$HB$13,{"エネルギー管理指定工場等*","県域*"}))</f>
        <v>0</v>
      </c>
      <c r="HJ75" s="930">
        <f>SUM(SUMIFS(N75:HE75,$K$13:$HB$13,{"エネルギー管理指定工場等*","県域*"}))</f>
        <v>0</v>
      </c>
      <c r="IE75" s="927"/>
      <c r="IF75" s="927"/>
      <c r="IG75" s="927"/>
      <c r="IH75" s="927"/>
    </row>
    <row r="76" spans="2:242" s="889" customFormat="1" ht="20.100000000000001"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925">
        <f t="shared" si="67"/>
        <v>0</v>
      </c>
      <c r="HD76" s="929"/>
      <c r="HE76" s="922">
        <f t="shared" si="67"/>
        <v>0</v>
      </c>
      <c r="HF76" s="930">
        <f t="shared" si="67"/>
        <v>0</v>
      </c>
      <c r="HG76" s="925">
        <f>SUM(SUMIFS(K76:HB76,$K$13:$HB$13,{"エネルギー管理指定工場等*","県域*"}))</f>
        <v>0</v>
      </c>
      <c r="HH76" s="929"/>
      <c r="HI76" s="922">
        <f>SUM(SUMIFS(M76:HD76,$K$13:$HB$13,{"エネルギー管理指定工場等*","県域*"}))</f>
        <v>0</v>
      </c>
      <c r="HJ76" s="930">
        <f>SUM(SUMIFS(N76:HE76,$K$13:$HB$13,{"エネルギー管理指定工場等*","県域*"}))</f>
        <v>0</v>
      </c>
      <c r="IE76" s="927"/>
      <c r="IF76" s="927"/>
      <c r="IG76" s="927"/>
      <c r="IH76" s="927"/>
    </row>
    <row r="77" spans="2:242" s="889" customFormat="1" ht="20.100000000000001"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925">
        <f t="shared" si="67"/>
        <v>0</v>
      </c>
      <c r="HD77" s="929"/>
      <c r="HE77" s="922">
        <f t="shared" si="67"/>
        <v>0</v>
      </c>
      <c r="HF77" s="930">
        <f t="shared" si="67"/>
        <v>0</v>
      </c>
      <c r="HG77" s="925">
        <f>SUM(SUMIFS(K77:HB77,$K$13:$HB$13,{"エネルギー管理指定工場等*","県域*"}))</f>
        <v>0</v>
      </c>
      <c r="HH77" s="929"/>
      <c r="HI77" s="922">
        <f>SUM(SUMIFS(M77:HD77,$K$13:$HB$13,{"エネルギー管理指定工場等*","県域*"}))</f>
        <v>0</v>
      </c>
      <c r="HJ77" s="930">
        <f>SUM(SUMIFS(N77:HE77,$K$13:$HB$13,{"エネルギー管理指定工場等*","県域*"}))</f>
        <v>0</v>
      </c>
      <c r="IE77" s="927"/>
      <c r="IF77" s="927"/>
      <c r="IG77" s="927"/>
      <c r="IH77" s="927"/>
    </row>
    <row r="78" spans="2:242" s="889" customFormat="1" ht="20.100000000000001"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925">
        <f t="shared" si="67"/>
        <v>0</v>
      </c>
      <c r="HD78" s="929"/>
      <c r="HE78" s="922">
        <f t="shared" si="67"/>
        <v>0</v>
      </c>
      <c r="HF78" s="930">
        <f t="shared" si="67"/>
        <v>0</v>
      </c>
      <c r="HG78" s="925">
        <f>SUM(SUMIFS(K78:HB78,$K$13:$HB$13,{"エネルギー管理指定工場等*","県域*"}))</f>
        <v>0</v>
      </c>
      <c r="HH78" s="929"/>
      <c r="HI78" s="922">
        <f>SUM(SUMIFS(M78:HD78,$K$13:$HB$13,{"エネルギー管理指定工場等*","県域*"}))</f>
        <v>0</v>
      </c>
      <c r="HJ78" s="930">
        <f>SUM(SUMIFS(N78:HE78,$K$13:$HB$13,{"エネルギー管理指定工場等*","県域*"}))</f>
        <v>0</v>
      </c>
      <c r="IE78" s="927"/>
      <c r="IF78" s="927"/>
      <c r="IG78" s="927"/>
      <c r="IH78" s="927"/>
    </row>
    <row r="79" spans="2:242" s="889" customFormat="1" ht="20.100000000000001"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925">
        <f t="shared" si="67"/>
        <v>0</v>
      </c>
      <c r="HD79" s="929"/>
      <c r="HE79" s="922">
        <f t="shared" si="67"/>
        <v>0</v>
      </c>
      <c r="HF79" s="930">
        <f t="shared" si="67"/>
        <v>0</v>
      </c>
      <c r="HG79" s="925">
        <f>SUM(SUMIFS(K79:HB79,$K$13:$HB$13,{"エネルギー管理指定工場等*","県域*"}))</f>
        <v>0</v>
      </c>
      <c r="HH79" s="929"/>
      <c r="HI79" s="922">
        <f>SUM(SUMIFS(M79:HD79,$K$13:$HB$13,{"エネルギー管理指定工場等*","県域*"}))</f>
        <v>0</v>
      </c>
      <c r="HJ79" s="930">
        <f>SUM(SUMIFS(N79:HE79,$K$13:$HB$13,{"エネルギー管理指定工場等*","県域*"}))</f>
        <v>0</v>
      </c>
      <c r="IE79" s="927"/>
      <c r="IF79" s="927"/>
      <c r="IG79" s="927"/>
      <c r="IH79" s="927"/>
    </row>
    <row r="80" spans="2:242" s="889" customFormat="1" ht="20.100000000000001"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918">
        <f t="shared" si="67"/>
        <v>0</v>
      </c>
      <c r="HD80" s="928"/>
      <c r="HE80" s="921">
        <f t="shared" si="67"/>
        <v>0</v>
      </c>
      <c r="HF80" s="919">
        <f t="shared" si="67"/>
        <v>0</v>
      </c>
      <c r="HG80" s="918">
        <f>SUM(SUMIFS(K80:HB80,$K$13:$HB$13,{"エネルギー管理指定工場等*","県域*"}))</f>
        <v>0</v>
      </c>
      <c r="HH80" s="928"/>
      <c r="HI80" s="921">
        <f>SUM(SUMIFS(M80:HD80,$K$13:$HB$13,{"エネルギー管理指定工場等*","県域*"}))</f>
        <v>0</v>
      </c>
      <c r="HJ80" s="919">
        <f>SUM(SUMIFS(N80:HE80,$K$13:$HB$13,{"エネルギー管理指定工場等*","県域*"}))</f>
        <v>0</v>
      </c>
      <c r="IE80" s="927"/>
      <c r="IF80" s="927"/>
      <c r="IG80" s="927"/>
      <c r="IH80" s="927"/>
    </row>
    <row r="81" spans="2:242" s="889" customFormat="1" ht="59.4">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924">
        <f t="shared" si="67"/>
        <v>0</v>
      </c>
      <c r="HD81" s="932"/>
      <c r="HE81" s="932"/>
      <c r="HF81" s="931"/>
      <c r="HG81" s="924">
        <f>SUM(SUMIFS(K81:HB81,$K$13:$HB$13,{"エネルギー管理指定工場等*","県域*"}))</f>
        <v>0</v>
      </c>
      <c r="HH81" s="932"/>
      <c r="HI81" s="932"/>
      <c r="HJ81" s="931"/>
      <c r="IE81" s="927"/>
      <c r="IF81" s="927"/>
      <c r="IG81" s="927"/>
      <c r="IH81" s="927"/>
    </row>
    <row r="82" spans="2:242" s="889" customFormat="1" ht="20.100000000000001"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918">
        <f t="shared" ref="HC82:HC107" si="84">K82+O82+S82+W82+AA82+AE82+AI82+AM82+AQ82+AU82+AY82+BC82+BG82+BK82+BO82+BS82+BW82+CA82+CE82+CI82+CM82+CQ82+CU82+CY82+DC82+DG82+DK82+DO82+DS82+DW82+EA82+EE82+EI82+EM82+EQ82+EU82+EY82+FC82+FG82+FK82+FO82+FS82+FW82+GA82+GE82+GI82+GM82+GQ82+GU82+GY82</f>
        <v>0</v>
      </c>
      <c r="HD82" s="928"/>
      <c r="HE82" s="928"/>
      <c r="HF82" s="920"/>
      <c r="HG82" s="918">
        <f>SUM(SUMIFS(K82:HB82,$K$13:$HB$13,{"エネルギー管理指定工場等*","県域*"}))</f>
        <v>0</v>
      </c>
      <c r="HH82" s="928"/>
      <c r="HI82" s="928"/>
      <c r="HJ82" s="920"/>
      <c r="IE82" s="927"/>
      <c r="IF82" s="927"/>
      <c r="IG82" s="927"/>
      <c r="IH82" s="927"/>
    </row>
    <row r="83" spans="2:242" s="889" customFormat="1" ht="20.100000000000001"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918">
        <f t="shared" si="84"/>
        <v>0</v>
      </c>
      <c r="HD83" s="928"/>
      <c r="HE83" s="928"/>
      <c r="HF83" s="920"/>
      <c r="HG83" s="918">
        <f>SUM(SUMIFS(K83:HB83,$K$13:$HB$13,{"エネルギー管理指定工場等*","県域*"}))</f>
        <v>0</v>
      </c>
      <c r="HH83" s="928"/>
      <c r="HI83" s="928"/>
      <c r="HJ83" s="920"/>
      <c r="IE83" s="927"/>
      <c r="IF83" s="927"/>
      <c r="IG83" s="927"/>
      <c r="IH83" s="927"/>
    </row>
    <row r="84" spans="2:242" s="889" customFormat="1" ht="20.100000000000001"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918">
        <f t="shared" si="84"/>
        <v>0</v>
      </c>
      <c r="HD84" s="928"/>
      <c r="HE84" s="928"/>
      <c r="HF84" s="920"/>
      <c r="HG84" s="918">
        <f>SUM(SUMIFS(K84:HB84,$K$13:$HB$13,{"エネルギー管理指定工場等*","県域*"}))</f>
        <v>0</v>
      </c>
      <c r="HH84" s="928"/>
      <c r="HI84" s="928"/>
      <c r="HJ84" s="920"/>
      <c r="IE84" s="927"/>
      <c r="IF84" s="927"/>
      <c r="IG84" s="927"/>
      <c r="IH84" s="927"/>
    </row>
    <row r="85" spans="2:242" s="889" customFormat="1" ht="20.100000000000001"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918">
        <f t="shared" si="84"/>
        <v>0</v>
      </c>
      <c r="HD85" s="928"/>
      <c r="HE85" s="928"/>
      <c r="HF85" s="920"/>
      <c r="HG85" s="918">
        <f>SUM(SUMIFS(K85:HB85,$K$13:$HB$13,{"エネルギー管理指定工場等*","県域*"}))</f>
        <v>0</v>
      </c>
      <c r="HH85" s="928"/>
      <c r="HI85" s="928"/>
      <c r="HJ85" s="920"/>
      <c r="IE85" s="927"/>
      <c r="IF85" s="927"/>
      <c r="IG85" s="927"/>
      <c r="IH85" s="927"/>
    </row>
    <row r="86" spans="2:242" s="889" customFormat="1" ht="20.100000000000001"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918">
        <f t="shared" si="84"/>
        <v>0</v>
      </c>
      <c r="HD86" s="928"/>
      <c r="HE86" s="928"/>
      <c r="HF86" s="920"/>
      <c r="HG86" s="918">
        <f>SUM(SUMIFS(K86:HB86,$K$13:$HB$13,{"エネルギー管理指定工場等*","県域*"}))</f>
        <v>0</v>
      </c>
      <c r="HH86" s="928"/>
      <c r="HI86" s="928"/>
      <c r="HJ86" s="920"/>
      <c r="IE86" s="927"/>
      <c r="IF86" s="927"/>
      <c r="IG86" s="927"/>
      <c r="IH86" s="927"/>
    </row>
    <row r="87" spans="2:242" s="889" customFormat="1" ht="20.100000000000001"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918">
        <f t="shared" si="84"/>
        <v>0</v>
      </c>
      <c r="HD87" s="928"/>
      <c r="HE87" s="928"/>
      <c r="HF87" s="920"/>
      <c r="HG87" s="918">
        <f>SUM(SUMIFS(K87:HB87,$K$13:$HB$13,{"エネルギー管理指定工場等*","県域*"}))</f>
        <v>0</v>
      </c>
      <c r="HH87" s="928"/>
      <c r="HI87" s="928"/>
      <c r="HJ87" s="920"/>
      <c r="IE87" s="927"/>
      <c r="IF87" s="927"/>
      <c r="IG87" s="927"/>
      <c r="IH87" s="927"/>
    </row>
    <row r="88" spans="2:242" s="889" customFormat="1" ht="20.100000000000001"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918">
        <f t="shared" si="84"/>
        <v>0</v>
      </c>
      <c r="HD88" s="928"/>
      <c r="HE88" s="928"/>
      <c r="HF88" s="920"/>
      <c r="HG88" s="918">
        <f>SUM(SUMIFS(K88:HB88,$K$13:$HB$13,{"エネルギー管理指定工場等*","県域*"}))</f>
        <v>0</v>
      </c>
      <c r="HH88" s="928"/>
      <c r="HI88" s="928"/>
      <c r="HJ88" s="920"/>
      <c r="IE88" s="927"/>
      <c r="IF88" s="927"/>
      <c r="IG88" s="927"/>
      <c r="IH88" s="927"/>
    </row>
    <row r="89" spans="2:242" s="889" customFormat="1" ht="20.100000000000001" customHeight="1">
      <c r="B89" s="661"/>
      <c r="C89" s="675"/>
      <c r="D89" s="683" t="s">
        <v>1275</v>
      </c>
      <c r="E89" s="688"/>
      <c r="F89" s="662" t="s">
        <v>1266</v>
      </c>
      <c r="G89" s="669">
        <v>8.64</v>
      </c>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918">
        <f t="shared" si="84"/>
        <v>0</v>
      </c>
      <c r="HD89" s="928"/>
      <c r="HE89" s="928"/>
      <c r="HF89" s="920"/>
      <c r="HG89" s="918">
        <f>SUM(SUMIFS(K89:HB89,$K$13:$HB$13,{"エネルギー管理指定工場等*","県域*"}))</f>
        <v>0</v>
      </c>
      <c r="HH89" s="928"/>
      <c r="HI89" s="928"/>
      <c r="HJ89" s="920"/>
      <c r="IE89" s="927"/>
      <c r="IF89" s="927"/>
      <c r="IG89" s="927"/>
      <c r="IH89" s="927"/>
    </row>
    <row r="90" spans="2:242" s="889" customFormat="1" ht="20.100000000000001"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918">
        <f t="shared" si="84"/>
        <v>0</v>
      </c>
      <c r="HD90" s="928"/>
      <c r="HE90" s="928"/>
      <c r="HF90" s="920"/>
      <c r="HG90" s="918">
        <f>SUM(SUMIFS(K90:HB90,$K$13:$HB$13,{"エネルギー管理指定工場等*","県域*"}))</f>
        <v>0</v>
      </c>
      <c r="HH90" s="928"/>
      <c r="HI90" s="928"/>
      <c r="HJ90" s="920"/>
      <c r="IE90" s="927"/>
      <c r="IF90" s="927"/>
      <c r="IG90" s="927"/>
      <c r="IH90" s="927"/>
    </row>
    <row r="91" spans="2:242" s="889" customFormat="1" ht="20.100000000000001"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918">
        <f t="shared" si="84"/>
        <v>0</v>
      </c>
      <c r="HD91" s="928"/>
      <c r="HE91" s="928"/>
      <c r="HF91" s="920"/>
      <c r="HG91" s="918">
        <f>SUM(SUMIFS(K91:HB91,$K$13:$HB$13,{"エネルギー管理指定工場等*","県域*"}))</f>
        <v>0</v>
      </c>
      <c r="HH91" s="928"/>
      <c r="HI91" s="928"/>
      <c r="HJ91" s="920"/>
      <c r="IE91" s="927"/>
      <c r="IF91" s="927"/>
      <c r="IG91" s="927"/>
      <c r="IH91" s="927"/>
    </row>
    <row r="92" spans="2:242" s="889" customFormat="1" ht="20.100000000000001"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918">
        <f t="shared" si="84"/>
        <v>0</v>
      </c>
      <c r="HD92" s="928"/>
      <c r="HE92" s="921">
        <f t="shared" ref="HE92:HE107" si="85">M92+Q92+U92+Y92+AC92+AG92+AK92+AO92+AS92+AW92+BA92+BE92+BI92+BM92+BQ92+BU92+BY92+CC92+CG92+CK92+CO92+CS92+CW92+DA92+DE92+DI92+DM92+DQ92+DU92+DY92+EC92+EG92+EK92+EO92+ES92+EW92+FA92+FE92+FI92+FM92+FQ92+FU92+FY92+GC92+GG92+GK92+GO92+GS92+GW92+HA92</f>
        <v>0</v>
      </c>
      <c r="HF92" s="920"/>
      <c r="HG92" s="918">
        <f>SUM(SUMIFS(K92:HB92,$K$13:$HB$13,{"エネルギー管理指定工場等*","県域*"}))</f>
        <v>0</v>
      </c>
      <c r="HH92" s="928"/>
      <c r="HI92" s="921">
        <f>SUM(SUMIFS(M92:HD92,$K$13:$HB$13,{"エネルギー管理指定工場等*","県域*"}))</f>
        <v>0</v>
      </c>
      <c r="HJ92" s="920"/>
      <c r="IE92" s="927"/>
      <c r="IF92" s="927"/>
      <c r="IG92" s="927"/>
      <c r="IH92" s="927"/>
    </row>
    <row r="93" spans="2:242" s="889" customFormat="1" ht="20.100000000000001"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918">
        <f t="shared" si="84"/>
        <v>0</v>
      </c>
      <c r="HD93" s="928"/>
      <c r="HE93" s="928"/>
      <c r="HF93" s="920"/>
      <c r="HG93" s="918">
        <f>SUM(SUMIFS(K93:HB93,$K$13:$HB$13,{"エネルギー管理指定工場等*","県域*"}))</f>
        <v>0</v>
      </c>
      <c r="HH93" s="928"/>
      <c r="HI93" s="928"/>
      <c r="HJ93" s="920"/>
      <c r="IE93" s="927"/>
      <c r="IF93" s="927"/>
      <c r="IG93" s="927"/>
      <c r="IH93" s="927"/>
    </row>
    <row r="94" spans="2:242" s="889" customFormat="1" ht="20.100000000000001"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918">
        <f t="shared" si="84"/>
        <v>0</v>
      </c>
      <c r="HD94" s="928"/>
      <c r="HE94" s="921">
        <f t="shared" ref="HE94" si="86">M94+Q94+U94+Y94+AC94+AG94+AK94+AO94+AS94+AW94+BA94+BE94+BI94+BM94+BQ94+BU94+BY94+CC94+CG94+CK94+CO94+CS94+CW94+DA94+DE94+DI94+DM94+DQ94+DU94+DY94+EC94+EG94+EK94+EO94+ES94+EW94+FA94+FE94+FI94+FM94+FQ94+FU94+FY94+GC94+GG94+GK94+GO94+GS94+GW94+HA94</f>
        <v>0</v>
      </c>
      <c r="HF94" s="920"/>
      <c r="HG94" s="918">
        <f>SUM(SUMIFS(K94:HB94,$K$13:$HB$13,{"エネルギー管理指定工場等*","県域*"}))</f>
        <v>0</v>
      </c>
      <c r="HH94" s="928"/>
      <c r="HI94" s="921">
        <f>SUM(SUMIFS(M94:HD94,$K$13:$HB$13,{"エネルギー管理指定工場等*","県域*"}))</f>
        <v>0</v>
      </c>
      <c r="HJ94" s="920"/>
      <c r="IE94" s="927"/>
      <c r="IF94" s="927"/>
      <c r="IG94" s="927"/>
      <c r="IH94" s="927"/>
    </row>
    <row r="95" spans="2:242" s="889" customFormat="1" ht="20.100000000000001"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918">
        <f t="shared" si="84"/>
        <v>0</v>
      </c>
      <c r="HD95" s="928"/>
      <c r="HE95" s="928"/>
      <c r="HF95" s="920"/>
      <c r="HG95" s="918">
        <f>SUM(SUMIFS(K95:HB95,$K$13:$HB$13,{"エネルギー管理指定工場等*","県域*"}))</f>
        <v>0</v>
      </c>
      <c r="HH95" s="928"/>
      <c r="HI95" s="928"/>
      <c r="HJ95" s="920"/>
      <c r="IE95" s="927"/>
      <c r="IF95" s="927"/>
      <c r="IG95" s="927"/>
      <c r="IH95" s="927"/>
    </row>
    <row r="96" spans="2:242" s="889" customFormat="1" ht="20.100000000000001"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918">
        <f t="shared" si="84"/>
        <v>0</v>
      </c>
      <c r="HD96" s="928"/>
      <c r="HE96" s="921">
        <f t="shared" si="85"/>
        <v>0</v>
      </c>
      <c r="HF96" s="920"/>
      <c r="HG96" s="918">
        <f>SUM(SUMIFS(K96:HB96,$K$13:$HB$13,{"エネルギー管理指定工場等*","県域*"}))</f>
        <v>0</v>
      </c>
      <c r="HH96" s="928"/>
      <c r="HI96" s="921">
        <f>SUM(SUMIFS(M96:HD96,$K$13:$HB$13,{"エネルギー管理指定工場等*","県域*"}))</f>
        <v>0</v>
      </c>
      <c r="HJ96" s="920"/>
      <c r="IE96" s="927"/>
      <c r="IF96" s="927"/>
      <c r="IG96" s="927"/>
      <c r="IH96" s="927"/>
    </row>
    <row r="97" spans="2:242" s="889" customFormat="1" ht="20.100000000000001"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918">
        <f t="shared" si="84"/>
        <v>0</v>
      </c>
      <c r="HD97" s="928"/>
      <c r="HE97" s="928"/>
      <c r="HF97" s="920"/>
      <c r="HG97" s="918">
        <f>SUM(SUMIFS(K97:HB97,$K$13:$HB$13,{"エネルギー管理指定工場等*","県域*"}))</f>
        <v>0</v>
      </c>
      <c r="HH97" s="928"/>
      <c r="HI97" s="928"/>
      <c r="HJ97" s="920"/>
      <c r="IE97" s="927"/>
      <c r="IF97" s="927"/>
      <c r="IG97" s="927"/>
      <c r="IH97" s="927"/>
    </row>
    <row r="98" spans="2:242" s="889" customFormat="1" ht="20.100000000000001"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918">
        <f t="shared" si="84"/>
        <v>0</v>
      </c>
      <c r="HD98" s="928"/>
      <c r="HE98" s="921">
        <f t="shared" si="85"/>
        <v>0</v>
      </c>
      <c r="HF98" s="920"/>
      <c r="HG98" s="918">
        <f>SUM(SUMIFS(K98:HB98,$K$13:$HB$13,{"エネルギー管理指定工場等*","県域*"}))</f>
        <v>0</v>
      </c>
      <c r="HH98" s="928"/>
      <c r="HI98" s="921">
        <f>SUM(SUMIFS(M98:HD98,$K$13:$HB$13,{"エネルギー管理指定工場等*","県域*"}))</f>
        <v>0</v>
      </c>
      <c r="HJ98" s="920"/>
      <c r="IE98" s="927"/>
      <c r="IF98" s="927"/>
      <c r="IG98" s="927"/>
      <c r="IH98" s="927"/>
    </row>
    <row r="99" spans="2:242" s="889" customFormat="1" ht="20.100000000000001"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918">
        <f t="shared" si="84"/>
        <v>0</v>
      </c>
      <c r="HD99" s="928"/>
      <c r="HE99" s="928"/>
      <c r="HF99" s="920"/>
      <c r="HG99" s="918">
        <f>SUM(SUMIFS(K99:HB99,$K$13:$HB$13,{"エネルギー管理指定工場等*","県域*"}))</f>
        <v>0</v>
      </c>
      <c r="HH99" s="928"/>
      <c r="HI99" s="928"/>
      <c r="HJ99" s="920"/>
      <c r="IE99" s="927"/>
      <c r="IF99" s="927"/>
      <c r="IG99" s="927"/>
      <c r="IH99" s="927"/>
    </row>
    <row r="100" spans="2:242" s="889" customFormat="1" ht="99">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918">
        <f t="shared" si="84"/>
        <v>0</v>
      </c>
      <c r="HD100" s="928"/>
      <c r="HE100" s="921">
        <f t="shared" si="85"/>
        <v>0</v>
      </c>
      <c r="HF100" s="920"/>
      <c r="HG100" s="918">
        <f>SUM(SUMIFS(K100:HB100,$K$13:$HB$13,{"エネルギー管理指定工場等*","県域*"}))</f>
        <v>0</v>
      </c>
      <c r="HH100" s="928"/>
      <c r="HI100" s="921">
        <f>SUM(SUMIFS(M100:HD100,$K$13:$HB$13,{"エネルギー管理指定工場等*","県域*"}))</f>
        <v>0</v>
      </c>
      <c r="HJ100" s="920"/>
      <c r="IE100" s="927"/>
      <c r="IF100" s="927"/>
      <c r="IG100" s="927"/>
      <c r="IH100" s="927"/>
    </row>
    <row r="101" spans="2:242" s="889" customFormat="1" ht="20.100000000000001"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918">
        <f t="shared" si="84"/>
        <v>0</v>
      </c>
      <c r="HD101" s="928"/>
      <c r="HE101" s="928"/>
      <c r="HF101" s="920"/>
      <c r="HG101" s="918">
        <f>SUM(SUMIFS(K101:HB101,$K$13:$HB$13,{"エネルギー管理指定工場等*","県域*"}))</f>
        <v>0</v>
      </c>
      <c r="HH101" s="928"/>
      <c r="HI101" s="928"/>
      <c r="HJ101" s="920"/>
      <c r="IE101" s="927"/>
      <c r="IF101" s="927"/>
      <c r="IG101" s="927"/>
      <c r="IH101" s="927"/>
    </row>
    <row r="102" spans="2:242" s="889" customFormat="1" ht="20.100000000000001" customHeight="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918">
        <f t="shared" si="84"/>
        <v>0</v>
      </c>
      <c r="HD102" s="928"/>
      <c r="HE102" s="921">
        <f t="shared" si="85"/>
        <v>0</v>
      </c>
      <c r="HF102" s="920"/>
      <c r="HG102" s="918">
        <f>SUM(SUMIFS(K102:HB102,$K$13:$HB$13,{"エネルギー管理指定工場等*","県域*"}))</f>
        <v>0</v>
      </c>
      <c r="HH102" s="928"/>
      <c r="HI102" s="921">
        <f>SUM(SUMIFS(M102:HD102,$K$13:$HB$13,{"エネルギー管理指定工場等*","県域*"}))</f>
        <v>0</v>
      </c>
      <c r="HJ102" s="920"/>
      <c r="IE102" s="927"/>
      <c r="IF102" s="927"/>
      <c r="IG102" s="927"/>
      <c r="IH102" s="927"/>
    </row>
    <row r="103" spans="2:242" s="889" customFormat="1" ht="20.100000000000001"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918">
        <f t="shared" si="84"/>
        <v>0</v>
      </c>
      <c r="HD103" s="928"/>
      <c r="HE103" s="928"/>
      <c r="HF103" s="920"/>
      <c r="HG103" s="918">
        <f>SUM(SUMIFS(K103:HB103,$K$13:$HB$13,{"エネルギー管理指定工場等*","県域*"}))</f>
        <v>0</v>
      </c>
      <c r="HH103" s="928"/>
      <c r="HI103" s="928"/>
      <c r="HJ103" s="920"/>
      <c r="IE103" s="927"/>
      <c r="IF103" s="927"/>
      <c r="IG103" s="927"/>
      <c r="IH103" s="927"/>
    </row>
    <row r="104" spans="2:242" s="889" customFormat="1" ht="20.100000000000001"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918">
        <f t="shared" si="84"/>
        <v>0</v>
      </c>
      <c r="HD104" s="928"/>
      <c r="HE104" s="921">
        <f t="shared" si="85"/>
        <v>0</v>
      </c>
      <c r="HF104" s="920"/>
      <c r="HG104" s="918">
        <f>SUM(SUMIFS(K104:HB104,$K$13:$HB$13,{"エネルギー管理指定工場等*","県域*"}))</f>
        <v>0</v>
      </c>
      <c r="HH104" s="928"/>
      <c r="HI104" s="921">
        <f>SUM(SUMIFS(M104:HD104,$K$13:$HB$13,{"エネルギー管理指定工場等*","県域*"}))</f>
        <v>0</v>
      </c>
      <c r="HJ104" s="920"/>
      <c r="IE104" s="927"/>
      <c r="IF104" s="927"/>
      <c r="IG104" s="927"/>
      <c r="IH104" s="927"/>
    </row>
    <row r="105" spans="2:242" s="889" customFormat="1" ht="20.100000000000001"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918">
        <f t="shared" si="84"/>
        <v>0</v>
      </c>
      <c r="HD105" s="928"/>
      <c r="HE105" s="921">
        <f t="shared" si="85"/>
        <v>0</v>
      </c>
      <c r="HF105" s="920"/>
      <c r="HG105" s="918">
        <f>SUM(SUMIFS(K105:HB105,$K$13:$HB$13,{"エネルギー管理指定工場等*","県域*"}))</f>
        <v>0</v>
      </c>
      <c r="HH105" s="928"/>
      <c r="HI105" s="921">
        <f>SUM(SUMIFS(M105:HD105,$K$13:$HB$13,{"エネルギー管理指定工場等*","県域*"}))</f>
        <v>0</v>
      </c>
      <c r="HJ105" s="920"/>
      <c r="IE105" s="927"/>
      <c r="IF105" s="927"/>
      <c r="IG105" s="927"/>
      <c r="IH105" s="927"/>
    </row>
    <row r="106" spans="2:242" s="889" customFormat="1" ht="20.100000000000001"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918">
        <f t="shared" si="84"/>
        <v>0</v>
      </c>
      <c r="HD106" s="928"/>
      <c r="HE106" s="921">
        <f t="shared" si="85"/>
        <v>0</v>
      </c>
      <c r="HF106" s="920"/>
      <c r="HG106" s="918">
        <f>SUM(SUMIFS(K106:HB106,$K$13:$HB$13,{"エネルギー管理指定工場等*","県域*"}))</f>
        <v>0</v>
      </c>
      <c r="HH106" s="928"/>
      <c r="HI106" s="921">
        <f>SUM(SUMIFS(M106:HD106,$K$13:$HB$13,{"エネルギー管理指定工場等*","県域*"}))</f>
        <v>0</v>
      </c>
      <c r="HJ106" s="920"/>
      <c r="IE106" s="927"/>
      <c r="IF106" s="927"/>
      <c r="IG106" s="927"/>
      <c r="IH106" s="927"/>
    </row>
    <row r="107" spans="2:242" s="889" customFormat="1" ht="20.100000000000001"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933">
        <f t="shared" si="84"/>
        <v>0</v>
      </c>
      <c r="HD107" s="934"/>
      <c r="HE107" s="936">
        <f t="shared" si="85"/>
        <v>0</v>
      </c>
      <c r="HF107" s="935"/>
      <c r="HG107" s="933">
        <f>SUM(SUMIFS(K107:HB107,$K$13:$HB$13,{"エネルギー管理指定工場等*","県域*"}))</f>
        <v>0</v>
      </c>
      <c r="HH107" s="934"/>
      <c r="HI107" s="936">
        <f>SUM(SUMIFS(M107:HD107,$K$13:$HB$13,{"エネルギー管理指定工場等*","県域*"}))</f>
        <v>0</v>
      </c>
      <c r="HJ107" s="935"/>
      <c r="IE107" s="927"/>
      <c r="IF107" s="927"/>
      <c r="IG107" s="927"/>
      <c r="IH107" s="927"/>
    </row>
    <row r="108" spans="2:242" s="889" customFormat="1" ht="20.100000000000001"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881"/>
      <c r="HD108" s="881"/>
      <c r="HE108" s="881"/>
      <c r="HF108" s="881"/>
      <c r="HG108" s="881"/>
      <c r="HH108" s="881"/>
      <c r="HI108" s="881"/>
      <c r="HJ108" s="881"/>
      <c r="IE108" s="927"/>
      <c r="IF108" s="927"/>
      <c r="IG108" s="927"/>
      <c r="IH108" s="927"/>
    </row>
    <row r="109" spans="2:242" s="889" customFormat="1" ht="20.100000000000001"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881"/>
      <c r="HD109" s="881"/>
      <c r="HE109" s="881"/>
      <c r="HF109" s="881"/>
      <c r="HG109" s="881"/>
      <c r="HH109" s="881"/>
      <c r="HI109" s="881"/>
      <c r="HJ109" s="881"/>
      <c r="IE109" s="927"/>
      <c r="IF109" s="927"/>
      <c r="IG109" s="927"/>
      <c r="IH109" s="927"/>
    </row>
    <row r="110" spans="2:242" s="889" customFormat="1" ht="20.100000000000001"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881"/>
      <c r="HD110" s="881"/>
      <c r="HE110" s="881"/>
      <c r="HF110" s="881"/>
      <c r="HG110" s="881"/>
      <c r="HH110" s="881"/>
      <c r="HI110" s="881"/>
      <c r="HJ110" s="881"/>
      <c r="IE110" s="927"/>
      <c r="IF110" s="927"/>
      <c r="IG110" s="927"/>
      <c r="IH110" s="927"/>
    </row>
    <row r="111" spans="2:242" s="889" customFormat="1" ht="20.100000000000001"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937" t="s">
        <v>579</v>
      </c>
      <c r="HD111" s="938" t="s">
        <v>536</v>
      </c>
      <c r="HE111" s="938" t="s">
        <v>537</v>
      </c>
      <c r="HF111" s="939" t="s">
        <v>538</v>
      </c>
      <c r="HG111" s="937" t="s">
        <v>579</v>
      </c>
      <c r="HH111" s="938" t="s">
        <v>536</v>
      </c>
      <c r="HI111" s="938" t="s">
        <v>537</v>
      </c>
      <c r="HJ111" s="939" t="s">
        <v>538</v>
      </c>
      <c r="IE111" s="927"/>
      <c r="IF111" s="927"/>
      <c r="IG111" s="927"/>
      <c r="IH111" s="927"/>
    </row>
    <row r="112" spans="2:242" s="889" customFormat="1" ht="20.100000000000001"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94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942">
        <f t="shared" si="87"/>
        <v>0</v>
      </c>
      <c r="HE112" s="942">
        <f t="shared" si="87"/>
        <v>0</v>
      </c>
      <c r="HF112" s="940"/>
      <c r="HG112" s="941">
        <f>SUM(SUMIFS(K112:HB112,$K$13:$HB$13,{"エネルギー管理指定工場等*","県域*"}))</f>
        <v>0</v>
      </c>
      <c r="HH112" s="942">
        <f>SUM(SUMIFS(L112:HC112,$K$13:$HB$13,{"エネルギー管理指定工場等*","県域*"}))</f>
        <v>0</v>
      </c>
      <c r="HI112" s="942">
        <f>SUM(SUMIFS(M112:HD112,$K$13:$HB$13,{"エネルギー管理指定工場等*","県域*"}))</f>
        <v>0</v>
      </c>
      <c r="HJ112" s="940"/>
      <c r="IE112" s="927"/>
      <c r="IF112" s="927"/>
      <c r="IG112" s="927"/>
      <c r="IH112" s="927"/>
    </row>
    <row r="113" spans="2:242" s="889" customFormat="1" ht="20.100000000000001"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944">
        <f t="shared" si="87"/>
        <v>0</v>
      </c>
      <c r="HD113" s="945">
        <f t="shared" si="87"/>
        <v>0</v>
      </c>
      <c r="HE113" s="945">
        <f t="shared" si="87"/>
        <v>0</v>
      </c>
      <c r="HF113" s="946"/>
      <c r="HG113" s="944">
        <f>SUM(SUMIFS(K113:HB113,$K$13:$HB$13,{"エネルギー管理指定工場等*","県域*"}))</f>
        <v>0</v>
      </c>
      <c r="HH113" s="947">
        <f>SUM(SUMIFS(L113:HC113,$K$13:$HB$13,{"エネルギー管理指定工場等*","県域*"}))</f>
        <v>0</v>
      </c>
      <c r="HI113" s="947">
        <f>SUM(SUMIFS(M113:HD113,$K$13:$HB$13,{"エネルギー管理指定工場等*","県域*"}))</f>
        <v>0</v>
      </c>
      <c r="HJ113" s="943"/>
      <c r="IE113" s="927"/>
      <c r="IF113" s="927"/>
      <c r="IG113" s="927"/>
      <c r="IH113" s="927"/>
    </row>
    <row r="114" spans="2:242" s="889" customFormat="1" ht="20.100000000000001"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948">
        <f t="shared" si="87"/>
        <v>0</v>
      </c>
      <c r="HD114" s="947">
        <f t="shared" si="87"/>
        <v>0</v>
      </c>
      <c r="HE114" s="947">
        <f t="shared" si="87"/>
        <v>0</v>
      </c>
      <c r="HF114" s="943"/>
      <c r="HG114" s="948">
        <f>SUM(SUMIFS(K114:HB114,$K$13:$HB$13,{"エネルギー管理指定工場等*","県域*"}))</f>
        <v>0</v>
      </c>
      <c r="HH114" s="947">
        <f>SUM(SUMIFS(L114:HC114,$K$13:$HB$13,{"エネルギー管理指定工場等*","県域*"}))</f>
        <v>0</v>
      </c>
      <c r="HI114" s="947">
        <f>SUM(SUMIFS(M114:HD114,$K$13:$HB$13,{"エネルギー管理指定工場等*","県域*"}))</f>
        <v>0</v>
      </c>
      <c r="HJ114" s="943"/>
      <c r="IE114" s="927"/>
      <c r="IF114" s="927"/>
      <c r="IG114" s="927"/>
      <c r="IH114" s="927"/>
    </row>
    <row r="115" spans="2:242" s="889" customFormat="1" ht="20.100000000000001"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948">
        <f t="shared" si="87"/>
        <v>0</v>
      </c>
      <c r="HD115" s="947">
        <f t="shared" si="87"/>
        <v>0</v>
      </c>
      <c r="HE115" s="947">
        <f t="shared" si="87"/>
        <v>0</v>
      </c>
      <c r="HF115" s="943"/>
      <c r="HG115" s="948">
        <f>SUM(SUMIFS(K115:HB115,$K$13:$HB$13,{"エネルギー管理指定工場等*","県域*"}))</f>
        <v>0</v>
      </c>
      <c r="HH115" s="947">
        <f>SUM(SUMIFS(L115:HC115,$K$13:$HB$13,{"エネルギー管理指定工場等*","県域*"}))</f>
        <v>0</v>
      </c>
      <c r="HI115" s="947">
        <f>SUM(SUMIFS(M115:HD115,$K$13:$HB$13,{"エネルギー管理指定工場等*","県域*"}))</f>
        <v>0</v>
      </c>
      <c r="HJ115" s="943"/>
      <c r="IE115" s="927"/>
      <c r="IF115" s="927"/>
      <c r="IG115" s="927"/>
      <c r="IH115" s="927"/>
    </row>
    <row r="116" spans="2:242" s="889" customFormat="1" ht="20.100000000000001"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948">
        <f t="shared" si="87"/>
        <v>0</v>
      </c>
      <c r="HD116" s="947">
        <f t="shared" si="87"/>
        <v>0</v>
      </c>
      <c r="HE116" s="947">
        <f t="shared" si="87"/>
        <v>0</v>
      </c>
      <c r="HF116" s="943"/>
      <c r="HG116" s="948">
        <f>SUM(SUMIFS(K116:HB116,$K$13:$HB$13,{"エネルギー管理指定工場等*","県域*"}))</f>
        <v>0</v>
      </c>
      <c r="HH116" s="947">
        <f>SUM(SUMIFS(L116:HC116,$K$13:$HB$13,{"エネルギー管理指定工場等*","県域*"}))</f>
        <v>0</v>
      </c>
      <c r="HI116" s="947">
        <f>SUM(SUMIFS(M116:HD116,$K$13:$HB$13,{"エネルギー管理指定工場等*","県域*"}))</f>
        <v>0</v>
      </c>
      <c r="HJ116" s="943"/>
      <c r="IE116" s="927"/>
      <c r="IF116" s="927"/>
      <c r="IG116" s="927"/>
      <c r="IH116" s="927"/>
    </row>
    <row r="117" spans="2:242" s="889" customFormat="1" ht="20.100000000000001"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944">
        <f t="shared" si="87"/>
        <v>0</v>
      </c>
      <c r="HD117" s="945">
        <f t="shared" si="87"/>
        <v>0</v>
      </c>
      <c r="HE117" s="945">
        <f t="shared" si="87"/>
        <v>0</v>
      </c>
      <c r="HF117" s="946"/>
      <c r="HG117" s="944">
        <f>SUM(SUMIFS(K117:HB117,$K$13:$HB$13,{"エネルギー管理指定工場等*","県域*"}))</f>
        <v>0</v>
      </c>
      <c r="HH117" s="945">
        <f>SUM(SUMIFS(L117:HC117,$K$13:$HB$13,{"エネルギー管理指定工場等*","県域*"}))</f>
        <v>0</v>
      </c>
      <c r="HI117" s="945">
        <f>SUM(SUMIFS(M117:HD117,$K$13:$HB$13,{"エネルギー管理指定工場等*","県域*"}))</f>
        <v>0</v>
      </c>
      <c r="HJ117" s="946"/>
      <c r="IE117" s="927"/>
      <c r="IF117" s="927"/>
      <c r="IG117" s="927"/>
      <c r="IH117" s="927"/>
    </row>
    <row r="118" spans="2:242" s="889" customFormat="1" ht="20.100000000000001"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948">
        <f t="shared" si="87"/>
        <v>0</v>
      </c>
      <c r="HD118" s="947">
        <f t="shared" si="87"/>
        <v>0</v>
      </c>
      <c r="HE118" s="947">
        <f t="shared" si="87"/>
        <v>0</v>
      </c>
      <c r="HF118" s="943"/>
      <c r="HG118" s="948">
        <f>SUM(SUMIFS(K118:HB118,$K$13:$HB$13,{"エネルギー管理指定工場等*","県域*"}))</f>
        <v>0</v>
      </c>
      <c r="HH118" s="947">
        <f>SUM(SUMIFS(L118:HC118,$K$13:$HB$13,{"エネルギー管理指定工場等*","県域*"}))</f>
        <v>0</v>
      </c>
      <c r="HI118" s="947">
        <f>SUM(SUMIFS(M118:HD118,$K$13:$HB$13,{"エネルギー管理指定工場等*","県域*"}))</f>
        <v>0</v>
      </c>
      <c r="HJ118" s="943"/>
      <c r="IE118" s="927"/>
      <c r="IF118" s="927"/>
      <c r="IG118" s="927"/>
      <c r="IH118" s="927"/>
    </row>
    <row r="119" spans="2:242" s="889" customFormat="1" ht="20.100000000000001"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948">
        <f t="shared" si="87"/>
        <v>0</v>
      </c>
      <c r="HD119" s="947">
        <f t="shared" si="87"/>
        <v>0</v>
      </c>
      <c r="HE119" s="947">
        <f t="shared" si="87"/>
        <v>0</v>
      </c>
      <c r="HF119" s="943"/>
      <c r="HG119" s="948">
        <f>SUM(SUMIFS(K119:HB119,$K$13:$HB$13,{"エネルギー管理指定工場等*","県域*"}))</f>
        <v>0</v>
      </c>
      <c r="HH119" s="947">
        <f>SUM(SUMIFS(L119:HC119,$K$13:$HB$13,{"エネルギー管理指定工場等*","県域*"}))</f>
        <v>0</v>
      </c>
      <c r="HI119" s="947">
        <f>SUM(SUMIFS(M119:HD119,$K$13:$HB$13,{"エネルギー管理指定工場等*","県域*"}))</f>
        <v>0</v>
      </c>
      <c r="HJ119" s="943"/>
      <c r="IE119" s="927"/>
      <c r="IF119" s="927"/>
      <c r="IG119" s="927"/>
      <c r="IH119" s="927"/>
    </row>
    <row r="120" spans="2:242" s="889" customFormat="1" ht="20.100000000000001"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948">
        <f t="shared" si="87"/>
        <v>0</v>
      </c>
      <c r="HD120" s="947">
        <f t="shared" si="87"/>
        <v>0</v>
      </c>
      <c r="HE120" s="947">
        <f t="shared" si="87"/>
        <v>0</v>
      </c>
      <c r="HF120" s="943"/>
      <c r="HG120" s="948">
        <f>SUM(SUMIFS(K120:HB120,$K$13:$HB$13,{"エネルギー管理指定工場等*","県域*"}))</f>
        <v>0</v>
      </c>
      <c r="HH120" s="947">
        <f>SUM(SUMIFS(L120:HC120,$K$13:$HB$13,{"エネルギー管理指定工場等*","県域*"}))</f>
        <v>0</v>
      </c>
      <c r="HI120" s="947">
        <f>SUM(SUMIFS(M120:HD120,$K$13:$HB$13,{"エネルギー管理指定工場等*","県域*"}))</f>
        <v>0</v>
      </c>
      <c r="HJ120" s="943"/>
      <c r="IE120" s="927"/>
      <c r="IF120" s="927"/>
      <c r="IG120" s="927"/>
      <c r="IH120" s="927"/>
    </row>
    <row r="121" spans="2:242" s="889" customFormat="1" ht="20.100000000000001"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949">
        <f t="shared" si="87"/>
        <v>0</v>
      </c>
      <c r="HD121" s="950">
        <f t="shared" si="87"/>
        <v>0</v>
      </c>
      <c r="HE121" s="950">
        <f t="shared" si="87"/>
        <v>0</v>
      </c>
      <c r="HF121" s="951"/>
      <c r="HG121" s="949">
        <f>SUM(SUMIFS(K121:HB121,$K$13:$HB$13,{"エネルギー管理指定工場等*","県域*"}))</f>
        <v>0</v>
      </c>
      <c r="HH121" s="950">
        <f>SUM(SUMIFS(L121:HC121,$K$13:$HB$13,{"エネルギー管理指定工場等*","県域*"}))</f>
        <v>0</v>
      </c>
      <c r="HI121" s="950">
        <f>SUM(SUMIFS(M121:HD121,$K$13:$HB$13,{"エネルギー管理指定工場等*","県域*"}))</f>
        <v>0</v>
      </c>
      <c r="HJ121" s="951"/>
      <c r="IE121" s="927"/>
      <c r="IF121" s="927"/>
      <c r="IG121" s="927"/>
      <c r="IH121" s="927"/>
    </row>
    <row r="122" spans="2:242" s="889" customFormat="1" ht="20.100000000000001"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941">
        <f t="shared" si="87"/>
        <v>0</v>
      </c>
      <c r="HD122" s="952"/>
      <c r="HE122" s="942">
        <f t="shared" si="87"/>
        <v>0</v>
      </c>
      <c r="HF122" s="942">
        <f t="shared" si="87"/>
        <v>0</v>
      </c>
      <c r="HG122" s="941">
        <f>SUM(SUMIFS(K122:HB122,$K$13:$HB$13,{"エネルギー管理指定工場等*","県域*"}))</f>
        <v>0</v>
      </c>
      <c r="HH122" s="952"/>
      <c r="HI122" s="942">
        <f>SUM(SUMIFS(M122:HD122,$K$13:$HB$13,{"エネルギー管理指定工場等*","県域*"}))</f>
        <v>0</v>
      </c>
      <c r="HJ122" s="953">
        <f>SUM(SUMIFS(N122:HE122,$K$13:$HB$13,{"エネルギー管理指定工場等*","県域*"}))</f>
        <v>0</v>
      </c>
      <c r="IE122" s="927"/>
      <c r="IF122" s="927"/>
      <c r="IG122" s="927"/>
      <c r="IH122" s="927"/>
    </row>
    <row r="123" spans="2:242" s="889" customFormat="1" ht="20.100000000000001"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948">
        <f t="shared" si="87"/>
        <v>0</v>
      </c>
      <c r="HD123" s="954"/>
      <c r="HE123" s="947">
        <f t="shared" si="87"/>
        <v>0</v>
      </c>
      <c r="HF123" s="947">
        <f t="shared" si="87"/>
        <v>0</v>
      </c>
      <c r="HG123" s="948">
        <f>SUM(SUMIFS(K123:HB123,$K$13:$HB$13,{"エネルギー管理指定工場等*","県域*"}))</f>
        <v>0</v>
      </c>
      <c r="HH123" s="954"/>
      <c r="HI123" s="947">
        <f>SUM(SUMIFS(M123:HD123,$K$13:$HB$13,{"エネルギー管理指定工場等*","県域*"}))</f>
        <v>0</v>
      </c>
      <c r="HJ123" s="955">
        <f>SUM(SUMIFS(N123:HE123,$K$13:$HB$13,{"エネルギー管理指定工場等*","県域*"}))</f>
        <v>0</v>
      </c>
      <c r="IE123" s="927"/>
      <c r="IF123" s="927"/>
      <c r="IG123" s="927"/>
      <c r="IH123" s="927"/>
    </row>
    <row r="124" spans="2:242" s="889" customFormat="1" ht="20.100000000000001"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957">
        <f t="shared" si="87"/>
        <v>0</v>
      </c>
      <c r="HD124" s="956"/>
      <c r="HE124" s="958">
        <f t="shared" si="87"/>
        <v>0</v>
      </c>
      <c r="HF124" s="958">
        <f t="shared" si="87"/>
        <v>0</v>
      </c>
      <c r="HG124" s="957">
        <f>SUM(SUMIFS(K124:HB124,$K$13:$HB$13,{"エネルギー管理指定工場等*","県域*"}))</f>
        <v>0</v>
      </c>
      <c r="HH124" s="956"/>
      <c r="HI124" s="958">
        <f>SUM(SUMIFS(M124:HD124,$K$13:$HB$13,{"エネルギー管理指定工場等*","県域*"}))</f>
        <v>0</v>
      </c>
      <c r="HJ124" s="959">
        <f>SUM(SUMIFS(N124:HE124,$K$13:$HB$13,{"エネルギー管理指定工場等*","県域*"}))</f>
        <v>0</v>
      </c>
      <c r="IE124" s="927"/>
      <c r="IF124" s="927"/>
      <c r="IG124" s="927"/>
      <c r="IH124" s="927"/>
    </row>
    <row r="125" spans="2:242" s="889" customFormat="1" ht="20.100000000000001"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941">
        <f t="shared" si="87"/>
        <v>0</v>
      </c>
      <c r="HD125" s="952"/>
      <c r="HE125" s="942">
        <f t="shared" si="87"/>
        <v>0</v>
      </c>
      <c r="HF125" s="942">
        <f t="shared" si="87"/>
        <v>0</v>
      </c>
      <c r="HG125" s="941">
        <f>SUM(SUMIFS(K125:HB125,$K$13:$HB$13,{"エネルギー管理指定工場等*","県域*"}))</f>
        <v>0</v>
      </c>
      <c r="HH125" s="952"/>
      <c r="HI125" s="942">
        <f>SUM(SUMIFS(M125:HD125,$K$13:$HB$13,{"エネルギー管理指定工場等*","県域*"}))</f>
        <v>0</v>
      </c>
      <c r="HJ125" s="953">
        <f>SUM(SUMIFS(N125:HE125,$K$13:$HB$13,{"エネルギー管理指定工場等*","県域*"}))</f>
        <v>0</v>
      </c>
      <c r="IE125" s="927"/>
      <c r="IF125" s="927"/>
      <c r="IG125" s="927"/>
      <c r="IH125" s="927"/>
    </row>
    <row r="126" spans="2:242" s="889" customFormat="1" ht="20.100000000000001"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948">
        <f t="shared" si="87"/>
        <v>0</v>
      </c>
      <c r="HD126" s="954"/>
      <c r="HE126" s="947">
        <f t="shared" si="87"/>
        <v>0</v>
      </c>
      <c r="HF126" s="947">
        <f t="shared" si="87"/>
        <v>0</v>
      </c>
      <c r="HG126" s="948">
        <f>SUM(SUMIFS(K126:HB126,$K$13:$HB$13,{"エネルギー管理指定工場等*","県域*"}))</f>
        <v>0</v>
      </c>
      <c r="HH126" s="954"/>
      <c r="HI126" s="947">
        <f>SUM(SUMIFS(M126:HD126,$K$13:$HB$13,{"エネルギー管理指定工場等*","県域*"}))</f>
        <v>0</v>
      </c>
      <c r="HJ126" s="955">
        <f>SUM(SUMIFS(N126:HE126,$K$13:$HB$13,{"エネルギー管理指定工場等*","県域*"}))</f>
        <v>0</v>
      </c>
      <c r="IE126" s="927"/>
      <c r="IF126" s="927"/>
      <c r="IG126" s="927"/>
      <c r="IH126" s="927"/>
    </row>
    <row r="127" spans="2:242" s="889" customFormat="1" ht="20.100000000000001"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949">
        <f t="shared" si="87"/>
        <v>0</v>
      </c>
      <c r="HD127" s="960"/>
      <c r="HE127" s="950">
        <f t="shared" si="87"/>
        <v>0</v>
      </c>
      <c r="HF127" s="950">
        <f t="shared" si="87"/>
        <v>0</v>
      </c>
      <c r="HG127" s="949">
        <f>SUM(SUMIFS(K127:HB127,$K$13:$HB$13,{"エネルギー管理指定工場等*","県域*"}))</f>
        <v>0</v>
      </c>
      <c r="HH127" s="960"/>
      <c r="HI127" s="950">
        <f>SUM(SUMIFS(M127:HD127,$K$13:$HB$13,{"エネルギー管理指定工場等*","県域*"}))</f>
        <v>0</v>
      </c>
      <c r="HJ127" s="961">
        <f>SUM(SUMIFS(N127:HE127,$K$13:$HB$13,{"エネルギー管理指定工場等*","県域*"}))</f>
        <v>0</v>
      </c>
      <c r="IE127" s="927"/>
      <c r="IF127" s="927"/>
      <c r="IG127" s="927"/>
      <c r="IH127" s="927"/>
    </row>
    <row r="128" spans="2:242" s="889" customFormat="1" ht="20.100000000000001"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917">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962"/>
      <c r="HE128" s="923">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923">
        <f t="shared" si="89"/>
        <v>0</v>
      </c>
      <c r="HG128" s="917">
        <f>SUM(SUMIFS(K128:HB128,$K$13:$HB$13,{"エネルギー管理指定工場等*","県域*"}))</f>
        <v>0</v>
      </c>
      <c r="HH128" s="962"/>
      <c r="HI128" s="923">
        <f>SUM(SUMIFS(M128:HD128,$K$13:$HB$13,{"エネルギー管理指定工場等*","県域*"}))</f>
        <v>0</v>
      </c>
      <c r="HJ128" s="963">
        <f>SUM(SUMIFS(N128:HE128,$K$13:$HB$13,{"エネルギー管理指定工場等*","県域*"}))</f>
        <v>0</v>
      </c>
      <c r="IE128" s="927"/>
      <c r="IF128" s="927"/>
      <c r="IG128" s="927"/>
      <c r="IH128" s="927"/>
    </row>
    <row r="129" spans="1:242" s="889" customFormat="1" ht="20.100000000000001"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957">
        <f t="shared" si="88"/>
        <v>0</v>
      </c>
      <c r="HD129" s="956"/>
      <c r="HE129" s="958">
        <f t="shared" si="89"/>
        <v>0</v>
      </c>
      <c r="HF129" s="958">
        <f t="shared" si="89"/>
        <v>0</v>
      </c>
      <c r="HG129" s="957">
        <f>SUM(SUMIFS(K129:HB129,$K$13:$HB$13,{"エネルギー管理指定工場等*","県域*"}))</f>
        <v>0</v>
      </c>
      <c r="HH129" s="956"/>
      <c r="HI129" s="958">
        <f>SUM(SUMIFS(M129:HD129,$K$13:$HB$13,{"エネルギー管理指定工場等*","県域*"}))</f>
        <v>0</v>
      </c>
      <c r="HJ129" s="959">
        <f>SUM(SUMIFS(N129:HE129,$K$13:$HB$13,{"エネルギー管理指定工場等*","県域*"}))</f>
        <v>0</v>
      </c>
      <c r="IE129" s="927"/>
      <c r="IF129" s="927"/>
      <c r="IG129" s="927"/>
      <c r="IH129" s="927"/>
    </row>
    <row r="130" spans="1:242" s="889" customFormat="1" ht="20.100000000000001" customHeight="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949">
        <f t="shared" si="88"/>
        <v>0</v>
      </c>
      <c r="HD130" s="960"/>
      <c r="HE130" s="950">
        <f t="shared" si="89"/>
        <v>0</v>
      </c>
      <c r="HF130" s="950">
        <f t="shared" si="89"/>
        <v>0</v>
      </c>
      <c r="HG130" s="949">
        <f>SUM(SUMIFS(K130:HB130,$K$13:$HB$13,{"エネルギー管理指定工場等*","県域*"}))</f>
        <v>0</v>
      </c>
      <c r="HH130" s="960"/>
      <c r="HI130" s="950">
        <f>SUM(SUMIFS(M130:HD130,$K$13:$HB$13,{"エネルギー管理指定工場等*","県域*"}))</f>
        <v>0</v>
      </c>
      <c r="HJ130" s="961">
        <f>SUM(SUMIFS(N130:HE130,$K$13:$HB$13,{"エネルギー管理指定工場等*","県域*"}))</f>
        <v>0</v>
      </c>
      <c r="IE130" s="927"/>
      <c r="IF130" s="927"/>
      <c r="IG130" s="927"/>
      <c r="IH130" s="927"/>
    </row>
    <row r="131" spans="1:242" ht="20.100000000000001"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941">
        <f t="shared" si="88"/>
        <v>0</v>
      </c>
      <c r="HD131" s="952"/>
      <c r="HE131" s="952"/>
      <c r="HF131" s="940"/>
      <c r="HG131" s="941">
        <f>SUM(SUMIFS(K131:HB131,$K$13:$HB$13,{"エネルギー管理指定工場等*","県域*"}))</f>
        <v>0</v>
      </c>
      <c r="HH131" s="952"/>
      <c r="HI131" s="952"/>
      <c r="HJ131" s="940"/>
    </row>
    <row r="132" spans="1:242" ht="20.100000000000001"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948">
        <f t="shared" si="88"/>
        <v>0</v>
      </c>
      <c r="HD132" s="954"/>
      <c r="HE132" s="954"/>
      <c r="HF132" s="943"/>
      <c r="HG132" s="948">
        <f>SUM(SUMIFS(K132:HB132,$K$13:$HB$13,{"エネルギー管理指定工場等*","県域*"}))</f>
        <v>0</v>
      </c>
      <c r="HH132" s="954"/>
      <c r="HI132" s="954"/>
      <c r="HJ132" s="943"/>
    </row>
    <row r="133" spans="1:242" ht="20.100000000000001"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948">
        <f t="shared" si="88"/>
        <v>0</v>
      </c>
      <c r="HD133" s="954"/>
      <c r="HE133" s="954"/>
      <c r="HF133" s="943"/>
      <c r="HG133" s="948">
        <f>SUM(SUMIFS(K133:HB133,$K$13:$HB$13,{"エネルギー管理指定工場等*","県域*"}))</f>
        <v>0</v>
      </c>
      <c r="HH133" s="954"/>
      <c r="HI133" s="954"/>
      <c r="HJ133" s="943"/>
    </row>
    <row r="134" spans="1:242" ht="20.100000000000001"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948">
        <f t="shared" si="88"/>
        <v>0</v>
      </c>
      <c r="HD134" s="954"/>
      <c r="HE134" s="954"/>
      <c r="HF134" s="943"/>
      <c r="HG134" s="948">
        <f>SUM(SUMIFS(K134:HB134,$K$13:$HB$13,{"エネルギー管理指定工場等*","県域*"}))</f>
        <v>0</v>
      </c>
      <c r="HH134" s="954"/>
      <c r="HI134" s="954"/>
      <c r="HJ134" s="943"/>
    </row>
    <row r="135" spans="1:242" ht="20.100000000000001"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948">
        <f t="shared" si="88"/>
        <v>0</v>
      </c>
      <c r="HD135" s="954"/>
      <c r="HE135" s="954"/>
      <c r="HF135" s="943"/>
      <c r="HG135" s="948">
        <f>SUM(SUMIFS(K135:HB135,$K$13:$HB$13,{"エネルギー管理指定工場等*","県域*"}))</f>
        <v>0</v>
      </c>
      <c r="HH135" s="954"/>
      <c r="HI135" s="954"/>
      <c r="HJ135" s="943"/>
    </row>
    <row r="136" spans="1:242" ht="20.100000000000001"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948">
        <f t="shared" si="88"/>
        <v>0</v>
      </c>
      <c r="HD136" s="954"/>
      <c r="HE136" s="954"/>
      <c r="HF136" s="943"/>
      <c r="HG136" s="948">
        <f>SUM(SUMIFS(K136:HB136,$K$13:$HB$13,{"エネルギー管理指定工場等*","県域*"}))</f>
        <v>0</v>
      </c>
      <c r="HH136" s="954"/>
      <c r="HI136" s="954"/>
      <c r="HJ136" s="943"/>
    </row>
    <row r="137" spans="1:242" ht="20.100000000000001"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948">
        <f t="shared" si="88"/>
        <v>0</v>
      </c>
      <c r="HD137" s="954"/>
      <c r="HE137" s="954"/>
      <c r="HF137" s="943"/>
      <c r="HG137" s="948">
        <f>SUM(SUMIFS(K137:HB137,$K$13:$HB$13,{"エネルギー管理指定工場等*","県域*"}))</f>
        <v>0</v>
      </c>
      <c r="HH137" s="954"/>
      <c r="HI137" s="954"/>
      <c r="HJ137" s="943"/>
    </row>
    <row r="138" spans="1:242" ht="20.100000000000001"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948">
        <f t="shared" si="88"/>
        <v>0</v>
      </c>
      <c r="HD138" s="954"/>
      <c r="HE138" s="954"/>
      <c r="HF138" s="943"/>
      <c r="HG138" s="948">
        <f>SUM(SUMIFS(K138:HB138,$K$13:$HB$13,{"エネルギー管理指定工場等*","県域*"}))</f>
        <v>0</v>
      </c>
      <c r="HH138" s="954"/>
      <c r="HI138" s="954"/>
      <c r="HJ138" s="943"/>
    </row>
    <row r="139" spans="1:242" ht="20.100000000000001"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948">
        <f t="shared" si="88"/>
        <v>0</v>
      </c>
      <c r="HD139" s="954"/>
      <c r="HE139" s="954"/>
      <c r="HF139" s="943"/>
      <c r="HG139" s="948">
        <f>SUM(SUMIFS(K139:HB139,$K$13:$HB$13,{"エネルギー管理指定工場等*","県域*"}))</f>
        <v>0</v>
      </c>
      <c r="HH139" s="954"/>
      <c r="HI139" s="954"/>
      <c r="HJ139" s="943"/>
    </row>
    <row r="140" spans="1:242" ht="20.100000000000001"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949">
        <f t="shared" si="88"/>
        <v>0</v>
      </c>
      <c r="HD140" s="960"/>
      <c r="HE140" s="960"/>
      <c r="HF140" s="951"/>
      <c r="HG140" s="949">
        <f>SUM(SUMIFS(K140:HB140,$K$13:$HB$13,{"エネルギー管理指定工場等*","県域*"}))</f>
        <v>0</v>
      </c>
      <c r="HH140" s="960"/>
      <c r="HI140" s="960"/>
      <c r="HJ140" s="951"/>
    </row>
    <row r="141" spans="1:242" ht="20.100000000000001"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941">
        <f t="shared" si="88"/>
        <v>0</v>
      </c>
      <c r="HD141" s="952"/>
      <c r="HE141" s="952"/>
      <c r="HF141" s="940"/>
      <c r="HG141" s="941">
        <f>SUM(SUMIFS(K141:HB141,$K$13:$HB$13,{"エネルギー管理指定工場等*","県域*"}))</f>
        <v>0</v>
      </c>
      <c r="HH141" s="952"/>
      <c r="HI141" s="952"/>
      <c r="HJ141" s="940"/>
    </row>
    <row r="142" spans="1:242" ht="20.100000000000001"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948">
        <f t="shared" si="88"/>
        <v>0</v>
      </c>
      <c r="HD142" s="954"/>
      <c r="HE142" s="954"/>
      <c r="HF142" s="943"/>
      <c r="HG142" s="948">
        <f>SUM(SUMIFS(K142:HB142,$K$13:$HB$13,{"エネルギー管理指定工場等*","県域*"}))</f>
        <v>0</v>
      </c>
      <c r="HH142" s="954"/>
      <c r="HI142" s="954"/>
      <c r="HJ142" s="943"/>
    </row>
    <row r="143" spans="1:242" ht="20.100000000000001"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948">
        <f t="shared" si="88"/>
        <v>0</v>
      </c>
      <c r="HD143" s="954"/>
      <c r="HE143" s="954"/>
      <c r="HF143" s="943"/>
      <c r="HG143" s="948">
        <f>SUM(SUMIFS(K143:HB143,$K$13:$HB$13,{"エネルギー管理指定工場等*","県域*"}))</f>
        <v>0</v>
      </c>
      <c r="HH143" s="954"/>
      <c r="HI143" s="954"/>
      <c r="HJ143" s="943"/>
    </row>
    <row r="144" spans="1:242" ht="20.100000000000001"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948">
        <f t="shared" si="88"/>
        <v>0</v>
      </c>
      <c r="HD144" s="954"/>
      <c r="HE144" s="954"/>
      <c r="HF144" s="943"/>
      <c r="HG144" s="948">
        <f>SUM(SUMIFS(K144:HB144,$K$13:$HB$13,{"エネルギー管理指定工場等*","県域*"}))</f>
        <v>0</v>
      </c>
      <c r="HH144" s="954"/>
      <c r="HI144" s="954"/>
      <c r="HJ144" s="943"/>
    </row>
    <row r="145" spans="1:218" ht="20.100000000000001"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948">
        <f t="shared" si="88"/>
        <v>0</v>
      </c>
      <c r="HD145" s="954"/>
      <c r="HE145" s="954"/>
      <c r="HF145" s="943"/>
      <c r="HG145" s="948">
        <f>SUM(SUMIFS(K145:HB145,$K$13:$HB$13,{"エネルギー管理指定工場等*","県域*"}))</f>
        <v>0</v>
      </c>
      <c r="HH145" s="954"/>
      <c r="HI145" s="954"/>
      <c r="HJ145" s="943"/>
    </row>
    <row r="146" spans="1:218" ht="20.100000000000001"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948">
        <f t="shared" si="88"/>
        <v>0</v>
      </c>
      <c r="HD146" s="954"/>
      <c r="HE146" s="954"/>
      <c r="HF146" s="943"/>
      <c r="HG146" s="948">
        <f>SUM(SUMIFS(K146:HB146,$K$13:$HB$13,{"エネルギー管理指定工場等*","県域*"}))</f>
        <v>0</v>
      </c>
      <c r="HH146" s="954"/>
      <c r="HI146" s="954"/>
      <c r="HJ146" s="943"/>
    </row>
    <row r="147" spans="1:218" ht="20.100000000000001"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948">
        <f t="shared" si="88"/>
        <v>0</v>
      </c>
      <c r="HD147" s="954"/>
      <c r="HE147" s="954"/>
      <c r="HF147" s="943"/>
      <c r="HG147" s="948">
        <f>SUM(SUMIFS(K147:HB147,$K$13:$HB$13,{"エネルギー管理指定工場等*","県域*"}))</f>
        <v>0</v>
      </c>
      <c r="HH147" s="954"/>
      <c r="HI147" s="954"/>
      <c r="HJ147" s="943"/>
    </row>
    <row r="148" spans="1:218" ht="20.100000000000001"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948">
        <f t="shared" si="88"/>
        <v>0</v>
      </c>
      <c r="HD148" s="954"/>
      <c r="HE148" s="954"/>
      <c r="HF148" s="943"/>
      <c r="HG148" s="948">
        <f>SUM(SUMIFS(K148:HB148,$K$13:$HB$13,{"エネルギー管理指定工場等*","県域*"}))</f>
        <v>0</v>
      </c>
      <c r="HH148" s="954"/>
      <c r="HI148" s="954"/>
      <c r="HJ148" s="943"/>
    </row>
    <row r="149" spans="1:218" ht="20.100000000000001"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948">
        <f t="shared" si="88"/>
        <v>0</v>
      </c>
      <c r="HD149" s="954"/>
      <c r="HE149" s="954"/>
      <c r="HF149" s="943"/>
      <c r="HG149" s="948">
        <f>SUM(SUMIFS(K149:HB149,$K$13:$HB$13,{"エネルギー管理指定工場等*","県域*"}))</f>
        <v>0</v>
      </c>
      <c r="HH149" s="954"/>
      <c r="HI149" s="954"/>
      <c r="HJ149" s="943"/>
    </row>
    <row r="150" spans="1:218" ht="20.100000000000001"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949">
        <f t="shared" si="88"/>
        <v>0</v>
      </c>
      <c r="HD150" s="960"/>
      <c r="HE150" s="960"/>
      <c r="HF150" s="951"/>
      <c r="HG150" s="949">
        <f>SUM(SUMIFS(K150:HB150,$K$13:$HB$13,{"エネルギー管理指定工場等*","県域*"}))</f>
        <v>0</v>
      </c>
      <c r="HH150" s="960"/>
      <c r="HI150" s="960"/>
      <c r="HJ150" s="951"/>
    </row>
    <row r="151" spans="1:218" ht="20.100000000000001"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941">
        <f t="shared" si="88"/>
        <v>0</v>
      </c>
      <c r="HD151" s="952"/>
      <c r="HE151" s="952"/>
      <c r="HF151" s="940"/>
      <c r="HG151" s="941">
        <f>SUM(SUMIFS(K151:HB151,$K$13:$HB$13,{"エネルギー管理指定工場等*","県域*"}))</f>
        <v>0</v>
      </c>
      <c r="HH151" s="952"/>
      <c r="HI151" s="952"/>
      <c r="HJ151" s="940"/>
    </row>
    <row r="152" spans="1:218" ht="20.100000000000001"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948">
        <f t="shared" si="88"/>
        <v>0</v>
      </c>
      <c r="HD152" s="954"/>
      <c r="HE152" s="954"/>
      <c r="HF152" s="943"/>
      <c r="HG152" s="948">
        <f>SUM(SUMIFS(K152:HB152,$K$13:$HB$13,{"エネルギー管理指定工場等*","県域*"}))</f>
        <v>0</v>
      </c>
      <c r="HH152" s="954"/>
      <c r="HI152" s="954"/>
      <c r="HJ152" s="943"/>
    </row>
    <row r="153" spans="1:218" ht="20.100000000000001"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948">
        <f t="shared" si="88"/>
        <v>0</v>
      </c>
      <c r="HD153" s="954"/>
      <c r="HE153" s="954"/>
      <c r="HF153" s="943"/>
      <c r="HG153" s="948">
        <f>SUM(SUMIFS(K153:HB153,$K$13:$HB$13,{"エネルギー管理指定工場等*","県域*"}))</f>
        <v>0</v>
      </c>
      <c r="HH153" s="954"/>
      <c r="HI153" s="954"/>
      <c r="HJ153" s="943"/>
    </row>
    <row r="154" spans="1:218" ht="20.100000000000001"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948">
        <f t="shared" si="88"/>
        <v>0</v>
      </c>
      <c r="HD154" s="954"/>
      <c r="HE154" s="954"/>
      <c r="HF154" s="943"/>
      <c r="HG154" s="948">
        <f>SUM(SUMIFS(K154:HB154,$K$13:$HB$13,{"エネルギー管理指定工場等*","県域*"}))</f>
        <v>0</v>
      </c>
      <c r="HH154" s="954"/>
      <c r="HI154" s="954"/>
      <c r="HJ154" s="943"/>
    </row>
    <row r="155" spans="1:218" ht="20.100000000000001"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948">
        <f t="shared" si="88"/>
        <v>0</v>
      </c>
      <c r="HD155" s="954"/>
      <c r="HE155" s="954"/>
      <c r="HF155" s="943"/>
      <c r="HG155" s="948">
        <f>SUM(SUMIFS(K155:HB155,$K$13:$HB$13,{"エネルギー管理指定工場等*","県域*"}))</f>
        <v>0</v>
      </c>
      <c r="HH155" s="954"/>
      <c r="HI155" s="954"/>
      <c r="HJ155" s="943"/>
    </row>
    <row r="156" spans="1:218" ht="20.100000000000001"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948">
        <f t="shared" si="88"/>
        <v>0</v>
      </c>
      <c r="HD156" s="954"/>
      <c r="HE156" s="954"/>
      <c r="HF156" s="943"/>
      <c r="HG156" s="948">
        <f>SUM(SUMIFS(K156:HB156,$K$13:$HB$13,{"エネルギー管理指定工場等*","県域*"}))</f>
        <v>0</v>
      </c>
      <c r="HH156" s="954"/>
      <c r="HI156" s="954"/>
      <c r="HJ156" s="943"/>
    </row>
    <row r="157" spans="1:218" ht="20.100000000000001"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948">
        <f t="shared" si="88"/>
        <v>0</v>
      </c>
      <c r="HD157" s="954"/>
      <c r="HE157" s="954"/>
      <c r="HF157" s="943"/>
      <c r="HG157" s="948">
        <f>SUM(SUMIFS(K157:HB157,$K$13:$HB$13,{"エネルギー管理指定工場等*","県域*"}))</f>
        <v>0</v>
      </c>
      <c r="HH157" s="954"/>
      <c r="HI157" s="954"/>
      <c r="HJ157" s="943"/>
    </row>
    <row r="158" spans="1:218" ht="20.100000000000001"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948">
        <f t="shared" si="88"/>
        <v>0</v>
      </c>
      <c r="HD158" s="954"/>
      <c r="HE158" s="954"/>
      <c r="HF158" s="943"/>
      <c r="HG158" s="948">
        <f>SUM(SUMIFS(K158:HB158,$K$13:$HB$13,{"エネルギー管理指定工場等*","県域*"}))</f>
        <v>0</v>
      </c>
      <c r="HH158" s="954"/>
      <c r="HI158" s="954"/>
      <c r="HJ158" s="943"/>
    </row>
    <row r="159" spans="1:218" ht="20.100000000000001"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948">
        <f t="shared" si="88"/>
        <v>0</v>
      </c>
      <c r="HD159" s="954"/>
      <c r="HE159" s="954"/>
      <c r="HF159" s="943"/>
      <c r="HG159" s="948">
        <f>SUM(SUMIFS(K159:HB159,$K$13:$HB$13,{"エネルギー管理指定工場等*","県域*"}))</f>
        <v>0</v>
      </c>
      <c r="HH159" s="954"/>
      <c r="HI159" s="954"/>
      <c r="HJ159" s="943"/>
    </row>
    <row r="160" spans="1:218" ht="20.100000000000001"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966">
        <f t="shared" si="88"/>
        <v>0</v>
      </c>
      <c r="HD160" s="964"/>
      <c r="HE160" s="964"/>
      <c r="HF160" s="965"/>
      <c r="HG160" s="966">
        <f>SUM(SUMIFS(K160:HB160,$K$13:$HB$13,{"エネルギー管理指定工場等*","県域*"}))</f>
        <v>0</v>
      </c>
      <c r="HH160" s="964"/>
      <c r="HI160" s="964"/>
      <c r="HJ160" s="965"/>
    </row>
    <row r="161" spans="1:210" ht="20.100000000000001"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20.100000000000001"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20.100000000000001"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20.100000000000001"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20.100000000000001"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20.100000000000001"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889"/>
      <c r="B167" s="617"/>
      <c r="C167" s="812"/>
      <c r="D167" s="815"/>
      <c r="E167" s="808" t="s">
        <v>1349</v>
      </c>
      <c r="F167" s="810"/>
      <c r="G167" s="811" t="s">
        <v>587</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20.100000000000001"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20.100000000000001"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20.100000000000001"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20.100000000000001" customHeight="1">
      <c r="A172" s="889"/>
      <c r="B172" s="617"/>
      <c r="C172" s="812"/>
      <c r="D172" s="816"/>
      <c r="E172" s="808" t="s">
        <v>1354</v>
      </c>
      <c r="F172" s="810"/>
      <c r="G172" s="811" t="s">
        <v>587</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20.100000000000001"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100000000000001"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20.100000000000001"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20.100000000000001"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100000000000001"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20.100000000000001"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20.100000000000001"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20.100000000000001"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20.100000000000001"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20.100000000000001"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20.100000000000001"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20.100000000000001"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20.100000000000001"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20.100000000000001"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20.100000000000001"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20.100000000000001"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20.100000000000001"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20.100000000000001"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20.100000000000001"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20.100000000000001"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20.100000000000001"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20.100000000000001"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20.100000000000001"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20.100000000000001"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20.100000000000001"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20.100000000000001"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20.100000000000001"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20.100000000000001"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20.100000000000001"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20.100000000000001"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20.100000000000001"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20.100000000000001"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20.100000000000001"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20.100000000000001"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ht="20.399999999999999" thickBot="1">
      <c r="A207" s="889"/>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42" s="889" customFormat="1" ht="20.100000000000001"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20.100000000000001"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20.100000000000001"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20.100000000000001"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s="889" customFormat="1" ht="20.100000000000001" customHeight="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IE212" s="927"/>
      <c r="IF212" s="927"/>
      <c r="IG212" s="927"/>
      <c r="IH212" s="927"/>
    </row>
    <row r="213" spans="1:242" ht="20.100000000000001"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20.100000000000001"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20.100000000000001"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20.100000000000001"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20.100000000000001"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20.100000000000001"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20.100000000000001"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20.100000000000001"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20.100000000000001"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20.100000000000001"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20.100000000000001"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5" spans="1:242" s="879" customFormat="1" ht="20.100000000000001" hidden="1" customHeight="1">
      <c r="A225" s="898" t="s">
        <v>657</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IE225" s="975"/>
      <c r="IF225" s="975"/>
      <c r="IG225" s="975"/>
      <c r="IH225" s="975"/>
    </row>
    <row r="226" spans="1:242" s="889" customFormat="1" ht="20.100000000000001" hidden="1" customHeight="1">
      <c r="A226" s="976">
        <v>0</v>
      </c>
      <c r="B226" s="977" t="s">
        <v>658</v>
      </c>
      <c r="E226" s="881"/>
      <c r="F226" s="1368" t="s">
        <v>596</v>
      </c>
      <c r="G226" s="1369" t="s">
        <v>597</v>
      </c>
      <c r="H226" s="1369"/>
      <c r="I226" s="978" t="s">
        <v>598</v>
      </c>
      <c r="J226" s="979"/>
      <c r="K226" s="980" t="str">
        <f ca="1">OFFSET(貼付け_2026実績,4,SUM(COLUMN()-COLUMN(貼付け_2026実績)))</f>
        <v>横浜1</v>
      </c>
      <c r="L226" s="981"/>
      <c r="M226" s="981"/>
      <c r="N226" s="982"/>
      <c r="O226" s="980" t="str">
        <f ca="1">OFFSET(貼付け_2026実績,4,SUM(COLUMN()-COLUMN(貼付け_2026実績)))</f>
        <v>横浜2</v>
      </c>
      <c r="P226" s="981"/>
      <c r="Q226" s="981"/>
      <c r="R226" s="982"/>
      <c r="S226" s="980" t="str">
        <f ca="1">OFFSET(貼付け_2026実績,4,SUM(COLUMN()-COLUMN(貼付け_2026実績)))</f>
        <v>横浜3</v>
      </c>
      <c r="T226" s="981"/>
      <c r="U226" s="981"/>
      <c r="V226" s="982"/>
      <c r="W226" s="980" t="str">
        <f ca="1">OFFSET(貼付け_2026実績,4,SUM(COLUMN()-COLUMN(貼付け_2026実績)))</f>
        <v>県域1</v>
      </c>
      <c r="X226" s="981"/>
      <c r="Y226" s="981"/>
      <c r="Z226" s="982"/>
      <c r="AA226" s="980" t="str">
        <f ca="1">OFFSET(貼付け_2026実績,4,SUM(COLUMN()-COLUMN(貼付け_2026実績)))</f>
        <v>県域2</v>
      </c>
      <c r="AB226" s="981"/>
      <c r="AC226" s="981"/>
      <c r="AD226" s="982"/>
      <c r="AE226" s="980" t="str">
        <f ca="1">OFFSET(貼付け_2026実績,4,SUM(COLUMN()-COLUMN(貼付け_2026実績)))</f>
        <v>県域3</v>
      </c>
      <c r="AF226" s="981"/>
      <c r="AG226" s="981"/>
      <c r="AH226" s="982"/>
      <c r="AI226" s="980" t="str">
        <f ca="1">OFFSET(貼付け_2026実績,4,SUM(COLUMN()-COLUMN(貼付け_2026実績)))</f>
        <v>エネルギー管理指定工場等1</v>
      </c>
      <c r="AJ226" s="981"/>
      <c r="AK226" s="981"/>
      <c r="AL226" s="982"/>
      <c r="AM226" s="980" t="str">
        <f ca="1">OFFSET(貼付け_2026実績,4,SUM(COLUMN()-COLUMN(貼付け_2026実績)))</f>
        <v>エネルギー管理指定工場等2</v>
      </c>
      <c r="AN226" s="981"/>
      <c r="AO226" s="981"/>
      <c r="AP226" s="982"/>
      <c r="AQ226" s="980" t="str">
        <f ca="1">OFFSET(貼付け_2026実績,4,SUM(COLUMN()-COLUMN(貼付け_2026実績)))</f>
        <v>エネルギー管理指定工場等3</v>
      </c>
      <c r="AR226" s="981"/>
      <c r="AS226" s="981"/>
      <c r="AT226" s="982"/>
      <c r="AU226" s="980" t="str">
        <f ca="1">OFFSET(貼付け_2026実績,4,SUM(COLUMN()-COLUMN(貼付け_2026実績)))</f>
        <v>エネルギー管理指定工場等4</v>
      </c>
      <c r="AV226" s="981"/>
      <c r="AW226" s="981"/>
      <c r="AX226" s="982"/>
      <c r="AY226" s="980" t="str">
        <f ca="1">OFFSET(貼付け_2026実績,4,SUM(COLUMN()-COLUMN(貼付け_2026実績)))</f>
        <v>エネルギー管理指定工場等5</v>
      </c>
      <c r="AZ226" s="981"/>
      <c r="BA226" s="981"/>
      <c r="BB226" s="982"/>
      <c r="BC226" s="980" t="str">
        <f ca="1">OFFSET(貼付け_2026実績,4,SUM(COLUMN()-COLUMN(貼付け_2026実績)))</f>
        <v>エネルギー管理指定工場等6</v>
      </c>
      <c r="BD226" s="981"/>
      <c r="BE226" s="981"/>
      <c r="BF226" s="982"/>
      <c r="BG226" s="980" t="str">
        <f ca="1">OFFSET(貼付け_2026実績,4,SUM(COLUMN()-COLUMN(貼付け_2026実績)))</f>
        <v>エネルギー管理指定工場等7</v>
      </c>
      <c r="BH226" s="981"/>
      <c r="BI226" s="981"/>
      <c r="BJ226" s="982"/>
      <c r="BK226" s="980" t="str">
        <f ca="1">OFFSET(貼付け_2026実績,4,SUM(COLUMN()-COLUMN(貼付け_2026実績)))</f>
        <v>エネルギー管理指定工場等8</v>
      </c>
      <c r="BL226" s="981"/>
      <c r="BM226" s="981"/>
      <c r="BN226" s="982"/>
      <c r="BO226" s="980" t="str">
        <f ca="1">OFFSET(貼付け_2026実績,4,SUM(COLUMN()-COLUMN(貼付け_2026実績)))</f>
        <v>エネルギー管理指定工場等9</v>
      </c>
      <c r="BP226" s="981"/>
      <c r="BQ226" s="981"/>
      <c r="BR226" s="982"/>
      <c r="BS226" s="980" t="str">
        <f ca="1">OFFSET(貼付け_2026実績,4,SUM(COLUMN()-COLUMN(貼付け_2026実績)))</f>
        <v>エネルギー管理指定工場等10</v>
      </c>
      <c r="BT226" s="981"/>
      <c r="BU226" s="981"/>
      <c r="BV226" s="982"/>
      <c r="BW226" s="980">
        <f ca="1">OFFSET(貼付け_2026実績,4,SUM(COLUMN()-COLUMN(貼付け_2026実績)))</f>
        <v>0</v>
      </c>
      <c r="BX226" s="981"/>
      <c r="BY226" s="981"/>
      <c r="BZ226" s="982"/>
      <c r="CA226" s="980" t="str">
        <f ca="1">OFFSET(貼付け_2026実績,4,SUM(COLUMN()-COLUMN(貼付け_2026実績)))</f>
        <v>県域4</v>
      </c>
      <c r="CB226" s="981"/>
      <c r="CC226" s="981"/>
      <c r="CD226" s="982"/>
      <c r="CE226" s="980" t="str">
        <f ca="1">OFFSET(貼付け_2026実績,4,SUM(COLUMN()-COLUMN(貼付け_2026実績)))</f>
        <v>県域5</v>
      </c>
      <c r="CF226" s="981"/>
      <c r="CG226" s="981"/>
      <c r="CH226" s="982"/>
      <c r="CI226" s="980" t="str">
        <f ca="1">OFFSET(貼付け_2026実績,4,SUM(COLUMN()-COLUMN(貼付け_2026実績)))</f>
        <v>県域6</v>
      </c>
      <c r="CJ226" s="981"/>
      <c r="CK226" s="981"/>
      <c r="CL226" s="982"/>
      <c r="CM226" s="980" t="str">
        <f ca="1">OFFSET(貼付け_2026実績,4,SUM(COLUMN()-COLUMN(貼付け_2026実績)))</f>
        <v>県域7</v>
      </c>
      <c r="CN226" s="981"/>
      <c r="CO226" s="981"/>
      <c r="CP226" s="982"/>
      <c r="CQ226" s="980" t="str">
        <f ca="1">OFFSET(貼付け_2026実績,4,SUM(COLUMN()-COLUMN(貼付け_2026実績)))</f>
        <v>県域8</v>
      </c>
      <c r="CR226" s="981"/>
      <c r="CS226" s="981"/>
      <c r="CT226" s="982"/>
      <c r="CU226" s="980" t="str">
        <f ca="1">OFFSET(貼付け_2026実績,4,SUM(COLUMN()-COLUMN(貼付け_2026実績)))</f>
        <v>県域9</v>
      </c>
      <c r="CV226" s="981"/>
      <c r="CW226" s="981"/>
      <c r="CX226" s="982"/>
      <c r="CY226" s="980" t="str">
        <f ca="1">OFFSET(貼付け_2026実績,4,SUM(COLUMN()-COLUMN(貼付け_2026実績)))</f>
        <v>県域10</v>
      </c>
      <c r="CZ226" s="981"/>
      <c r="DA226" s="981"/>
      <c r="DB226" s="982"/>
      <c r="DC226" s="980" t="str">
        <f ca="1">OFFSET(貼付け_2026実績,4,SUM(COLUMN()-COLUMN(貼付け_2026実績)))</f>
        <v>横浜3</v>
      </c>
      <c r="DD226" s="981"/>
      <c r="DE226" s="981"/>
      <c r="DF226" s="982"/>
      <c r="DG226" s="980" t="str">
        <f ca="1">OFFSET(貼付け_2026実績,4,SUM(COLUMN()-COLUMN(貼付け_2026実績)))</f>
        <v>横浜4</v>
      </c>
      <c r="DH226" s="981"/>
      <c r="DI226" s="981"/>
      <c r="DJ226" s="982"/>
      <c r="DK226" s="980" t="str">
        <f ca="1">OFFSET(貼付け_2026実績,4,SUM(COLUMN()-COLUMN(貼付け_2026実績)))</f>
        <v>横浜5</v>
      </c>
      <c r="DL226" s="981"/>
      <c r="DM226" s="981"/>
      <c r="DN226" s="982"/>
      <c r="DO226" s="980" t="str">
        <f ca="1">OFFSET(貼付け_2026実績,4,SUM(COLUMN()-COLUMN(貼付け_2026実績)))</f>
        <v>横浜6</v>
      </c>
      <c r="DP226" s="981"/>
      <c r="DQ226" s="981"/>
      <c r="DR226" s="982"/>
      <c r="DS226" s="980" t="str">
        <f ca="1">OFFSET(貼付け_2026実績,4,SUM(COLUMN()-COLUMN(貼付け_2026実績)))</f>
        <v>横浜7</v>
      </c>
      <c r="DT226" s="981"/>
      <c r="DU226" s="981"/>
      <c r="DV226" s="982"/>
      <c r="DW226" s="980" t="str">
        <f ca="1">OFFSET(貼付け_2026実績,4,SUM(COLUMN()-COLUMN(貼付け_2026実績)))</f>
        <v>横浜8</v>
      </c>
      <c r="DX226" s="981"/>
      <c r="DY226" s="981"/>
      <c r="DZ226" s="982"/>
      <c r="EA226" s="980" t="str">
        <f ca="1">OFFSET(貼付け_2026実績,4,SUM(COLUMN()-COLUMN(貼付け_2026実績)))</f>
        <v>横浜9</v>
      </c>
      <c r="EB226" s="981"/>
      <c r="EC226" s="981"/>
      <c r="ED226" s="982"/>
      <c r="EE226" s="980" t="str">
        <f ca="1">OFFSET(貼付け_2026実績,4,SUM(COLUMN()-COLUMN(貼付け_2026実績)))</f>
        <v>横浜10</v>
      </c>
      <c r="EF226" s="981"/>
      <c r="EG226" s="981"/>
      <c r="EH226" s="982"/>
      <c r="EI226" s="980" t="str">
        <f ca="1">OFFSET(貼付け_2026実績,4,SUM(COLUMN()-COLUMN(貼付け_2026実績)))</f>
        <v>川崎1</v>
      </c>
      <c r="EJ226" s="981"/>
      <c r="EK226" s="981"/>
      <c r="EL226" s="982"/>
      <c r="EM226" s="980" t="str">
        <f ca="1">OFFSET(貼付け_2026実績,4,SUM(COLUMN()-COLUMN(貼付け_2026実績)))</f>
        <v>川崎2</v>
      </c>
      <c r="EN226" s="981"/>
      <c r="EO226" s="981"/>
      <c r="EP226" s="982"/>
      <c r="EQ226" s="980" t="str">
        <f ca="1">OFFSET(貼付け_2026実績,4,SUM(COLUMN()-COLUMN(貼付け_2026実績)))</f>
        <v>川崎3</v>
      </c>
      <c r="ER226" s="981"/>
      <c r="ES226" s="981"/>
      <c r="ET226" s="982"/>
      <c r="EU226" s="980" t="str">
        <f ca="1">OFFSET(貼付け_2026実績,4,SUM(COLUMN()-COLUMN(貼付け_2026実績)))</f>
        <v>川崎6</v>
      </c>
      <c r="EV226" s="981"/>
      <c r="EW226" s="981"/>
      <c r="EX226" s="982"/>
      <c r="EY226" s="980" t="str">
        <f ca="1">OFFSET(貼付け_2026実績,4,SUM(COLUMN()-COLUMN(貼付け_2026実績)))</f>
        <v>川崎7</v>
      </c>
      <c r="EZ226" s="981"/>
      <c r="FA226" s="981"/>
      <c r="FB226" s="982"/>
      <c r="FC226" s="980" t="str">
        <f ca="1">OFFSET(貼付け_2026実績,4,SUM(COLUMN()-COLUMN(貼付け_2026実績)))</f>
        <v>川崎8</v>
      </c>
      <c r="FD226" s="981"/>
      <c r="FE226" s="981"/>
      <c r="FF226" s="982"/>
      <c r="FG226" s="980" t="str">
        <f ca="1">OFFSET(貼付け_2026実績,4,SUM(COLUMN()-COLUMN(貼付け_2026実績)))</f>
        <v>川崎9</v>
      </c>
      <c r="FH226" s="981"/>
      <c r="FI226" s="981"/>
      <c r="FJ226" s="982"/>
      <c r="FK226" s="980" t="str">
        <f ca="1">OFFSET(貼付け_2026実績,4,SUM(COLUMN()-COLUMN(貼付け_2026実績)))</f>
        <v>川崎10</v>
      </c>
      <c r="FL226" s="981"/>
      <c r="FM226" s="981"/>
      <c r="FN226" s="982"/>
      <c r="FO226" s="980" t="str">
        <f ca="1">OFFSET(貼付け_2026実績,4,SUM(COLUMN()-COLUMN(貼付け_2026実績)))</f>
        <v>川崎11</v>
      </c>
      <c r="FP226" s="981"/>
      <c r="FQ226" s="981"/>
      <c r="FR226" s="982"/>
      <c r="FS226" s="980" t="str">
        <f ca="1">OFFSET(貼付け_2026実績,4,SUM(COLUMN()-COLUMN(貼付け_2026実績)))</f>
        <v>川崎12</v>
      </c>
      <c r="FT226" s="981"/>
      <c r="FU226" s="981"/>
      <c r="FV226" s="982"/>
      <c r="FW226" s="980" t="str">
        <f ca="1">OFFSET(貼付け_2026実績,4,SUM(COLUMN()-COLUMN(貼付け_2026実績)))</f>
        <v>川崎13</v>
      </c>
      <c r="FX226" s="981"/>
      <c r="FY226" s="981"/>
      <c r="FZ226" s="982"/>
      <c r="GA226" s="980" t="str">
        <f ca="1">OFFSET(貼付け_2026実績,4,SUM(COLUMN()-COLUMN(貼付け_2026実績)))</f>
        <v>川崎14</v>
      </c>
      <c r="GB226" s="981"/>
      <c r="GC226" s="981"/>
      <c r="GD226" s="982"/>
      <c r="GE226" s="980" t="str">
        <f ca="1">OFFSET(貼付け_2026実績,4,SUM(COLUMN()-COLUMN(貼付け_2026実績)))</f>
        <v>川崎15</v>
      </c>
      <c r="GF226" s="981"/>
      <c r="GG226" s="981"/>
      <c r="GH226" s="982"/>
      <c r="GI226" s="980" t="str">
        <f ca="1">OFFSET(貼付け_2026実績,4,SUM(COLUMN()-COLUMN(貼付け_2026実績)))</f>
        <v>川崎16</v>
      </c>
      <c r="GJ226" s="981"/>
      <c r="GK226" s="981"/>
      <c r="GL226" s="982"/>
      <c r="GM226" s="980" t="str">
        <f ca="1">OFFSET(貼付け_2026実績,4,SUM(COLUMN()-COLUMN(貼付け_2026実績)))</f>
        <v>川崎17</v>
      </c>
      <c r="GN226" s="981"/>
      <c r="GO226" s="981"/>
      <c r="GP226" s="982"/>
      <c r="GQ226" s="980" t="str">
        <f ca="1">OFFSET(貼付け_2026実績,4,SUM(COLUMN()-COLUMN(貼付け_2026実績)))</f>
        <v>川崎18</v>
      </c>
      <c r="GR226" s="981"/>
      <c r="GS226" s="981"/>
      <c r="GT226" s="982"/>
      <c r="GU226" s="980" t="str">
        <f ca="1">OFFSET(貼付け_2026実績,4,SUM(COLUMN()-COLUMN(貼付け_2026実績)))</f>
        <v>川崎19</v>
      </c>
      <c r="GV226" s="981"/>
      <c r="GW226" s="981"/>
      <c r="GX226" s="982"/>
      <c r="GY226" s="980" t="str">
        <f ca="1">OFFSET(貼付け_2026実績,4,SUM(COLUMN()-COLUMN(貼付け_2026実績)))</f>
        <v>川崎20</v>
      </c>
      <c r="GZ226" s="981"/>
      <c r="HA226" s="981"/>
      <c r="HB226" s="982"/>
      <c r="IE226" s="927"/>
      <c r="IF226" s="927"/>
      <c r="IG226" s="927"/>
      <c r="IH226" s="927"/>
    </row>
    <row r="227" spans="1:242" s="889" customFormat="1" ht="19.8" hidden="1">
      <c r="A227" s="976">
        <v>1</v>
      </c>
      <c r="C227" s="881"/>
      <c r="D227" s="881"/>
      <c r="E227" s="881"/>
      <c r="F227" s="1368"/>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SUMPRODUCT(OFFSET(貼付け_2026実績,$F228,6,5,1),OFFSET(貼付け_2026実績,$F228,SUM(COLUMN()-COLUMN(貼付け_2026実績)),5,1))</f>
        <v>0</v>
      </c>
      <c r="J228" s="989">
        <f ca="1">SUMPRODUCT(OFFSET(貼付け_2026実績,$F228,6,5,1),OFFSET(貼付け_2026実績,$F228,SUM(COLUMN()-COLUMN(貼付け_2026実績)),5,1))</f>
        <v>0</v>
      </c>
      <c r="K228" s="989">
        <f t="shared" ref="K228:AP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SUMPRODUCT(OFFSET(貼付け_2026実績,$G230,5,($H230-$G230+1),1),OFFSET(貼付け_2026実績,$G230,SUM(COLUMN()-COLUMN(貼付け_2026実績)),($H230-$G230+1),1))*0.0258</f>
        <v>0</v>
      </c>
      <c r="L230" s="990"/>
      <c r="M230" s="990"/>
      <c r="N230" s="990"/>
      <c r="O230" s="989">
        <f ca="1">SUMPRODUCT(OFFSET(貼付け_2026実績,$G230,5,($H230-$G230+1),1),OFFSET(貼付け_2026実績,$G230,SUM(COLUMN()-COLUMN(貼付け_2026実績)),($H230-$G230+1),1))*0.0258</f>
        <v>0</v>
      </c>
      <c r="P230" s="990"/>
      <c r="Q230" s="990"/>
      <c r="R230" s="990"/>
      <c r="S230" s="989">
        <f ca="1">SUMPRODUCT(OFFSET(貼付け_2026実績,$G230,5,($H230-$G230+1),1),OFFSET(貼付け_2026実績,$G230,SUM(COLUMN()-COLUMN(貼付け_2026実績)),($H230-$G230+1),1))*0.0258</f>
        <v>0</v>
      </c>
      <c r="T230" s="990"/>
      <c r="U230" s="990"/>
      <c r="V230" s="990"/>
      <c r="W230" s="989">
        <f ca="1">SUMPRODUCT(OFFSET(貼付け_2026実績,$G230,5,($H230-$G230+1),1),OFFSET(貼付け_2026実績,$G230,SUM(COLUMN()-COLUMN(貼付け_2026実績)),($H230-$G230+1),1))*0.0258</f>
        <v>0</v>
      </c>
      <c r="X230" s="990"/>
      <c r="Y230" s="990"/>
      <c r="Z230" s="990"/>
      <c r="AA230" s="989">
        <f ca="1">SUMPRODUCT(OFFSET(貼付け_2026実績,$G230,5,($H230-$G230+1),1),OFFSET(貼付け_2026実績,$G230,SUM(COLUMN()-COLUMN(貼付け_2026実績)),($H230-$G230+1),1))*0.0258</f>
        <v>0</v>
      </c>
      <c r="AB230" s="990"/>
      <c r="AC230" s="990"/>
      <c r="AD230" s="990"/>
      <c r="AE230" s="989">
        <f ca="1">SUMPRODUCT(OFFSET(貼付け_2026実績,$G230,5,($H230-$G230+1),1),OFFSET(貼付け_2026実績,$G230,SUM(COLUMN()-COLUMN(貼付け_2026実績)),($H230-$G230+1),1))*0.0258</f>
        <v>0</v>
      </c>
      <c r="AF230" s="990"/>
      <c r="AG230" s="990"/>
      <c r="AH230" s="990"/>
      <c r="AI230" s="989">
        <f ca="1">SUMPRODUCT(OFFSET(貼付け_2026実績,$G230,5,($H230-$G230+1),1),OFFSET(貼付け_2026実績,$G230,SUM(COLUMN()-COLUMN(貼付け_2026実績)),($H230-$G230+1),1))*0.0258</f>
        <v>0</v>
      </c>
      <c r="AJ230" s="990"/>
      <c r="AK230" s="990"/>
      <c r="AL230" s="990"/>
      <c r="AM230" s="989">
        <f ca="1">SUMPRODUCT(OFFSET(貼付け_2026実績,$G230,5,($H230-$G230+1),1),OFFSET(貼付け_2026実績,$G230,SUM(COLUMN()-COLUMN(貼付け_2026実績)),($H230-$G230+1),1))*0.0258</f>
        <v>0</v>
      </c>
      <c r="AN230" s="990"/>
      <c r="AO230" s="990"/>
      <c r="AP230" s="990"/>
      <c r="AQ230" s="989">
        <f ca="1">SUMPRODUCT(OFFSET(貼付け_2026実績,$G230,5,($H230-$G230+1),1),OFFSET(貼付け_2026実績,$G230,SUM(COLUMN()-COLUMN(貼付け_2026実績)),($H230-$G230+1),1))*0.0258</f>
        <v>0</v>
      </c>
      <c r="AR230" s="990"/>
      <c r="AS230" s="990"/>
      <c r="AT230" s="990"/>
      <c r="AU230" s="989">
        <f ca="1">SUMPRODUCT(OFFSET(貼付け_2026実績,$G230,5,($H230-$G230+1),1),OFFSET(貼付け_2026実績,$G230,SUM(COLUMN()-COLUMN(貼付け_2026実績)),($H230-$G230+1),1))*0.0258</f>
        <v>0</v>
      </c>
      <c r="AV230" s="990"/>
      <c r="AW230" s="990"/>
      <c r="AX230" s="990"/>
      <c r="AY230" s="989">
        <f ca="1">SUMPRODUCT(OFFSET(貼付け_2026実績,$G230,5,($H230-$G230+1),1),OFFSET(貼付け_2026実績,$G230,SUM(COLUMN()-COLUMN(貼付け_2026実績)),($H230-$G230+1),1))*0.0258</f>
        <v>0</v>
      </c>
      <c r="AZ230" s="990"/>
      <c r="BA230" s="990"/>
      <c r="BB230" s="990"/>
      <c r="BC230" s="989">
        <f ca="1">SUMPRODUCT(OFFSET(貼付け_2026実績,$G230,5,($H230-$G230+1),1),OFFSET(貼付け_2026実績,$G230,SUM(COLUMN()-COLUMN(貼付け_2026実績)),($H230-$G230+1),1))*0.0258</f>
        <v>0</v>
      </c>
      <c r="BD230" s="990"/>
      <c r="BE230" s="990"/>
      <c r="BF230" s="990"/>
      <c r="BG230" s="989">
        <f ca="1">SUMPRODUCT(OFFSET(貼付け_2026実績,$G230,5,($H230-$G230+1),1),OFFSET(貼付け_2026実績,$G230,SUM(COLUMN()-COLUMN(貼付け_2026実績)),($H230-$G230+1),1))*0.0258</f>
        <v>0</v>
      </c>
      <c r="BH230" s="990"/>
      <c r="BI230" s="990"/>
      <c r="BJ230" s="990"/>
      <c r="BK230" s="989">
        <f ca="1">SUMPRODUCT(OFFSET(貼付け_2026実績,$G230,5,($H230-$G230+1),1),OFFSET(貼付け_2026実績,$G230,SUM(COLUMN()-COLUMN(貼付け_2026実績)),($H230-$G230+1),1))*0.0258</f>
        <v>0</v>
      </c>
      <c r="BL230" s="990"/>
      <c r="BM230" s="990"/>
      <c r="BN230" s="990"/>
      <c r="BO230" s="989">
        <f ca="1">SUMPRODUCT(OFFSET(貼付け_2026実績,$G230,5,($H230-$G230+1),1),OFFSET(貼付け_2026実績,$G230,SUM(COLUMN()-COLUMN(貼付け_2026実績)),($H230-$G230+1),1))*0.0258</f>
        <v>0</v>
      </c>
      <c r="BP230" s="990"/>
      <c r="BQ230" s="990"/>
      <c r="BR230" s="990"/>
      <c r="BS230" s="989">
        <f ca="1">SUMPRODUCT(OFFSET(貼付け_2026実績,$G230,5,($H230-$G230+1),1),OFFSET(貼付け_2026実績,$G230,SUM(COLUMN()-COLUMN(貼付け_2026実績)),($H230-$G230+1),1))*0.0258</f>
        <v>0</v>
      </c>
      <c r="BT230" s="990"/>
      <c r="BU230" s="990"/>
      <c r="BV230" s="990"/>
      <c r="BW230" s="989">
        <f ca="1">SUMPRODUCT(OFFSET(貼付け_2026実績,$G230,5,($H230-$G230+1),1),OFFSET(貼付け_2026実績,$G230,SUM(COLUMN()-COLUMN(貼付け_2026実績)),($H230-$G230+1),1))*0.0258</f>
        <v>0</v>
      </c>
      <c r="BX230" s="990"/>
      <c r="BY230" s="990"/>
      <c r="BZ230" s="990"/>
      <c r="CA230" s="989">
        <f ca="1">SUMPRODUCT(OFFSET(貼付け_2026実績,$G230,5,($H230-$G230+1),1),OFFSET(貼付け_2026実績,$G230,SUM(COLUMN()-COLUMN(貼付け_2026実績)),($H230-$G230+1),1))*0.0258</f>
        <v>0</v>
      </c>
      <c r="CB230" s="990"/>
      <c r="CC230" s="990"/>
      <c r="CD230" s="990"/>
      <c r="CE230" s="989">
        <f ca="1">SUMPRODUCT(OFFSET(貼付け_2026実績,$G230,5,($H230-$G230+1),1),OFFSET(貼付け_2026実績,$G230,SUM(COLUMN()-COLUMN(貼付け_2026実績)),($H230-$G230+1),1))*0.0258</f>
        <v>0</v>
      </c>
      <c r="CF230" s="990"/>
      <c r="CG230" s="990"/>
      <c r="CH230" s="990"/>
      <c r="CI230" s="989">
        <f ca="1">SUMPRODUCT(OFFSET(貼付け_2026実績,$G230,5,($H230-$G230+1),1),OFFSET(貼付け_2026実績,$G230,SUM(COLUMN()-COLUMN(貼付け_2026実績)),($H230-$G230+1),1))*0.0258</f>
        <v>0</v>
      </c>
      <c r="CJ230" s="990"/>
      <c r="CK230" s="990"/>
      <c r="CL230" s="990"/>
      <c r="CM230" s="989">
        <f ca="1">SUMPRODUCT(OFFSET(貼付け_2026実績,$G230,5,($H230-$G230+1),1),OFFSET(貼付け_2026実績,$G230,SUM(COLUMN()-COLUMN(貼付け_2026実績)),($H230-$G230+1),1))*0.0258</f>
        <v>0</v>
      </c>
      <c r="CN230" s="990"/>
      <c r="CO230" s="990"/>
      <c r="CP230" s="990"/>
      <c r="CQ230" s="989">
        <f ca="1">SUMPRODUCT(OFFSET(貼付け_2026実績,$G230,5,($H230-$G230+1),1),OFFSET(貼付け_2026実績,$G230,SUM(COLUMN()-COLUMN(貼付け_2026実績)),($H230-$G230+1),1))*0.0258</f>
        <v>0</v>
      </c>
      <c r="CR230" s="990"/>
      <c r="CS230" s="990"/>
      <c r="CT230" s="990"/>
      <c r="CU230" s="989">
        <f ca="1">SUMPRODUCT(OFFSET(貼付け_2026実績,$G230,5,($H230-$G230+1),1),OFFSET(貼付け_2026実績,$G230,SUM(COLUMN()-COLUMN(貼付け_2026実績)),($H230-$G230+1),1))*0.0258</f>
        <v>0</v>
      </c>
      <c r="CV230" s="990"/>
      <c r="CW230" s="990"/>
      <c r="CX230" s="990"/>
      <c r="CY230" s="989">
        <f ca="1">SUMPRODUCT(OFFSET(貼付け_2026実績,$G230,5,($H230-$G230+1),1),OFFSET(貼付け_2026実績,$G230,SUM(COLUMN()-COLUMN(貼付け_2026実績)),($H230-$G230+1),1))*0.0258</f>
        <v>0</v>
      </c>
      <c r="CZ230" s="990"/>
      <c r="DA230" s="990"/>
      <c r="DB230" s="990"/>
      <c r="DC230" s="989">
        <f ca="1">SUMPRODUCT(OFFSET(貼付け_2026実績,$G230,5,($H230-$G230+1),1),OFFSET(貼付け_2026実績,$G230,SUM(COLUMN()-COLUMN(貼付け_2026実績)),($H230-$G230+1),1))*0.0258</f>
        <v>0</v>
      </c>
      <c r="DD230" s="990"/>
      <c r="DE230" s="990"/>
      <c r="DF230" s="990"/>
      <c r="DG230" s="989">
        <f ca="1">SUMPRODUCT(OFFSET(貼付け_2026実績,$G230,5,($H230-$G230+1),1),OFFSET(貼付け_2026実績,$G230,SUM(COLUMN()-COLUMN(貼付け_2026実績)),($H230-$G230+1),1))*0.0258</f>
        <v>0</v>
      </c>
      <c r="DH230" s="990"/>
      <c r="DI230" s="990"/>
      <c r="DJ230" s="990"/>
      <c r="DK230" s="989">
        <f ca="1">SUMPRODUCT(OFFSET(貼付け_2026実績,$G230,5,($H230-$G230+1),1),OFFSET(貼付け_2026実績,$G230,SUM(COLUMN()-COLUMN(貼付け_2026実績)),($H230-$G230+1),1))*0.0258</f>
        <v>0</v>
      </c>
      <c r="DL230" s="990"/>
      <c r="DM230" s="990"/>
      <c r="DN230" s="990"/>
      <c r="DO230" s="989">
        <f ca="1">SUMPRODUCT(OFFSET(貼付け_2026実績,$G230,5,($H230-$G230+1),1),OFFSET(貼付け_2026実績,$G230,SUM(COLUMN()-COLUMN(貼付け_2026実績)),($H230-$G230+1),1))*0.0258</f>
        <v>0</v>
      </c>
      <c r="DP230" s="990"/>
      <c r="DQ230" s="990"/>
      <c r="DR230" s="990"/>
      <c r="DS230" s="989">
        <f ca="1">SUMPRODUCT(OFFSET(貼付け_2026実績,$G230,5,($H230-$G230+1),1),OFFSET(貼付け_2026実績,$G230,SUM(COLUMN()-COLUMN(貼付け_2026実績)),($H230-$G230+1),1))*0.0258</f>
        <v>0</v>
      </c>
      <c r="DT230" s="990"/>
      <c r="DU230" s="990"/>
      <c r="DV230" s="990"/>
      <c r="DW230" s="989">
        <f ca="1">SUMPRODUCT(OFFSET(貼付け_2026実績,$G230,5,($H230-$G230+1),1),OFFSET(貼付け_2026実績,$G230,SUM(COLUMN()-COLUMN(貼付け_2026実績)),($H230-$G230+1),1))*0.0258</f>
        <v>0</v>
      </c>
      <c r="DX230" s="990"/>
      <c r="DY230" s="990"/>
      <c r="DZ230" s="990"/>
      <c r="EA230" s="989">
        <f ca="1">SUMPRODUCT(OFFSET(貼付け_2026実績,$G230,5,($H230-$G230+1),1),OFFSET(貼付け_2026実績,$G230,SUM(COLUMN()-COLUMN(貼付け_2026実績)),($H230-$G230+1),1))*0.0258</f>
        <v>0</v>
      </c>
      <c r="EB230" s="990"/>
      <c r="EC230" s="990"/>
      <c r="ED230" s="990"/>
      <c r="EE230" s="989">
        <f ca="1">SUMPRODUCT(OFFSET(貼付け_2026実績,$G230,5,($H230-$G230+1),1),OFFSET(貼付け_2026実績,$G230,SUM(COLUMN()-COLUMN(貼付け_2026実績)),($H230-$G230+1),1))*0.0258</f>
        <v>0</v>
      </c>
      <c r="EF230" s="990"/>
      <c r="EG230" s="990"/>
      <c r="EH230" s="990"/>
      <c r="EI230" s="989">
        <f ca="1">SUMPRODUCT(OFFSET(貼付け_2026実績,$G230,5,($H230-$G230+1),1),OFFSET(貼付け_2026実績,$G230,SUM(COLUMN()-COLUMN(貼付け_2026実績)),($H230-$G230+1),1))*0.0258</f>
        <v>0</v>
      </c>
      <c r="EJ230" s="990"/>
      <c r="EK230" s="990"/>
      <c r="EL230" s="990"/>
      <c r="EM230" s="989">
        <f ca="1">SUMPRODUCT(OFFSET(貼付け_2026実績,$G230,5,($H230-$G230+1),1),OFFSET(貼付け_2026実績,$G230,SUM(COLUMN()-COLUMN(貼付け_2026実績)),($H230-$G230+1),1))*0.0258</f>
        <v>0</v>
      </c>
      <c r="EN230" s="990"/>
      <c r="EO230" s="990"/>
      <c r="EP230" s="990"/>
      <c r="EQ230" s="989">
        <f ca="1">SUMPRODUCT(OFFSET(貼付け_2026実績,$G230,5,($H230-$G230+1),1),OFFSET(貼付け_2026実績,$G230,SUM(COLUMN()-COLUMN(貼付け_2026実績)),($H230-$G230+1),1))*0.0258</f>
        <v>0</v>
      </c>
      <c r="ER230" s="990"/>
      <c r="ES230" s="990"/>
      <c r="ET230" s="990"/>
      <c r="EU230" s="989">
        <f ca="1">SUMPRODUCT(OFFSET(貼付け_2026実績,$G230,5,($H230-$G230+1),1),OFFSET(貼付け_2026実績,$G230,SUM(COLUMN()-COLUMN(貼付け_2026実績)),($H230-$G230+1),1))*0.0258</f>
        <v>0</v>
      </c>
      <c r="EV230" s="990"/>
      <c r="EW230" s="990"/>
      <c r="EX230" s="990"/>
      <c r="EY230" s="989">
        <f ca="1">SUMPRODUCT(OFFSET(貼付け_2026実績,$G230,5,($H230-$G230+1),1),OFFSET(貼付け_2026実績,$G230,SUM(COLUMN()-COLUMN(貼付け_2026実績)),($H230-$G230+1),1))*0.0258</f>
        <v>0</v>
      </c>
      <c r="EZ230" s="990"/>
      <c r="FA230" s="990"/>
      <c r="FB230" s="990"/>
      <c r="FC230" s="989">
        <f ca="1">SUMPRODUCT(OFFSET(貼付け_2026実績,$G230,5,($H230-$G230+1),1),OFFSET(貼付け_2026実績,$G230,SUM(COLUMN()-COLUMN(貼付け_2026実績)),($H230-$G230+1),1))*0.0258</f>
        <v>0</v>
      </c>
      <c r="FD230" s="990"/>
      <c r="FE230" s="990"/>
      <c r="FF230" s="990"/>
      <c r="FG230" s="989">
        <f ca="1">SUMPRODUCT(OFFSET(貼付け_2026実績,$G230,5,($H230-$G230+1),1),OFFSET(貼付け_2026実績,$G230,SUM(COLUMN()-COLUMN(貼付け_2026実績)),($H230-$G230+1),1))*0.0258</f>
        <v>0</v>
      </c>
      <c r="FH230" s="990"/>
      <c r="FI230" s="990"/>
      <c r="FJ230" s="990"/>
      <c r="FK230" s="989">
        <f ca="1">SUMPRODUCT(OFFSET(貼付け_2026実績,$G230,5,($H230-$G230+1),1),OFFSET(貼付け_2026実績,$G230,SUM(COLUMN()-COLUMN(貼付け_2026実績)),($H230-$G230+1),1))*0.0258</f>
        <v>0</v>
      </c>
      <c r="FL230" s="990"/>
      <c r="FM230" s="990"/>
      <c r="FN230" s="990"/>
      <c r="FO230" s="989">
        <f ca="1">SUMPRODUCT(OFFSET(貼付け_2026実績,$G230,5,($H230-$G230+1),1),OFFSET(貼付け_2026実績,$G230,SUM(COLUMN()-COLUMN(貼付け_2026実績)),($H230-$G230+1),1))*0.0258</f>
        <v>0</v>
      </c>
      <c r="FP230" s="990"/>
      <c r="FQ230" s="990"/>
      <c r="FR230" s="990"/>
      <c r="FS230" s="989">
        <f ca="1">SUMPRODUCT(OFFSET(貼付け_2026実績,$G230,5,($H230-$G230+1),1),OFFSET(貼付け_2026実績,$G230,SUM(COLUMN()-COLUMN(貼付け_2026実績)),($H230-$G230+1),1))*0.0258</f>
        <v>0</v>
      </c>
      <c r="FT230" s="990"/>
      <c r="FU230" s="990"/>
      <c r="FV230" s="990"/>
      <c r="FW230" s="989">
        <f ca="1">SUMPRODUCT(OFFSET(貼付け_2026実績,$G230,5,($H230-$G230+1),1),OFFSET(貼付け_2026実績,$G230,SUM(COLUMN()-COLUMN(貼付け_2026実績)),($H230-$G230+1),1))*0.0258</f>
        <v>0</v>
      </c>
      <c r="FX230" s="990"/>
      <c r="FY230" s="990"/>
      <c r="FZ230" s="990"/>
      <c r="GA230" s="989">
        <f ca="1">SUMPRODUCT(OFFSET(貼付け_2026実績,$G230,5,($H230-$G230+1),1),OFFSET(貼付け_2026実績,$G230,SUM(COLUMN()-COLUMN(貼付け_2026実績)),($H230-$G230+1),1))*0.0258</f>
        <v>0</v>
      </c>
      <c r="GB230" s="990"/>
      <c r="GC230" s="990"/>
      <c r="GD230" s="990"/>
      <c r="GE230" s="989">
        <f ca="1">SUMPRODUCT(OFFSET(貼付け_2026実績,$G230,5,($H230-$G230+1),1),OFFSET(貼付け_2026実績,$G230,SUM(COLUMN()-COLUMN(貼付け_2026実績)),($H230-$G230+1),1))*0.0258</f>
        <v>0</v>
      </c>
      <c r="GF230" s="990"/>
      <c r="GG230" s="990"/>
      <c r="GH230" s="990"/>
      <c r="GI230" s="989">
        <f ca="1">SUMPRODUCT(OFFSET(貼付け_2026実績,$G230,5,($H230-$G230+1),1),OFFSET(貼付け_2026実績,$G230,SUM(COLUMN()-COLUMN(貼付け_2026実績)),($H230-$G230+1),1))*0.0258</f>
        <v>0</v>
      </c>
      <c r="GJ230" s="990"/>
      <c r="GK230" s="990"/>
      <c r="GL230" s="990"/>
      <c r="GM230" s="989">
        <f ca="1">SUMPRODUCT(OFFSET(貼付け_2026実績,$G230,5,($H230-$G230+1),1),OFFSET(貼付け_2026実績,$G230,SUM(COLUMN()-COLUMN(貼付け_2026実績)),($H230-$G230+1),1))*0.0258</f>
        <v>0</v>
      </c>
      <c r="GN230" s="990"/>
      <c r="GO230" s="990"/>
      <c r="GP230" s="990"/>
      <c r="GQ230" s="989">
        <f ca="1">SUMPRODUCT(OFFSET(貼付け_2026実績,$G230,5,($H230-$G230+1),1),OFFSET(貼付け_2026実績,$G230,SUM(COLUMN()-COLUMN(貼付け_2026実績)),($H230-$G230+1),1))*0.0258</f>
        <v>0</v>
      </c>
      <c r="GR230" s="990"/>
      <c r="GS230" s="990"/>
      <c r="GT230" s="990"/>
      <c r="GU230" s="989">
        <f ca="1">SUMPRODUCT(OFFSET(貼付け_2026実績,$G230,5,($H230-$G230+1),1),OFFSET(貼付け_2026実績,$G230,SUM(COLUMN()-COLUMN(貼付け_2026実績)),($H230-$G230+1),1))*0.0258</f>
        <v>0</v>
      </c>
      <c r="GV230" s="990"/>
      <c r="GW230" s="990"/>
      <c r="GX230" s="990"/>
      <c r="GY230" s="989">
        <f ca="1">SUMPRODUCT(OFFSET(貼付け_2026実績,$G230,5,($H230-$G230+1),1),OFFSET(貼付け_2026実績,$G230,SUM(COLUMN()-COLUMN(貼付け_2026実績)),($H230-$G230+1),1))*0.0258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OFFSET(貼付け_2026実績,$G232,SUM(COLUMN()-COLUMN(貼付け_2026実績))-1)</f>
        <v>0</v>
      </c>
      <c r="M232" s="989" t="str">
        <f ca="1">IFERROR(K232/L232,"")</f>
        <v/>
      </c>
      <c r="N232" s="991"/>
      <c r="O232" s="989">
        <f ca="1">O231-Q229-R229</f>
        <v>0</v>
      </c>
      <c r="P232" s="989">
        <f ca="1">OFFSET(貼付け_2026実績,$G232,SUM(COLUMN()-COLUMN(貼付け_2026実績))-1)</f>
        <v>0</v>
      </c>
      <c r="Q232" s="989" t="str">
        <f ca="1">IFERROR(O232/P232,"")</f>
        <v/>
      </c>
      <c r="R232" s="991"/>
      <c r="S232" s="989">
        <f ca="1">S231-U229-V229</f>
        <v>0</v>
      </c>
      <c r="T232" s="989">
        <f ca="1">OFFSET(貼付け_2026実績,$G232,SUM(COLUMN()-COLUMN(貼付け_2026実績))-1)</f>
        <v>0</v>
      </c>
      <c r="U232" s="989" t="str">
        <f ca="1">IFERROR(S232/T232,"")</f>
        <v/>
      </c>
      <c r="V232" s="991"/>
      <c r="W232" s="989">
        <f ca="1">W231-Y229-Z229</f>
        <v>0</v>
      </c>
      <c r="X232" s="989">
        <f ca="1">OFFSET(貼付け_2026実績,$G232,SUM(COLUMN()-COLUMN(貼付け_2026実績))-1)</f>
        <v>0</v>
      </c>
      <c r="Y232" s="989" t="str">
        <f ca="1">IFERROR(W232/X232,"")</f>
        <v/>
      </c>
      <c r="Z232" s="991"/>
      <c r="AA232" s="989">
        <f ca="1">AA231-AC229-AD229</f>
        <v>0</v>
      </c>
      <c r="AB232" s="989">
        <f ca="1">OFFSET(貼付け_2026実績,$G232,SUM(COLUMN()-COLUMN(貼付け_2026実績))-1)</f>
        <v>0</v>
      </c>
      <c r="AC232" s="989" t="str">
        <f ca="1">IFERROR(AA232/AB232,"")</f>
        <v/>
      </c>
      <c r="AD232" s="991"/>
      <c r="AE232" s="989">
        <f ca="1">AE231-AG229-AH229</f>
        <v>0</v>
      </c>
      <c r="AF232" s="989">
        <f ca="1">OFFSET(貼付け_2026実績,$G232,SUM(COLUMN()-COLUMN(貼付け_2026実績))-1)</f>
        <v>0</v>
      </c>
      <c r="AG232" s="989" t="str">
        <f ca="1">IFERROR(AE232/AF232,"")</f>
        <v/>
      </c>
      <c r="AH232" s="991"/>
      <c r="AI232" s="989">
        <f ca="1">AI231-AK229-AL229</f>
        <v>0</v>
      </c>
      <c r="AJ232" s="989">
        <f ca="1">OFFSET(貼付け_2026実績,$G232,SUM(COLUMN()-COLUMN(貼付け_2026実績))-1)</f>
        <v>0</v>
      </c>
      <c r="AK232" s="989" t="str">
        <f ca="1">IFERROR(AI232/AJ232,"")</f>
        <v/>
      </c>
      <c r="AL232" s="991"/>
      <c r="AM232" s="989">
        <f ca="1">AM231-AO229-AP229</f>
        <v>0</v>
      </c>
      <c r="AN232" s="989">
        <f ca="1">OFFSET(貼付け_2026実績,$G232,SUM(COLUMN()-COLUMN(貼付け_2026実績))-1)</f>
        <v>0</v>
      </c>
      <c r="AO232" s="989" t="str">
        <f ca="1">IFERROR(AM232/AN232,"")</f>
        <v/>
      </c>
      <c r="AP232" s="991"/>
      <c r="AQ232" s="989">
        <f ca="1">AQ231-AS229-AT229</f>
        <v>0</v>
      </c>
      <c r="AR232" s="989">
        <f ca="1">OFFSET(貼付け_2026実績,$G232,SUM(COLUMN()-COLUMN(貼付け_2026実績))-1)</f>
        <v>0</v>
      </c>
      <c r="AS232" s="989" t="str">
        <f ca="1">IFERROR(AQ232/AR232,"")</f>
        <v/>
      </c>
      <c r="AT232" s="991"/>
      <c r="AU232" s="989">
        <f ca="1">AU231-AW229-AX229</f>
        <v>0</v>
      </c>
      <c r="AV232" s="989">
        <f ca="1">OFFSET(貼付け_2026実績,$G232,SUM(COLUMN()-COLUMN(貼付け_2026実績))-1)</f>
        <v>0</v>
      </c>
      <c r="AW232" s="989" t="str">
        <f ca="1">IFERROR(AU232/AV232,"")</f>
        <v/>
      </c>
      <c r="AX232" s="991"/>
      <c r="AY232" s="989">
        <f ca="1">AY231-BA229-BB229</f>
        <v>0</v>
      </c>
      <c r="AZ232" s="989">
        <f ca="1">OFFSET(貼付け_2026実績,$G232,SUM(COLUMN()-COLUMN(貼付け_2026実績))-1)</f>
        <v>0</v>
      </c>
      <c r="BA232" s="989" t="str">
        <f ca="1">IFERROR(AY232/AZ232,"")</f>
        <v/>
      </c>
      <c r="BB232" s="991"/>
      <c r="BC232" s="989">
        <f ca="1">BC231-BE229-BF229</f>
        <v>0</v>
      </c>
      <c r="BD232" s="989">
        <f ca="1">OFFSET(貼付け_2026実績,$G232,SUM(COLUMN()-COLUMN(貼付け_2026実績))-1)</f>
        <v>0</v>
      </c>
      <c r="BE232" s="989" t="str">
        <f ca="1">IFERROR(BC232/BD232,"")</f>
        <v/>
      </c>
      <c r="BF232" s="991"/>
      <c r="BG232" s="989">
        <f ca="1">BG231-BI229-BJ229</f>
        <v>0</v>
      </c>
      <c r="BH232" s="989">
        <f ca="1">OFFSET(貼付け_2026実績,$G232,SUM(COLUMN()-COLUMN(貼付け_2026実績))-1)</f>
        <v>0</v>
      </c>
      <c r="BI232" s="989" t="str">
        <f ca="1">IFERROR(BG232/BH232,"")</f>
        <v/>
      </c>
      <c r="BJ232" s="991"/>
      <c r="BK232" s="989">
        <f ca="1">BK231-BM229-BN229</f>
        <v>0</v>
      </c>
      <c r="BL232" s="989">
        <f ca="1">OFFSET(貼付け_2026実績,$G232,SUM(COLUMN()-COLUMN(貼付け_2026実績))-1)</f>
        <v>0</v>
      </c>
      <c r="BM232" s="989" t="str">
        <f ca="1">IFERROR(BK232/BL232,"")</f>
        <v/>
      </c>
      <c r="BN232" s="991"/>
      <c r="BO232" s="989">
        <f ca="1">BO231-BQ229-BR229</f>
        <v>0</v>
      </c>
      <c r="BP232" s="989">
        <f ca="1">OFFSET(貼付け_2026実績,$G232,SUM(COLUMN()-COLUMN(貼付け_2026実績))-1)</f>
        <v>0</v>
      </c>
      <c r="BQ232" s="989" t="str">
        <f ca="1">IFERROR(BO232/BP232,"")</f>
        <v/>
      </c>
      <c r="BR232" s="991"/>
      <c r="BS232" s="989">
        <f ca="1">BS231-BU229-BV229</f>
        <v>0</v>
      </c>
      <c r="BT232" s="989">
        <f ca="1">OFFSET(貼付け_2026実績,$G232,SUM(COLUMN()-COLUMN(貼付け_2026実績))-1)</f>
        <v>0</v>
      </c>
      <c r="BU232" s="989" t="str">
        <f ca="1">IFERROR(BS232/BT232,"")</f>
        <v/>
      </c>
      <c r="BV232" s="991"/>
      <c r="BW232" s="989">
        <f ca="1">BW231-BY229-BZ229</f>
        <v>0</v>
      </c>
      <c r="BX232" s="989">
        <f ca="1">OFFSET(貼付け_2026実績,$G232,SUM(COLUMN()-COLUMN(貼付け_2026実績))-1)</f>
        <v>0</v>
      </c>
      <c r="BY232" s="989" t="str">
        <f ca="1">IFERROR(BW232/BX232,"")</f>
        <v/>
      </c>
      <c r="BZ232" s="991"/>
      <c r="CA232" s="989">
        <f ca="1">CA231-CC229-CD229</f>
        <v>0</v>
      </c>
      <c r="CB232" s="989">
        <f ca="1">OFFSET(貼付け_2026実績,$G232,SUM(COLUMN()-COLUMN(貼付け_2026実績))-1)</f>
        <v>0</v>
      </c>
      <c r="CC232" s="989" t="str">
        <f ca="1">IFERROR(CA232/CB232,"")</f>
        <v/>
      </c>
      <c r="CD232" s="991"/>
      <c r="CE232" s="989">
        <f ca="1">CE231-CG229-CH229</f>
        <v>0</v>
      </c>
      <c r="CF232" s="989">
        <f ca="1">OFFSET(貼付け_2026実績,$G232,SUM(COLUMN()-COLUMN(貼付け_2026実績))-1)</f>
        <v>0</v>
      </c>
      <c r="CG232" s="989" t="str">
        <f ca="1">IFERROR(CE232/CF232,"")</f>
        <v/>
      </c>
      <c r="CH232" s="991"/>
      <c r="CI232" s="989">
        <f ca="1">CI231-CK229-CL229</f>
        <v>0</v>
      </c>
      <c r="CJ232" s="989">
        <f ca="1">OFFSET(貼付け_2026実績,$G232,SUM(COLUMN()-COLUMN(貼付け_2026実績))-1)</f>
        <v>0</v>
      </c>
      <c r="CK232" s="989" t="str">
        <f ca="1">IFERROR(CI232/CJ232,"")</f>
        <v/>
      </c>
      <c r="CL232" s="991"/>
      <c r="CM232" s="989">
        <f ca="1">CM231-CO229-CP229</f>
        <v>0</v>
      </c>
      <c r="CN232" s="989">
        <f ca="1">OFFSET(貼付け_2026実績,$G232,SUM(COLUMN()-COLUMN(貼付け_2026実績))-1)</f>
        <v>0</v>
      </c>
      <c r="CO232" s="989" t="str">
        <f ca="1">IFERROR(CM232/CN232,"")</f>
        <v/>
      </c>
      <c r="CP232" s="991"/>
      <c r="CQ232" s="989">
        <f ca="1">CQ231-CS229-CT229</f>
        <v>0</v>
      </c>
      <c r="CR232" s="989">
        <f ca="1">OFFSET(貼付け_2026実績,$G232,SUM(COLUMN()-COLUMN(貼付け_2026実績))-1)</f>
        <v>0</v>
      </c>
      <c r="CS232" s="989" t="str">
        <f ca="1">IFERROR(CQ232/CR232,"")</f>
        <v/>
      </c>
      <c r="CT232" s="991"/>
      <c r="CU232" s="989">
        <f ca="1">CU231-CW229-CX229</f>
        <v>0</v>
      </c>
      <c r="CV232" s="989">
        <f ca="1">OFFSET(貼付け_2026実績,$G232,SUM(COLUMN()-COLUMN(貼付け_2026実績))-1)</f>
        <v>0</v>
      </c>
      <c r="CW232" s="989" t="str">
        <f ca="1">IFERROR(CU232/CV232,"")</f>
        <v/>
      </c>
      <c r="CX232" s="991"/>
      <c r="CY232" s="989">
        <f ca="1">CY231-DA229-DB229</f>
        <v>0</v>
      </c>
      <c r="CZ232" s="989">
        <f ca="1">OFFSET(貼付け_2026実績,$G232,SUM(COLUMN()-COLUMN(貼付け_2026実績))-1)</f>
        <v>0</v>
      </c>
      <c r="DA232" s="989" t="str">
        <f ca="1">IFERROR(CY232/CZ232,"")</f>
        <v/>
      </c>
      <c r="DB232" s="991"/>
      <c r="DC232" s="989">
        <f ca="1">DC231-DE229-DF229</f>
        <v>0</v>
      </c>
      <c r="DD232" s="989">
        <f ca="1">OFFSET(貼付け_2026実績,$G232,SUM(COLUMN()-COLUMN(貼付け_2026実績))-1)</f>
        <v>0</v>
      </c>
      <c r="DE232" s="989" t="str">
        <f ca="1">IFERROR(DC232/DD232,"")</f>
        <v/>
      </c>
      <c r="DF232" s="991"/>
      <c r="DG232" s="989">
        <f ca="1">DG231-DI229-DJ229</f>
        <v>0</v>
      </c>
      <c r="DH232" s="989">
        <f ca="1">OFFSET(貼付け_2026実績,$G232,SUM(COLUMN()-COLUMN(貼付け_2026実績))-1)</f>
        <v>0</v>
      </c>
      <c r="DI232" s="989" t="str">
        <f ca="1">IFERROR(DG232/DH232,"")</f>
        <v/>
      </c>
      <c r="DJ232" s="991"/>
      <c r="DK232" s="989">
        <f ca="1">DK231-DM229-DN229</f>
        <v>0</v>
      </c>
      <c r="DL232" s="989">
        <f ca="1">OFFSET(貼付け_2026実績,$G232,SUM(COLUMN()-COLUMN(貼付け_2026実績))-1)</f>
        <v>0</v>
      </c>
      <c r="DM232" s="989" t="str">
        <f ca="1">IFERROR(DK232/DL232,"")</f>
        <v/>
      </c>
      <c r="DN232" s="991"/>
      <c r="DO232" s="989">
        <f ca="1">DO231-DQ229-DR229</f>
        <v>0</v>
      </c>
      <c r="DP232" s="989">
        <f ca="1">OFFSET(貼付け_2026実績,$G232,SUM(COLUMN()-COLUMN(貼付け_2026実績))-1)</f>
        <v>0</v>
      </c>
      <c r="DQ232" s="989" t="str">
        <f ca="1">IFERROR(DO232/DP232,"")</f>
        <v/>
      </c>
      <c r="DR232" s="991"/>
      <c r="DS232" s="989">
        <f ca="1">DS231-DU229-DV229</f>
        <v>0</v>
      </c>
      <c r="DT232" s="989">
        <f ca="1">OFFSET(貼付け_2026実績,$G232,SUM(COLUMN()-COLUMN(貼付け_2026実績))-1)</f>
        <v>0</v>
      </c>
      <c r="DU232" s="989" t="str">
        <f ca="1">IFERROR(DS232/DT232,"")</f>
        <v/>
      </c>
      <c r="DV232" s="991"/>
      <c r="DW232" s="989">
        <f ca="1">DW231-DY229-DZ229</f>
        <v>0</v>
      </c>
      <c r="DX232" s="989">
        <f ca="1">OFFSET(貼付け_2026実績,$G232,SUM(COLUMN()-COLUMN(貼付け_2026実績))-1)</f>
        <v>0</v>
      </c>
      <c r="DY232" s="989" t="str">
        <f ca="1">IFERROR(DW232/DX232,"")</f>
        <v/>
      </c>
      <c r="DZ232" s="991"/>
      <c r="EA232" s="989">
        <f ca="1">EA231-EC229-ED229</f>
        <v>0</v>
      </c>
      <c r="EB232" s="989">
        <f ca="1">OFFSET(貼付け_2026実績,$G232,SUM(COLUMN()-COLUMN(貼付け_2026実績))-1)</f>
        <v>0</v>
      </c>
      <c r="EC232" s="989" t="str">
        <f ca="1">IFERROR(EA232/EB232,"")</f>
        <v/>
      </c>
      <c r="ED232" s="991"/>
      <c r="EE232" s="989">
        <f ca="1">EE231-EG229-EH229</f>
        <v>0</v>
      </c>
      <c r="EF232" s="989">
        <f ca="1">OFFSET(貼付け_2026実績,$G232,SUM(COLUMN()-COLUMN(貼付け_2026実績))-1)</f>
        <v>0</v>
      </c>
      <c r="EG232" s="989" t="str">
        <f ca="1">IFERROR(EE232/EF232,"")</f>
        <v/>
      </c>
      <c r="EH232" s="991"/>
      <c r="EI232" s="989">
        <f ca="1">EI231-EK229-EL229</f>
        <v>0</v>
      </c>
      <c r="EJ232" s="989">
        <f ca="1">OFFSET(貼付け_2026実績,$G232,SUM(COLUMN()-COLUMN(貼付け_2026実績))-1)</f>
        <v>0</v>
      </c>
      <c r="EK232" s="989" t="str">
        <f ca="1">IFERROR(EI232/EJ232,"")</f>
        <v/>
      </c>
      <c r="EL232" s="991"/>
      <c r="EM232" s="989">
        <f ca="1">EM231-EO229-EP229</f>
        <v>0</v>
      </c>
      <c r="EN232" s="989">
        <f ca="1">OFFSET(貼付け_2026実績,$G232,SUM(COLUMN()-COLUMN(貼付け_2026実績))-1)</f>
        <v>0</v>
      </c>
      <c r="EO232" s="989" t="str">
        <f ca="1">IFERROR(EM232/EN232,"")</f>
        <v/>
      </c>
      <c r="EP232" s="991"/>
      <c r="EQ232" s="989">
        <f ca="1">EQ231-ES229-ET229</f>
        <v>0</v>
      </c>
      <c r="ER232" s="989">
        <f ca="1">OFFSET(貼付け_2026実績,$G232,SUM(COLUMN()-COLUMN(貼付け_2026実績))-1)</f>
        <v>0</v>
      </c>
      <c r="ES232" s="989" t="str">
        <f ca="1">IFERROR(EQ232/ER232,"")</f>
        <v/>
      </c>
      <c r="ET232" s="991"/>
      <c r="EU232" s="989">
        <f ca="1">EU231-EW229-EX229</f>
        <v>0</v>
      </c>
      <c r="EV232" s="989">
        <f ca="1">OFFSET(貼付け_2026実績,$G232,SUM(COLUMN()-COLUMN(貼付け_2026実績))-1)</f>
        <v>0</v>
      </c>
      <c r="EW232" s="989" t="str">
        <f ca="1">IFERROR(EU232/EV232,"")</f>
        <v/>
      </c>
      <c r="EX232" s="991"/>
      <c r="EY232" s="989">
        <f ca="1">EY231-FA229-FB229</f>
        <v>0</v>
      </c>
      <c r="EZ232" s="989">
        <f ca="1">OFFSET(貼付け_2026実績,$G232,SUM(COLUMN()-COLUMN(貼付け_2026実績))-1)</f>
        <v>0</v>
      </c>
      <c r="FA232" s="989" t="str">
        <f ca="1">IFERROR(EY232/EZ232,"")</f>
        <v/>
      </c>
      <c r="FB232" s="991"/>
      <c r="FC232" s="989">
        <f ca="1">FC231-FE229-FF229</f>
        <v>0</v>
      </c>
      <c r="FD232" s="989">
        <f ca="1">OFFSET(貼付け_2026実績,$G232,SUM(COLUMN()-COLUMN(貼付け_2026実績))-1)</f>
        <v>0</v>
      </c>
      <c r="FE232" s="989" t="str">
        <f ca="1">IFERROR(FC232/FD232,"")</f>
        <v/>
      </c>
      <c r="FF232" s="991"/>
      <c r="FG232" s="989">
        <f ca="1">FG231-FI229-FJ229</f>
        <v>0</v>
      </c>
      <c r="FH232" s="989">
        <f ca="1">OFFSET(貼付け_2026実績,$G232,SUM(COLUMN()-COLUMN(貼付け_2026実績))-1)</f>
        <v>0</v>
      </c>
      <c r="FI232" s="989" t="str">
        <f ca="1">IFERROR(FG232/FH232,"")</f>
        <v/>
      </c>
      <c r="FJ232" s="991"/>
      <c r="FK232" s="989">
        <f ca="1">FK231-FM229-FN229</f>
        <v>0</v>
      </c>
      <c r="FL232" s="989">
        <f ca="1">OFFSET(貼付け_2026実績,$G232,SUM(COLUMN()-COLUMN(貼付け_2026実績))-1)</f>
        <v>0</v>
      </c>
      <c r="FM232" s="989" t="str">
        <f ca="1">IFERROR(FK232/FL232,"")</f>
        <v/>
      </c>
      <c r="FN232" s="991"/>
      <c r="FO232" s="989">
        <f ca="1">FO231-FQ229-FR229</f>
        <v>0</v>
      </c>
      <c r="FP232" s="989">
        <f ca="1">OFFSET(貼付け_2026実績,$G232,SUM(COLUMN()-COLUMN(貼付け_2026実績))-1)</f>
        <v>0</v>
      </c>
      <c r="FQ232" s="989" t="str">
        <f ca="1">IFERROR(FO232/FP232,"")</f>
        <v/>
      </c>
      <c r="FR232" s="991"/>
      <c r="FS232" s="989">
        <f ca="1">FS231-FU229-FV229</f>
        <v>0</v>
      </c>
      <c r="FT232" s="989">
        <f ca="1">OFFSET(貼付け_2026実績,$G232,SUM(COLUMN()-COLUMN(貼付け_2026実績))-1)</f>
        <v>0</v>
      </c>
      <c r="FU232" s="989" t="str">
        <f ca="1">IFERROR(FS232/FT232,"")</f>
        <v/>
      </c>
      <c r="FV232" s="991"/>
      <c r="FW232" s="989">
        <f ca="1">FW231-FY229-FZ229</f>
        <v>0</v>
      </c>
      <c r="FX232" s="989">
        <f ca="1">OFFSET(貼付け_2026実績,$G232,SUM(COLUMN()-COLUMN(貼付け_2026実績))-1)</f>
        <v>0</v>
      </c>
      <c r="FY232" s="989" t="str">
        <f ca="1">IFERROR(FW232/FX232,"")</f>
        <v/>
      </c>
      <c r="FZ232" s="991"/>
      <c r="GA232" s="989">
        <f ca="1">GA231-GC229-GD229</f>
        <v>0</v>
      </c>
      <c r="GB232" s="989">
        <f ca="1">OFFSET(貼付け_2026実績,$G232,SUM(COLUMN()-COLUMN(貼付け_2026実績))-1)</f>
        <v>0</v>
      </c>
      <c r="GC232" s="989" t="str">
        <f ca="1">IFERROR(GA232/GB232,"")</f>
        <v/>
      </c>
      <c r="GD232" s="991"/>
      <c r="GE232" s="989">
        <f ca="1">GE231-GG229-GH229</f>
        <v>0</v>
      </c>
      <c r="GF232" s="989">
        <f ca="1">OFFSET(貼付け_2026実績,$G232,SUM(COLUMN()-COLUMN(貼付け_2026実績))-1)</f>
        <v>0</v>
      </c>
      <c r="GG232" s="989" t="str">
        <f ca="1">IFERROR(GE232/GF232,"")</f>
        <v/>
      </c>
      <c r="GH232" s="991"/>
      <c r="GI232" s="989">
        <f ca="1">GI231-GK229-GL229</f>
        <v>0</v>
      </c>
      <c r="GJ232" s="989">
        <f ca="1">OFFSET(貼付け_2026実績,$G232,SUM(COLUMN()-COLUMN(貼付け_2026実績))-1)</f>
        <v>0</v>
      </c>
      <c r="GK232" s="989" t="str">
        <f ca="1">IFERROR(GI232/GJ232,"")</f>
        <v/>
      </c>
      <c r="GL232" s="991"/>
      <c r="GM232" s="989">
        <f ca="1">GM231-GO229-GP229</f>
        <v>0</v>
      </c>
      <c r="GN232" s="989">
        <f ca="1">OFFSET(貼付け_2026実績,$G232,SUM(COLUMN()-COLUMN(貼付け_2026実績))-1)</f>
        <v>0</v>
      </c>
      <c r="GO232" s="989" t="str">
        <f ca="1">IFERROR(GM232/GN232,"")</f>
        <v/>
      </c>
      <c r="GP232" s="991"/>
      <c r="GQ232" s="989">
        <f ca="1">GQ231-GS229-GT229</f>
        <v>0</v>
      </c>
      <c r="GR232" s="989">
        <f ca="1">OFFSET(貼付け_2026実績,$G232,SUM(COLUMN()-COLUMN(貼付け_2026実績))-1)</f>
        <v>0</v>
      </c>
      <c r="GS232" s="989" t="str">
        <f ca="1">IFERROR(GQ232/GR232,"")</f>
        <v/>
      </c>
      <c r="GT232" s="991"/>
      <c r="GU232" s="989">
        <f ca="1">GU231-GW229-GX229</f>
        <v>0</v>
      </c>
      <c r="GV232" s="989">
        <f ca="1">OFFSET(貼付け_2026実績,$G232,SUM(COLUMN()-COLUMN(貼付け_2026実績))-1)</f>
        <v>0</v>
      </c>
      <c r="GW232" s="989" t="str">
        <f ca="1">IFERROR(GU232/GV232,"")</f>
        <v/>
      </c>
      <c r="GX232" s="991"/>
      <c r="GY232" s="989">
        <f ca="1">GY231-HA229-HB229</f>
        <v>0</v>
      </c>
      <c r="GZ232" s="989">
        <f ca="1">OFFSET(貼付け_2026実績,$G232,SUM(COLUMN()-COLUMN(貼付け_2026実績))-1)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SUMPRODUCT(OFFSET(貼付け_2026実績,$F233,4,5,1),OFFSET(貼付け_2026実績,$F233,SUM(COLUMN()-COLUMN(貼付け_2026実績)),5,1))</f>
        <v>0</v>
      </c>
      <c r="J233" s="989">
        <f ca="1">SUMPRODUCT(OFFSET(貼付け_2026実績,$F233,4,5,1),OFFSET(貼付け_2026実績,$F233,SUM(COLUMN()-COLUMN(貼付け_2026実績)),5,1))</f>
        <v>0</v>
      </c>
      <c r="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991"/>
      <c r="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991"/>
      <c r="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991"/>
      <c r="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991"/>
      <c r="A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991"/>
      <c r="A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991"/>
      <c r="A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991"/>
      <c r="A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991"/>
      <c r="A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991"/>
      <c r="A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991"/>
      <c r="A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991"/>
      <c r="B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991"/>
      <c r="B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991"/>
      <c r="B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991"/>
      <c r="B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991"/>
      <c r="B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991"/>
      <c r="B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991"/>
      <c r="C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991"/>
      <c r="C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991"/>
      <c r="C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991"/>
      <c r="C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991"/>
      <c r="C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991"/>
      <c r="C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991"/>
      <c r="C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991"/>
      <c r="D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991"/>
      <c r="D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991"/>
      <c r="D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991"/>
      <c r="D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991"/>
      <c r="D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991"/>
      <c r="D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991"/>
      <c r="E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991"/>
      <c r="E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991"/>
      <c r="E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991"/>
      <c r="E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991"/>
      <c r="E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991"/>
      <c r="E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991"/>
      <c r="E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991"/>
      <c r="F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991"/>
      <c r="F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991"/>
      <c r="F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991"/>
      <c r="F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991"/>
      <c r="F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991"/>
      <c r="F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991"/>
      <c r="G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991"/>
      <c r="G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991"/>
      <c r="G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991"/>
      <c r="G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991"/>
      <c r="G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991"/>
      <c r="G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991"/>
      <c r="G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SUMPRODUCT(OFFSET(貼付け_2026実績,$F234,5,5,1),OFFSET(貼付け_2026実績,$F234,SUM(COLUMN()-COLUMN(貼付け_2026実績)),5,1))</f>
        <v>0</v>
      </c>
      <c r="J234" s="989">
        <f ca="1">SUMPRODUCT(OFFSET(貼付け_2026実績,$F234,5,5,1),OFFSET(貼付け_2026実績,$F234,SUM(COLUMN()-COLUMN(貼付け_2026実績)),5,1))</f>
        <v>0</v>
      </c>
      <c r="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991"/>
      <c r="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991"/>
      <c r="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991"/>
      <c r="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991"/>
      <c r="A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991"/>
      <c r="A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991"/>
      <c r="A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991"/>
      <c r="A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991"/>
      <c r="A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991"/>
      <c r="A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991"/>
      <c r="A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991"/>
      <c r="B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991"/>
      <c r="B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991"/>
      <c r="B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991"/>
      <c r="B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991"/>
      <c r="B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991"/>
      <c r="B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991"/>
      <c r="C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991"/>
      <c r="C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991"/>
      <c r="C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991"/>
      <c r="C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991"/>
      <c r="C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991"/>
      <c r="C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991"/>
      <c r="C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991"/>
      <c r="D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991"/>
      <c r="D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991"/>
      <c r="D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991"/>
      <c r="D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991"/>
      <c r="D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991"/>
      <c r="D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991"/>
      <c r="E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991"/>
      <c r="E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991"/>
      <c r="E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991"/>
      <c r="E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991"/>
      <c r="E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991"/>
      <c r="E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991"/>
      <c r="E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991"/>
      <c r="F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991"/>
      <c r="F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991"/>
      <c r="F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991"/>
      <c r="F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991"/>
      <c r="F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991"/>
      <c r="F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991"/>
      <c r="G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991"/>
      <c r="G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991"/>
      <c r="G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991"/>
      <c r="G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991"/>
      <c r="G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991"/>
      <c r="G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991"/>
      <c r="G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991"/>
      <c r="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991"/>
      <c r="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991"/>
      <c r="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991"/>
      <c r="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991"/>
      <c r="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991"/>
      <c r="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991"/>
      <c r="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991"/>
      <c r="A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991"/>
      <c r="A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991"/>
      <c r="A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991"/>
      <c r="A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991"/>
      <c r="A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991"/>
      <c r="A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991"/>
      <c r="A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991"/>
      <c r="A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991"/>
      <c r="A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991"/>
      <c r="A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991"/>
      <c r="A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991"/>
      <c r="A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991"/>
      <c r="A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991"/>
      <c r="B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991"/>
      <c r="B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991"/>
      <c r="B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991"/>
      <c r="B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991"/>
      <c r="B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991"/>
      <c r="B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991"/>
      <c r="B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991"/>
      <c r="B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991"/>
      <c r="B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991"/>
      <c r="B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991"/>
      <c r="B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991"/>
      <c r="B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991"/>
      <c r="B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991"/>
      <c r="C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991"/>
      <c r="C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991"/>
      <c r="C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991"/>
      <c r="C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991"/>
      <c r="C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991"/>
      <c r="C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991"/>
      <c r="C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991"/>
      <c r="C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991"/>
      <c r="C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991"/>
      <c r="C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991"/>
      <c r="C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991"/>
      <c r="C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991"/>
      <c r="C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991"/>
      <c r="D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991"/>
      <c r="D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991"/>
      <c r="D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991"/>
      <c r="D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991"/>
      <c r="D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991"/>
      <c r="D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991"/>
      <c r="D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991"/>
      <c r="D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991"/>
      <c r="D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991"/>
      <c r="D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991"/>
      <c r="D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991"/>
      <c r="D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991"/>
      <c r="D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991"/>
      <c r="E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991"/>
      <c r="E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991"/>
      <c r="E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991"/>
      <c r="E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991"/>
      <c r="E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991"/>
      <c r="E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991"/>
      <c r="E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991"/>
      <c r="E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991"/>
      <c r="E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991"/>
      <c r="E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991"/>
      <c r="E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991"/>
      <c r="E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991"/>
      <c r="E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991"/>
      <c r="F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991"/>
      <c r="F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991"/>
      <c r="F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991"/>
      <c r="F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991"/>
      <c r="F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991"/>
      <c r="F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991"/>
      <c r="F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991"/>
      <c r="F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991"/>
      <c r="F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991"/>
      <c r="F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991"/>
      <c r="F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991"/>
      <c r="F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991"/>
      <c r="F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991"/>
      <c r="G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991"/>
      <c r="G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991"/>
      <c r="G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991"/>
      <c r="G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991"/>
      <c r="G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991"/>
      <c r="G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991"/>
      <c r="G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991"/>
      <c r="G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991"/>
      <c r="G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991"/>
      <c r="G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991"/>
      <c r="G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991"/>
      <c r="G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991"/>
      <c r="G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991"/>
      <c r="H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991"/>
      <c r="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991"/>
      <c r="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991"/>
      <c r="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991"/>
      <c r="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991"/>
      <c r="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991"/>
      <c r="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991"/>
      <c r="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991"/>
      <c r="A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991"/>
      <c r="A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991"/>
      <c r="A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991"/>
      <c r="A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991"/>
      <c r="A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991"/>
      <c r="A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991"/>
      <c r="A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991"/>
      <c r="A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991"/>
      <c r="A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991"/>
      <c r="A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991"/>
      <c r="A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991"/>
      <c r="A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991"/>
      <c r="A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991"/>
      <c r="B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991"/>
      <c r="B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991"/>
      <c r="B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991"/>
      <c r="B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991"/>
      <c r="B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991"/>
      <c r="B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991"/>
      <c r="B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991"/>
      <c r="B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991"/>
      <c r="B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991"/>
      <c r="B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991"/>
      <c r="B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991"/>
      <c r="B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991"/>
      <c r="B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991"/>
      <c r="C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991"/>
      <c r="C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991"/>
      <c r="C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991"/>
      <c r="C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991"/>
      <c r="C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991"/>
      <c r="C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991"/>
      <c r="C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991"/>
      <c r="C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991"/>
      <c r="C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991"/>
      <c r="C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991"/>
      <c r="C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991"/>
      <c r="C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991"/>
      <c r="C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991"/>
      <c r="D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991"/>
      <c r="D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991"/>
      <c r="D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991"/>
      <c r="D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991"/>
      <c r="D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991"/>
      <c r="D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991"/>
      <c r="D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991"/>
      <c r="D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991"/>
      <c r="D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991"/>
      <c r="D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991"/>
      <c r="D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991"/>
      <c r="D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991"/>
      <c r="D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991"/>
      <c r="E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991"/>
      <c r="E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991"/>
      <c r="E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991"/>
      <c r="E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991"/>
      <c r="E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991"/>
      <c r="E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991"/>
      <c r="E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991"/>
      <c r="E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991"/>
      <c r="E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991"/>
      <c r="E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991"/>
      <c r="E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991"/>
      <c r="E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991"/>
      <c r="E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991"/>
      <c r="F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991"/>
      <c r="F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991"/>
      <c r="F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991"/>
      <c r="F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991"/>
      <c r="F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991"/>
      <c r="F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991"/>
      <c r="F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991"/>
      <c r="F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991"/>
      <c r="F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991"/>
      <c r="F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991"/>
      <c r="F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991"/>
      <c r="F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991"/>
      <c r="F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991"/>
      <c r="G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991"/>
      <c r="G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991"/>
      <c r="G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991"/>
      <c r="G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991"/>
      <c r="G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991"/>
      <c r="G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991"/>
      <c r="G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991"/>
      <c r="G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991"/>
      <c r="G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991"/>
      <c r="G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991"/>
      <c r="G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991"/>
      <c r="G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991"/>
      <c r="G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991"/>
      <c r="H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991"/>
      <c r="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991"/>
      <c r="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991"/>
      <c r="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991"/>
      <c r="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991"/>
      <c r="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991"/>
      <c r="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991"/>
      <c r="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991"/>
      <c r="A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991"/>
      <c r="A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991"/>
      <c r="A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991"/>
      <c r="A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991"/>
      <c r="A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991"/>
      <c r="A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991"/>
      <c r="A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991"/>
      <c r="A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991"/>
      <c r="A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991"/>
      <c r="A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991"/>
      <c r="A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991"/>
      <c r="A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991"/>
      <c r="A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991"/>
      <c r="B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991"/>
      <c r="B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991"/>
      <c r="B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991"/>
      <c r="B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991"/>
      <c r="B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991"/>
      <c r="B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991"/>
      <c r="B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991"/>
      <c r="B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991"/>
      <c r="B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991"/>
      <c r="B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991"/>
      <c r="B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991"/>
      <c r="B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991"/>
      <c r="B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991"/>
      <c r="C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991"/>
      <c r="C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991"/>
      <c r="C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991"/>
      <c r="C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991"/>
      <c r="C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991"/>
      <c r="C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991"/>
      <c r="C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991"/>
      <c r="C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991"/>
      <c r="C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991"/>
      <c r="C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991"/>
      <c r="C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991"/>
      <c r="C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991"/>
      <c r="C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991"/>
      <c r="D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991"/>
      <c r="D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991"/>
      <c r="D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991"/>
      <c r="D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991"/>
      <c r="D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991"/>
      <c r="D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991"/>
      <c r="D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991"/>
      <c r="D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991"/>
      <c r="D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991"/>
      <c r="D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991"/>
      <c r="D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991"/>
      <c r="D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991"/>
      <c r="D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991"/>
      <c r="E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991"/>
      <c r="E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991"/>
      <c r="E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991"/>
      <c r="E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991"/>
      <c r="E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991"/>
      <c r="E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991"/>
      <c r="E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991"/>
      <c r="E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991"/>
      <c r="E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991"/>
      <c r="E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991"/>
      <c r="E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991"/>
      <c r="E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991"/>
      <c r="E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991"/>
      <c r="F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991"/>
      <c r="F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991"/>
      <c r="F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991"/>
      <c r="F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991"/>
      <c r="F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991"/>
      <c r="F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991"/>
      <c r="F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991"/>
      <c r="F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991"/>
      <c r="F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991"/>
      <c r="F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991"/>
      <c r="F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991"/>
      <c r="F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991"/>
      <c r="F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991"/>
      <c r="G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991"/>
      <c r="G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991"/>
      <c r="G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991"/>
      <c r="G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991"/>
      <c r="G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991"/>
      <c r="G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991"/>
      <c r="G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991"/>
      <c r="G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991"/>
      <c r="G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991"/>
      <c r="G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991"/>
      <c r="G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991"/>
      <c r="G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991"/>
      <c r="G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991"/>
      <c r="H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991"/>
      <c r="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991"/>
      <c r="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991"/>
      <c r="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991"/>
      <c r="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991"/>
      <c r="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991"/>
      <c r="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991"/>
      <c r="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991"/>
      <c r="A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991"/>
      <c r="A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991"/>
      <c r="A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991"/>
      <c r="A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991"/>
      <c r="A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991"/>
      <c r="A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991"/>
      <c r="A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991"/>
      <c r="A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991"/>
      <c r="A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991"/>
      <c r="A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991"/>
      <c r="A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991"/>
      <c r="A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991"/>
      <c r="A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991"/>
      <c r="B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991"/>
      <c r="B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991"/>
      <c r="B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991"/>
      <c r="B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991"/>
      <c r="B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991"/>
      <c r="B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991"/>
      <c r="B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991"/>
      <c r="B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991"/>
      <c r="B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991"/>
      <c r="B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991"/>
      <c r="B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991"/>
      <c r="B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991"/>
      <c r="B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991"/>
      <c r="C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991"/>
      <c r="C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991"/>
      <c r="C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991"/>
      <c r="C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991"/>
      <c r="C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991"/>
      <c r="C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991"/>
      <c r="C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991"/>
      <c r="C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991"/>
      <c r="C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991"/>
      <c r="C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991"/>
      <c r="C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991"/>
      <c r="C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991"/>
      <c r="C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991"/>
      <c r="D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991"/>
      <c r="D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991"/>
      <c r="D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991"/>
      <c r="D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991"/>
      <c r="D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991"/>
      <c r="D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991"/>
      <c r="D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991"/>
      <c r="D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991"/>
      <c r="D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991"/>
      <c r="D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991"/>
      <c r="D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991"/>
      <c r="D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991"/>
      <c r="D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991"/>
      <c r="E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991"/>
      <c r="E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991"/>
      <c r="E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991"/>
      <c r="E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991"/>
      <c r="E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991"/>
      <c r="E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991"/>
      <c r="E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991"/>
      <c r="E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991"/>
      <c r="E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991"/>
      <c r="E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991"/>
      <c r="E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991"/>
      <c r="E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991"/>
      <c r="E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991"/>
      <c r="F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991"/>
      <c r="F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991"/>
      <c r="F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991"/>
      <c r="F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991"/>
      <c r="F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991"/>
      <c r="F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991"/>
      <c r="F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991"/>
      <c r="F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991"/>
      <c r="F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991"/>
      <c r="F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991"/>
      <c r="F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991"/>
      <c r="F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991"/>
      <c r="F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991"/>
      <c r="G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991"/>
      <c r="G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991"/>
      <c r="G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991"/>
      <c r="G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991"/>
      <c r="G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991"/>
      <c r="G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991"/>
      <c r="G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991"/>
      <c r="G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991"/>
      <c r="G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991"/>
      <c r="G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991"/>
      <c r="G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991"/>
      <c r="G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991"/>
      <c r="G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991"/>
      <c r="H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991"/>
      <c r="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991"/>
      <c r="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991"/>
      <c r="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991"/>
      <c r="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991"/>
      <c r="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991"/>
      <c r="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991"/>
      <c r="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991"/>
      <c r="A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991"/>
      <c r="A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991"/>
      <c r="A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991"/>
      <c r="A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991"/>
      <c r="A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991"/>
      <c r="A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991"/>
      <c r="A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991"/>
      <c r="A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991"/>
      <c r="A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991"/>
      <c r="A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991"/>
      <c r="A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991"/>
      <c r="A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991"/>
      <c r="A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991"/>
      <c r="B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991"/>
      <c r="B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991"/>
      <c r="B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991"/>
      <c r="B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991"/>
      <c r="B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991"/>
      <c r="B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991"/>
      <c r="B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991"/>
      <c r="B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991"/>
      <c r="B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991"/>
      <c r="B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991"/>
      <c r="B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991"/>
      <c r="B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991"/>
      <c r="B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991"/>
      <c r="C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991"/>
      <c r="C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991"/>
      <c r="C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991"/>
      <c r="C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991"/>
      <c r="C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991"/>
      <c r="C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991"/>
      <c r="C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991"/>
      <c r="C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991"/>
      <c r="C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991"/>
      <c r="C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991"/>
      <c r="C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991"/>
      <c r="C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991"/>
      <c r="C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991"/>
      <c r="D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991"/>
      <c r="D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991"/>
      <c r="D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991"/>
      <c r="D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991"/>
      <c r="D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991"/>
      <c r="D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991"/>
      <c r="D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991"/>
      <c r="D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991"/>
      <c r="D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991"/>
      <c r="D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991"/>
      <c r="D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991"/>
      <c r="D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991"/>
      <c r="D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991"/>
      <c r="E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991"/>
      <c r="E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991"/>
      <c r="E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991"/>
      <c r="E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991"/>
      <c r="E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991"/>
      <c r="E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991"/>
      <c r="E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991"/>
      <c r="E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991"/>
      <c r="E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991"/>
      <c r="E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991"/>
      <c r="E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991"/>
      <c r="E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991"/>
      <c r="E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991"/>
      <c r="F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991"/>
      <c r="F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991"/>
      <c r="F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991"/>
      <c r="F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991"/>
      <c r="F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991"/>
      <c r="F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991"/>
      <c r="F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991"/>
      <c r="F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991"/>
      <c r="F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991"/>
      <c r="F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991"/>
      <c r="F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991"/>
      <c r="F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991"/>
      <c r="F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991"/>
      <c r="G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991"/>
      <c r="G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991"/>
      <c r="G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991"/>
      <c r="G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991"/>
      <c r="G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991"/>
      <c r="G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991"/>
      <c r="G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991"/>
      <c r="G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991"/>
      <c r="G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991"/>
      <c r="G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991"/>
      <c r="G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991"/>
      <c r="G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991"/>
      <c r="G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991"/>
      <c r="H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991"/>
      <c r="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991"/>
      <c r="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991"/>
      <c r="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991"/>
      <c r="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991"/>
      <c r="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991"/>
      <c r="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991"/>
      <c r="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991"/>
      <c r="A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991"/>
      <c r="A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991"/>
      <c r="A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991"/>
      <c r="A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991"/>
      <c r="A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991"/>
      <c r="A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991"/>
      <c r="A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991"/>
      <c r="A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991"/>
      <c r="A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991"/>
      <c r="A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991"/>
      <c r="A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991"/>
      <c r="A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991"/>
      <c r="A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991"/>
      <c r="B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991"/>
      <c r="B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991"/>
      <c r="B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991"/>
      <c r="B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991"/>
      <c r="B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991"/>
      <c r="B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991"/>
      <c r="B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991"/>
      <c r="B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991"/>
      <c r="B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991"/>
      <c r="B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991"/>
      <c r="B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991"/>
      <c r="B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991"/>
      <c r="B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991"/>
      <c r="C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991"/>
      <c r="C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991"/>
      <c r="C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991"/>
      <c r="C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991"/>
      <c r="C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991"/>
      <c r="C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991"/>
      <c r="C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991"/>
      <c r="C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991"/>
      <c r="C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991"/>
      <c r="C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991"/>
      <c r="C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991"/>
      <c r="C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991"/>
      <c r="C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991"/>
      <c r="D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991"/>
      <c r="D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991"/>
      <c r="D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991"/>
      <c r="D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991"/>
      <c r="D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991"/>
      <c r="D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991"/>
      <c r="D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991"/>
      <c r="D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991"/>
      <c r="D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991"/>
      <c r="D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991"/>
      <c r="D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991"/>
      <c r="D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991"/>
      <c r="D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991"/>
      <c r="E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991"/>
      <c r="E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991"/>
      <c r="E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991"/>
      <c r="E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991"/>
      <c r="E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991"/>
      <c r="E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991"/>
      <c r="E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991"/>
      <c r="E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991"/>
      <c r="E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991"/>
      <c r="E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991"/>
      <c r="E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991"/>
      <c r="E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991"/>
      <c r="E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991"/>
      <c r="F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991"/>
      <c r="F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991"/>
      <c r="F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991"/>
      <c r="F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991"/>
      <c r="F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991"/>
      <c r="F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991"/>
      <c r="F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991"/>
      <c r="F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991"/>
      <c r="F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991"/>
      <c r="F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991"/>
      <c r="F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991"/>
      <c r="F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991"/>
      <c r="F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991"/>
      <c r="G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991"/>
      <c r="G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991"/>
      <c r="G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991"/>
      <c r="G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991"/>
      <c r="G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991"/>
      <c r="G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991"/>
      <c r="G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991"/>
      <c r="G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991"/>
      <c r="G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991"/>
      <c r="G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991"/>
      <c r="G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991"/>
      <c r="G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991"/>
      <c r="G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991"/>
      <c r="H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SUMPRODUCT(OFFSET(貼付け_2026実績,$F241,4,10,1),OFFSET(貼付け_2026実績,$F241,SUM(COLUMN()-COLUMN(貼付け_2026実績)),10,1))*1000</f>
        <v>0</v>
      </c>
      <c r="J241" s="989">
        <f ca="1">SUMPRODUCT(OFFSET(貼付け_2026実績,$F241,4,10,1),OFFSET(貼付け_2026実績,$F241,SUM(COLUMN()-COLUMN(貼付け_2026実績)),10,1))*1000</f>
        <v>0</v>
      </c>
      <c r="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991"/>
      <c r="M241" s="991"/>
      <c r="N241" s="991"/>
      <c r="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991"/>
      <c r="Q241" s="991"/>
      <c r="R241" s="991"/>
      <c r="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991"/>
      <c r="U241" s="991"/>
      <c r="V241" s="991"/>
      <c r="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991"/>
      <c r="Y241" s="991"/>
      <c r="Z241" s="991"/>
      <c r="A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991"/>
      <c r="AC241" s="991"/>
      <c r="AD241" s="991"/>
      <c r="A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991"/>
      <c r="AG241" s="991"/>
      <c r="AH241" s="991"/>
      <c r="A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991"/>
      <c r="AK241" s="991"/>
      <c r="AL241" s="991"/>
      <c r="A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991"/>
      <c r="AO241" s="991"/>
      <c r="AP241" s="991"/>
      <c r="A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991"/>
      <c r="AS241" s="991"/>
      <c r="AT241" s="991"/>
      <c r="A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991"/>
      <c r="AW241" s="991"/>
      <c r="AX241" s="991"/>
      <c r="A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991"/>
      <c r="BA241" s="991"/>
      <c r="BB241" s="991"/>
      <c r="B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991"/>
      <c r="BE241" s="991"/>
      <c r="BF241" s="991"/>
      <c r="B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991"/>
      <c r="BI241" s="991"/>
      <c r="BJ241" s="991"/>
      <c r="B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991"/>
      <c r="BM241" s="991"/>
      <c r="BN241" s="991"/>
      <c r="B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991"/>
      <c r="BQ241" s="991"/>
      <c r="BR241" s="991"/>
      <c r="B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991"/>
      <c r="BU241" s="991"/>
      <c r="BV241" s="991"/>
      <c r="B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991"/>
      <c r="BY241" s="991"/>
      <c r="BZ241" s="991"/>
      <c r="C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991"/>
      <c r="CC241" s="991"/>
      <c r="CD241" s="991"/>
      <c r="C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991"/>
      <c r="CG241" s="991"/>
      <c r="CH241" s="991"/>
      <c r="C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991"/>
      <c r="CK241" s="991"/>
      <c r="CL241" s="991"/>
      <c r="C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991"/>
      <c r="CO241" s="991"/>
      <c r="CP241" s="991"/>
      <c r="C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991"/>
      <c r="CS241" s="991"/>
      <c r="CT241" s="991"/>
      <c r="C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991"/>
      <c r="CW241" s="991"/>
      <c r="CX241" s="991"/>
      <c r="C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991"/>
      <c r="DA241" s="991"/>
      <c r="DB241" s="991"/>
      <c r="D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991"/>
      <c r="DE241" s="991"/>
      <c r="DF241" s="991"/>
      <c r="D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991"/>
      <c r="DI241" s="991"/>
      <c r="DJ241" s="991"/>
      <c r="D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991"/>
      <c r="DM241" s="991"/>
      <c r="DN241" s="991"/>
      <c r="D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991"/>
      <c r="DQ241" s="991"/>
      <c r="DR241" s="991"/>
      <c r="D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991"/>
      <c r="DU241" s="991"/>
      <c r="DV241" s="991"/>
      <c r="D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991"/>
      <c r="DY241" s="991"/>
      <c r="DZ241" s="991"/>
      <c r="E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991"/>
      <c r="EC241" s="991"/>
      <c r="ED241" s="991"/>
      <c r="E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991"/>
      <c r="EG241" s="991"/>
      <c r="EH241" s="991"/>
      <c r="E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991"/>
      <c r="EK241" s="991"/>
      <c r="EL241" s="991"/>
      <c r="E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991"/>
      <c r="EO241" s="991"/>
      <c r="EP241" s="991"/>
      <c r="E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991"/>
      <c r="ES241" s="991"/>
      <c r="ET241" s="991"/>
      <c r="E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991"/>
      <c r="EW241" s="991"/>
      <c r="EX241" s="991"/>
      <c r="E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991"/>
      <c r="FA241" s="991"/>
      <c r="FB241" s="991"/>
      <c r="F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991"/>
      <c r="FE241" s="991"/>
      <c r="FF241" s="991"/>
      <c r="F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991"/>
      <c r="FI241" s="991"/>
      <c r="FJ241" s="991"/>
      <c r="F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991"/>
      <c r="FM241" s="991"/>
      <c r="FN241" s="991"/>
      <c r="F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991"/>
      <c r="FQ241" s="991"/>
      <c r="FR241" s="991"/>
      <c r="F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991"/>
      <c r="FU241" s="991"/>
      <c r="FV241" s="991"/>
      <c r="F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991"/>
      <c r="FY241" s="991"/>
      <c r="FZ241" s="991"/>
      <c r="G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991"/>
      <c r="GC241" s="991"/>
      <c r="GD241" s="991"/>
      <c r="G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991"/>
      <c r="GG241" s="991"/>
      <c r="GH241" s="991"/>
      <c r="G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991"/>
      <c r="GK241" s="991"/>
      <c r="GL241" s="991"/>
      <c r="G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991"/>
      <c r="GO241" s="991"/>
      <c r="GP241" s="991"/>
      <c r="G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991"/>
      <c r="GS241" s="991"/>
      <c r="GT241" s="991"/>
      <c r="G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991"/>
      <c r="GW241" s="991"/>
      <c r="GX241" s="991"/>
      <c r="G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SUMPRODUCT(OFFSET(貼付け_2026実績,$F242,5,10,1),OFFSET(貼付け_2026実績,$F242,SUM(COLUMN()-COLUMN(貼付け_2026実績)),10,1))*1000</f>
        <v>0</v>
      </c>
      <c r="J242" s="989">
        <f ca="1">SUMPRODUCT(OFFSET(貼付け_2026実績,$F242,5,10,1),OFFSET(貼付け_2026実績,$F242,SUM(COLUMN()-COLUMN(貼付け_2026実績)),10,1))*1000</f>
        <v>0</v>
      </c>
      <c r="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71"/>
      <c r="M242" s="471"/>
      <c r="N242" s="471"/>
      <c r="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71"/>
      <c r="Q242" s="471"/>
      <c r="R242" s="471"/>
      <c r="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71"/>
      <c r="U242" s="471"/>
      <c r="V242" s="471"/>
      <c r="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71"/>
      <c r="Y242" s="471"/>
      <c r="Z242" s="471"/>
      <c r="A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71"/>
      <c r="AC242" s="471"/>
      <c r="AD242" s="471"/>
      <c r="A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71"/>
      <c r="AG242" s="471"/>
      <c r="AH242" s="471"/>
      <c r="A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71"/>
      <c r="AK242" s="471"/>
      <c r="AL242" s="471"/>
      <c r="A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71"/>
      <c r="AO242" s="471"/>
      <c r="AP242" s="471"/>
      <c r="A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71"/>
      <c r="AS242" s="471"/>
      <c r="AT242" s="471"/>
      <c r="A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71"/>
      <c r="AW242" s="471"/>
      <c r="AX242" s="471"/>
      <c r="A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71"/>
      <c r="BA242" s="471"/>
      <c r="BB242" s="471"/>
      <c r="B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71"/>
      <c r="BE242" s="471"/>
      <c r="BF242" s="471"/>
      <c r="B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71"/>
      <c r="BI242" s="471"/>
      <c r="BJ242" s="471"/>
      <c r="B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71"/>
      <c r="BM242" s="471"/>
      <c r="BN242" s="471"/>
      <c r="B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71"/>
      <c r="BQ242" s="471"/>
      <c r="BR242" s="471"/>
      <c r="B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71"/>
      <c r="BU242" s="471"/>
      <c r="BV242" s="471"/>
      <c r="B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71"/>
      <c r="BY242" s="471"/>
      <c r="BZ242" s="471"/>
      <c r="C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71"/>
      <c r="CC242" s="471"/>
      <c r="CD242" s="471"/>
      <c r="C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71"/>
      <c r="CG242" s="471"/>
      <c r="CH242" s="471"/>
      <c r="C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71"/>
      <c r="CK242" s="471"/>
      <c r="CL242" s="471"/>
      <c r="C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71"/>
      <c r="CO242" s="471"/>
      <c r="CP242" s="471"/>
      <c r="C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71"/>
      <c r="CS242" s="471"/>
      <c r="CT242" s="471"/>
      <c r="C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71"/>
      <c r="CW242" s="471"/>
      <c r="CX242" s="471"/>
      <c r="C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71"/>
      <c r="DA242" s="471"/>
      <c r="DB242" s="471"/>
      <c r="D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71"/>
      <c r="DE242" s="471"/>
      <c r="DF242" s="471"/>
      <c r="D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71"/>
      <c r="DI242" s="471"/>
      <c r="DJ242" s="471"/>
      <c r="D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71"/>
      <c r="DM242" s="471"/>
      <c r="DN242" s="471"/>
      <c r="D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71"/>
      <c r="DQ242" s="471"/>
      <c r="DR242" s="471"/>
      <c r="D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71"/>
      <c r="DU242" s="471"/>
      <c r="DV242" s="471"/>
      <c r="D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71"/>
      <c r="DY242" s="471"/>
      <c r="DZ242" s="471"/>
      <c r="E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71"/>
      <c r="EC242" s="471"/>
      <c r="ED242" s="471"/>
      <c r="E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71"/>
      <c r="EG242" s="471"/>
      <c r="EH242" s="471"/>
      <c r="E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71"/>
      <c r="EK242" s="471"/>
      <c r="EL242" s="471"/>
      <c r="E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71"/>
      <c r="EO242" s="471"/>
      <c r="EP242" s="471"/>
      <c r="E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71"/>
      <c r="ES242" s="471"/>
      <c r="ET242" s="471"/>
      <c r="E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71"/>
      <c r="EW242" s="471"/>
      <c r="EX242" s="471"/>
      <c r="E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71"/>
      <c r="FA242" s="471"/>
      <c r="FB242" s="471"/>
      <c r="F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71"/>
      <c r="FE242" s="471"/>
      <c r="FF242" s="471"/>
      <c r="F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71"/>
      <c r="FI242" s="471"/>
      <c r="FJ242" s="471"/>
      <c r="F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71"/>
      <c r="FM242" s="471"/>
      <c r="FN242" s="471"/>
      <c r="F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71"/>
      <c r="FQ242" s="471"/>
      <c r="FR242" s="471"/>
      <c r="F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71"/>
      <c r="FU242" s="471"/>
      <c r="FV242" s="471"/>
      <c r="F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71"/>
      <c r="FY242" s="471"/>
      <c r="FZ242" s="471"/>
      <c r="G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71"/>
      <c r="GC242" s="471"/>
      <c r="GD242" s="471"/>
      <c r="G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71"/>
      <c r="GG242" s="471"/>
      <c r="GH242" s="471"/>
      <c r="G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71"/>
      <c r="GK242" s="471"/>
      <c r="GL242" s="471"/>
      <c r="G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71"/>
      <c r="GO242" s="471"/>
      <c r="GP242" s="471"/>
      <c r="G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71"/>
      <c r="GS242" s="471"/>
      <c r="GT242" s="471"/>
      <c r="G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71"/>
      <c r="GW242" s="471"/>
      <c r="GX242" s="471"/>
      <c r="G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991"/>
      <c r="M243" s="991"/>
      <c r="N243" s="991"/>
      <c r="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991"/>
      <c r="Q243" s="991"/>
      <c r="R243" s="991"/>
      <c r="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991"/>
      <c r="U243" s="991"/>
      <c r="V243" s="991"/>
      <c r="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991"/>
      <c r="Y243" s="991"/>
      <c r="Z243" s="991"/>
      <c r="A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991"/>
      <c r="AC243" s="991"/>
      <c r="AD243" s="991"/>
      <c r="A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991"/>
      <c r="AG243" s="991"/>
      <c r="AH243" s="991"/>
      <c r="A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991"/>
      <c r="AK243" s="991"/>
      <c r="AL243" s="991"/>
      <c r="A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991"/>
      <c r="AO243" s="991"/>
      <c r="AP243" s="991"/>
      <c r="A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991"/>
      <c r="AS243" s="991"/>
      <c r="AT243" s="991"/>
      <c r="A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991"/>
      <c r="AW243" s="991"/>
      <c r="AX243" s="991"/>
      <c r="A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991"/>
      <c r="BA243" s="991"/>
      <c r="BB243" s="991"/>
      <c r="B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991"/>
      <c r="BE243" s="991"/>
      <c r="BF243" s="991"/>
      <c r="B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991"/>
      <c r="BI243" s="991"/>
      <c r="BJ243" s="991"/>
      <c r="B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991"/>
      <c r="BM243" s="991"/>
      <c r="BN243" s="991"/>
      <c r="B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991"/>
      <c r="BQ243" s="991"/>
      <c r="BR243" s="991"/>
      <c r="B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991"/>
      <c r="BU243" s="991"/>
      <c r="BV243" s="991"/>
      <c r="B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991"/>
      <c r="BY243" s="991"/>
      <c r="BZ243" s="991"/>
      <c r="C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991"/>
      <c r="CC243" s="991"/>
      <c r="CD243" s="991"/>
      <c r="C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991"/>
      <c r="CG243" s="991"/>
      <c r="CH243" s="991"/>
      <c r="C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991"/>
      <c r="CK243" s="991"/>
      <c r="CL243" s="991"/>
      <c r="C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991"/>
      <c r="CO243" s="991"/>
      <c r="CP243" s="991"/>
      <c r="C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991"/>
      <c r="CS243" s="991"/>
      <c r="CT243" s="991"/>
      <c r="C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991"/>
      <c r="CW243" s="991"/>
      <c r="CX243" s="991"/>
      <c r="C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991"/>
      <c r="DA243" s="991"/>
      <c r="DB243" s="991"/>
      <c r="D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991"/>
      <c r="DE243" s="991"/>
      <c r="DF243" s="991"/>
      <c r="D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991"/>
      <c r="DI243" s="991"/>
      <c r="DJ243" s="991"/>
      <c r="D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991"/>
      <c r="DM243" s="991"/>
      <c r="DN243" s="991"/>
      <c r="D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991"/>
      <c r="DQ243" s="991"/>
      <c r="DR243" s="991"/>
      <c r="D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991"/>
      <c r="DU243" s="991"/>
      <c r="DV243" s="991"/>
      <c r="D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991"/>
      <c r="DY243" s="991"/>
      <c r="DZ243" s="991"/>
      <c r="E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991"/>
      <c r="EC243" s="991"/>
      <c r="ED243" s="991"/>
      <c r="E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991"/>
      <c r="EG243" s="991"/>
      <c r="EH243" s="991"/>
      <c r="E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991"/>
      <c r="EK243" s="991"/>
      <c r="EL243" s="991"/>
      <c r="E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991"/>
      <c r="EO243" s="991"/>
      <c r="EP243" s="991"/>
      <c r="E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991"/>
      <c r="ES243" s="991"/>
      <c r="ET243" s="991"/>
      <c r="E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991"/>
      <c r="EW243" s="991"/>
      <c r="EX243" s="991"/>
      <c r="E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991"/>
      <c r="FA243" s="991"/>
      <c r="FB243" s="991"/>
      <c r="F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991"/>
      <c r="FE243" s="991"/>
      <c r="FF243" s="991"/>
      <c r="F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991"/>
      <c r="FI243" s="991"/>
      <c r="FJ243" s="991"/>
      <c r="F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991"/>
      <c r="FM243" s="991"/>
      <c r="FN243" s="991"/>
      <c r="F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991"/>
      <c r="FQ243" s="991"/>
      <c r="FR243" s="991"/>
      <c r="F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991"/>
      <c r="FU243" s="991"/>
      <c r="FV243" s="991"/>
      <c r="F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991"/>
      <c r="FY243" s="991"/>
      <c r="FZ243" s="991"/>
      <c r="G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991"/>
      <c r="GC243" s="991"/>
      <c r="GD243" s="991"/>
      <c r="G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991"/>
      <c r="GG243" s="991"/>
      <c r="GH243" s="991"/>
      <c r="G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991"/>
      <c r="GK243" s="991"/>
      <c r="GL243" s="991"/>
      <c r="G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991"/>
      <c r="GO243" s="991"/>
      <c r="GP243" s="991"/>
      <c r="G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991"/>
      <c r="GS243" s="991"/>
      <c r="GT243" s="991"/>
      <c r="G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991"/>
      <c r="GW243" s="991"/>
      <c r="GX243" s="991"/>
      <c r="G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991"/>
      <c r="HA243" s="991"/>
      <c r="HB243" s="991"/>
      <c r="IE243" s="927"/>
      <c r="IF243" s="927"/>
      <c r="IG243" s="927"/>
      <c r="IH243" s="927"/>
    </row>
    <row r="244" spans="1:242" hidden="1"/>
    <row r="245" spans="1:242" s="879" customFormat="1" ht="20.100000000000001" hidden="1" customHeight="1">
      <c r="A245" s="898" t="s">
        <v>659</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IE245" s="975"/>
      <c r="IF245" s="975"/>
      <c r="IG245" s="975"/>
      <c r="IH245" s="975"/>
    </row>
    <row r="246" spans="1:242" ht="20.100000000000001" hidden="1" customHeight="1" thickBot="1">
      <c r="B246" s="992" t="s">
        <v>660</v>
      </c>
      <c r="C246" s="1048">
        <v>1</v>
      </c>
      <c r="D246" s="996">
        <v>2</v>
      </c>
      <c r="E246" s="1048">
        <v>3</v>
      </c>
      <c r="F246" s="996">
        <v>4</v>
      </c>
      <c r="G246" s="1048">
        <v>5</v>
      </c>
      <c r="H246" s="996">
        <v>6</v>
      </c>
      <c r="I246" s="1048">
        <v>7</v>
      </c>
      <c r="J246" s="996">
        <v>8</v>
      </c>
      <c r="K246" s="1048">
        <v>9</v>
      </c>
      <c r="L246" s="996">
        <v>10</v>
      </c>
      <c r="M246" s="1048">
        <v>11</v>
      </c>
      <c r="N246" s="996">
        <v>12</v>
      </c>
      <c r="O246" s="1048">
        <v>13</v>
      </c>
      <c r="P246" s="996">
        <v>14</v>
      </c>
      <c r="Q246" s="1048">
        <v>15</v>
      </c>
      <c r="R246" s="996">
        <v>16</v>
      </c>
      <c r="S246" s="1048">
        <v>17</v>
      </c>
      <c r="T246" s="996">
        <v>18</v>
      </c>
      <c r="U246" s="1048">
        <v>19</v>
      </c>
      <c r="V246" s="996">
        <v>20</v>
      </c>
      <c r="W246" s="1048">
        <v>21</v>
      </c>
      <c r="X246" s="996">
        <v>22</v>
      </c>
      <c r="Y246" s="1048">
        <v>23</v>
      </c>
      <c r="Z246" s="996">
        <v>24</v>
      </c>
      <c r="AA246" s="1048">
        <v>25</v>
      </c>
      <c r="AB246" s="996">
        <v>26</v>
      </c>
      <c r="AC246" s="1048">
        <v>27</v>
      </c>
      <c r="AD246" s="996">
        <v>28</v>
      </c>
      <c r="AE246" s="1048">
        <v>29</v>
      </c>
      <c r="AF246" s="996">
        <v>30</v>
      </c>
      <c r="AG246" s="1048">
        <v>31</v>
      </c>
      <c r="AH246" s="996">
        <v>32</v>
      </c>
      <c r="AI246" s="1048">
        <v>33</v>
      </c>
      <c r="AJ246" s="996">
        <v>34</v>
      </c>
      <c r="AK246" s="1048">
        <v>35</v>
      </c>
      <c r="AL246" s="996">
        <v>36</v>
      </c>
      <c r="AM246" s="1048">
        <v>37</v>
      </c>
      <c r="AN246" s="996">
        <v>38</v>
      </c>
      <c r="AO246" s="1048">
        <v>39</v>
      </c>
      <c r="AP246" s="996">
        <v>40</v>
      </c>
      <c r="AQ246" s="1048">
        <v>41</v>
      </c>
      <c r="AR246" s="996">
        <v>42</v>
      </c>
    </row>
    <row r="247" spans="1:242" ht="19.5" hidden="1" customHeight="1" thickBot="1">
      <c r="A247" s="881">
        <v>1</v>
      </c>
      <c r="B247" s="1370" t="s">
        <v>623</v>
      </c>
      <c r="C247" s="1371"/>
      <c r="D247" s="1372"/>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347" t="s">
        <v>624</v>
      </c>
      <c r="C248" s="997" t="s">
        <v>625</v>
      </c>
      <c r="D248" s="998">
        <v>2026</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2026年度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348"/>
      <c r="C249" s="1002" t="str">
        <f>"~"&amp;D248-1&amp;"/"&amp;D248</f>
        <v>~2025/2026</v>
      </c>
      <c r="D249" s="1003" t="str">
        <f>""</f>
        <v/>
      </c>
      <c r="E249" s="1004" t="str">
        <f t="shared" ref="E249:AJ249" ca="1" si="102">IF(OFFSET(A1_原単位2025,6,E$247+2)="",OFFSET(A1_原単位2025,3,E$247+2),OFFSET(A1_原単位2025,6,E$247+2))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IF(OFFSET(A1_原単位2025,6,AK$247+2)="",OFFSET(A1_原単位2025,3,AK$247+2),OFFSET(A1_原単位2025,6,AK$247+2))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IFERROR(OFFSET(貼付け_2026実績,5,E248+1),"")&amp;""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IFERROR(OFFSET(貼付け_2026実績,5,AK248+1),"")&amp;""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348"/>
      <c r="C250" s="1002" t="str">
        <f>"~"&amp;D248-1&amp;"&amp;"&amp;D248</f>
        <v>~2025&amp;2026</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348"/>
      <c r="C251" s="1002" t="s">
        <v>626</v>
      </c>
      <c r="D251" s="1003" t="str">
        <f>""</f>
        <v/>
      </c>
      <c r="E251" s="1004" t="str">
        <f t="shared" ref="E251:AJ251" ca="1" si="106">IF(OFFSET(貼付け_2026実績,2,12)="■",BD249,IFERROR(INDEX($BD249:$DA249,MATCH(E250,$BD249:$DA249,0)),""))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IF(OFFSET(貼付け_2026実績,2,12)="■",CJ249,IFERROR(INDEX($BD249:$DA249,MATCH(AK250,$BD249:$DA249,0)),""))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348"/>
      <c r="C252" s="1006" t="s">
        <v>627</v>
      </c>
      <c r="D252" s="1007">
        <v>2</v>
      </c>
      <c r="E252" s="1008" t="str">
        <f t="shared" ref="E252:AJ252" ca="1" si="108">OFFSET(A1_名称2026,E$247+2,$D252)&amp;""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OFFSET(A1_名称2026,AK$247+2,$D252)&amp;""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348"/>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348"/>
      <c r="C254" s="1011" t="s">
        <v>629</v>
      </c>
      <c r="D254" s="1012">
        <v>6</v>
      </c>
      <c r="E254" s="1013" t="str">
        <f t="shared" ref="E254:AJ254" ca="1" si="111">IFERROR(OFFSET(貼付け_2026実績,$D254,E253+1)&amp;"","")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IFERROR(OFFSET(貼付け_2026実績,$D254,AK253+1)&amp;"","")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348"/>
      <c r="C255" s="1017" t="s">
        <v>630</v>
      </c>
      <c r="D255" s="1018">
        <v>99</v>
      </c>
      <c r="E255" s="1019" t="str">
        <f t="shared" ref="E255:AJ255" ca="1" si="113">IFERROR(OFFSET(貼付け_2026実績,$D255,E253),"")</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IFERROR(OFFSET(貼付け_2026実績,$D255,AK253),"")</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989" t="str">
        <f t="shared" ca="1" si="114"/>
        <v/>
      </c>
      <c r="BB255" s="1020" t="str">
        <f t="shared" ca="1" si="114"/>
        <v/>
      </c>
      <c r="IE255" s="927"/>
      <c r="IF255" s="927"/>
      <c r="IG255" s="927"/>
      <c r="IH255" s="927"/>
    </row>
    <row r="256" spans="1:242" s="889" customFormat="1" ht="20.100000000000001" hidden="1" customHeight="1">
      <c r="A256" s="967">
        <v>10</v>
      </c>
      <c r="B256" s="1348"/>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348"/>
      <c r="C257" s="1017" t="s">
        <v>632</v>
      </c>
      <c r="D257" s="1018">
        <v>101</v>
      </c>
      <c r="E257" s="1019" t="str">
        <f t="shared" ref="E257:AJ257" ca="1" si="115">IFERROR(OFFSET(貼付け_2026実績,$D257,E253),"")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IFERROR(OFFSET(貼付け_2026実績,$D257,AK253),"")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348"/>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349"/>
      <c r="C259" s="1021" t="s">
        <v>634</v>
      </c>
      <c r="D259" s="1022">
        <v>12</v>
      </c>
      <c r="E259" s="1023" t="str">
        <f t="shared" ref="E259:AJ259" ca="1" si="118">IFERROR(1-(E258/OFFSET(A1_原単位2025,$D259,E$247+2)),"")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IFERROR(1-(AK258/OFFSET(A1_原単位2025,$D259,AK$247+2)),"")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347" t="s">
        <v>600</v>
      </c>
      <c r="C260" s="997" t="s">
        <v>625</v>
      </c>
      <c r="D260" s="998">
        <v>2026</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2026年度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348"/>
      <c r="C261" s="1002" t="str">
        <f>"~"&amp;D260-1&amp;"/"&amp;D260</f>
        <v>~2025/2026</v>
      </c>
      <c r="D261" s="1003" t="str">
        <f>""</f>
        <v/>
      </c>
      <c r="E261" s="1004" t="str">
        <f t="shared" ref="E261:AJ261" ca="1" si="121">IF(OFFSET(A1_原単位2025,18,E$247+2)="",OFFSET(A1_原単位2025,15,E$247+2),OFFSET(A1_原単位2025,18,E$247+2))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IF(OFFSET(A1_原単位2025,18,AK$247+2)="",OFFSET(A1_原単位2025,15,AK$247+2),OFFSET(A1_原単位2025,18,AK$247+2))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IFERROR(OFFSET(貼付け_2026実績,5,E260+1),"")&amp;""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IFERROR(OFFSET(貼付け_2026実績,5,AK260+1),"")&amp;""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348"/>
      <c r="C262" s="1002" t="str">
        <f>"~"&amp;D260-1&amp;"&amp;"&amp;D260</f>
        <v>~2025&amp;2026</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348"/>
      <c r="C263" s="1002" t="s">
        <v>626</v>
      </c>
      <c r="D263" s="1003" t="str">
        <f>""</f>
        <v/>
      </c>
      <c r="E263" s="1004" t="str">
        <f t="shared" ref="E263:AJ263" ca="1" si="125">IF(OFFSET(貼付け_2026実績,2,12)="■",BD261,IFERROR(INDEX($BD261:$DA261,MATCH(E262,$BD261:$DA261,0)),""))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IF(OFFSET(貼付け_2026実績,2,12)="■",CJ261,IFERROR(INDEX($BD261:$DA261,MATCH(AK262,$BD261:$DA261,0)),""))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348"/>
      <c r="C264" s="1006" t="s">
        <v>627</v>
      </c>
      <c r="D264" s="1007">
        <v>6</v>
      </c>
      <c r="E264" s="1008" t="str">
        <f t="shared" ref="E264:AJ264" ca="1" si="127">OFFSET(A1_名称2026,E$247+2,$D264)&amp;""</f>
        <v/>
      </c>
      <c r="F264" s="1008" t="str">
        <f t="shared" ca="1" si="127"/>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OFFSET(A1_名称2026,AK$247+2,$D264)&amp;""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348"/>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348"/>
      <c r="C266" s="1011" t="s">
        <v>629</v>
      </c>
      <c r="D266" s="1012">
        <v>6</v>
      </c>
      <c r="E266" s="1013" t="str">
        <f t="shared" ref="E266:AJ266" ca="1" si="130">IFERROR(OFFSET(貼付け_2026実績,$D266,E265+1)&amp;"","")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IFERROR(OFFSET(貼付け_2026実績,$D266,AK265+1)&amp;"","")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348"/>
      <c r="C267" s="1017" t="s">
        <v>630</v>
      </c>
      <c r="D267" s="1018">
        <v>99</v>
      </c>
      <c r="E267" s="1019" t="str">
        <f t="shared" ref="E267:AJ267" ca="1" si="132">IFERROR(OFFSET(貼付け_2026実績,$D267,E265),"")&amp;""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IFERROR(OFFSET(貼付け_2026実績,$D267,AK265),"")&amp;""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348"/>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348"/>
      <c r="C269" s="1017" t="s">
        <v>632</v>
      </c>
      <c r="D269" s="1018">
        <v>101</v>
      </c>
      <c r="E269" s="1019" t="str">
        <f t="shared" ref="E269:AJ269" ca="1" si="134">IFERROR(OFFSET(貼付け_2026実績,$D269,E265),"")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IFERROR(OFFSET(貼付け_2026実績,$D269,AK265),"")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348"/>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349"/>
      <c r="C271" s="1021" t="s">
        <v>634</v>
      </c>
      <c r="D271" s="1022">
        <v>24</v>
      </c>
      <c r="E271" s="1023" t="str">
        <f t="shared" ref="E271:AJ271" ca="1" si="137">IFERROR(1-(E270/OFFSET(A1_原単位2025,$D271,E$247+2)),"")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IFERROR(1-(AK270/OFFSET(A1_原単位2025,$D271,AK$247+2)),"")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347" t="s">
        <v>635</v>
      </c>
      <c r="C272" s="997" t="s">
        <v>625</v>
      </c>
      <c r="D272" s="998">
        <v>2026</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2026年度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348"/>
      <c r="C273" s="1002" t="str">
        <f>"~"&amp;D272-1&amp;"/"&amp;D272</f>
        <v>~2025/2026</v>
      </c>
      <c r="D273" s="1003" t="str">
        <f>""</f>
        <v/>
      </c>
      <c r="E273" s="1004" t="str">
        <f t="shared" ref="E273:AJ273" ca="1" si="140">IF(OFFSET(A1_原単位2025,30,E$247+2)="",OFFSET(A1_原単位2025,27,E$247+2),OFFSET(A1_原単位2025,30,E$247+2))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IF(OFFSET(A1_原単位2025,30,AK$247+2)="",OFFSET(A1_原単位2025,27,AK$247+2),OFFSET(A1_原単位2025,30,AK$247+2))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IFERROR(OFFSET(貼付け_2026実績,5,E272+1),"")&amp;""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IFERROR(OFFSET(貼付け_2026実績,5,AK272+1),"")&amp;""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348"/>
      <c r="C274" s="1002" t="str">
        <f>"~"&amp;D272-1&amp;"&amp;"&amp;D272</f>
        <v>~2025&amp;2026</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348"/>
      <c r="C275" s="1002" t="s">
        <v>626</v>
      </c>
      <c r="D275" s="1003" t="str">
        <f>""</f>
        <v/>
      </c>
      <c r="E275" s="1004" t="str">
        <f t="shared" ref="E275:AJ275" ca="1" si="144">IF(OFFSET(貼付け_2026実績,2,12)="■",BD273,IFERROR(INDEX($BD273:$DA273,MATCH(E274,$BD273:$DA273,0)),""))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IF(OFFSET(貼付け_2026実績,2,12)="■",CJ273,IFERROR(INDEX($BD273:$DA273,MATCH(AK274,$BD273:$DA273,0)),""))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348"/>
      <c r="C276" s="1006" t="s">
        <v>627</v>
      </c>
      <c r="D276" s="1007">
        <v>10</v>
      </c>
      <c r="E276" s="1008" t="str">
        <f t="shared" ref="E276:AJ276" ca="1" si="146">OFFSET(A1_名称2026,E$247+2,$D276)&amp;""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OFFSET(A1_名称2026,AK$247+2,$D276)&amp;""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348"/>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348"/>
      <c r="C278" s="1011" t="s">
        <v>629</v>
      </c>
      <c r="D278" s="1012">
        <v>6</v>
      </c>
      <c r="E278" s="1013" t="str">
        <f t="shared" ref="E278:AJ278" ca="1" si="149">IFERROR(OFFSET(貼付け_2026実績,$D278,E277+1)&amp;"","")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IFERROR(OFFSET(貼付け_2026実績,$D278,AK277+1)&amp;"","")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348"/>
      <c r="C279" s="1017" t="s">
        <v>630</v>
      </c>
      <c r="D279" s="1018">
        <v>99</v>
      </c>
      <c r="E279" s="1019" t="str">
        <f t="shared" ref="E279:AJ279" ca="1" si="151">IFERROR(OFFSET(貼付け_2026実績,$D279,E277),"")&amp;""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IFERROR(OFFSET(貼付け_2026実績,$D279,AK277),"")&amp;""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348"/>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348"/>
      <c r="C281" s="1017" t="s">
        <v>632</v>
      </c>
      <c r="D281" s="1018">
        <v>101</v>
      </c>
      <c r="E281" s="1019" t="str">
        <f t="shared" ref="E281:AJ281" ca="1" si="153">IFERROR(OFFSET(貼付け_2026実績,$D281,E277),"")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IFERROR(OFFSET(貼付け_2026実績,$D281,AK277),"")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348"/>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349"/>
      <c r="C283" s="1021" t="s">
        <v>634</v>
      </c>
      <c r="D283" s="1022">
        <v>36</v>
      </c>
      <c r="E283" s="1023" t="str">
        <f t="shared" ref="E283:AJ283" ca="1" si="156">IFERROR(1-(E282/OFFSET(A1_原単位2025,$D283,E$247+2)),"")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IFERROR(1-(AK282/OFFSET(A1_原単位2025,$D283,AK$247+2)),"")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347" t="s">
        <v>636</v>
      </c>
      <c r="C284" s="997" t="s">
        <v>625</v>
      </c>
      <c r="D284" s="998">
        <v>2026</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2026年度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348"/>
      <c r="C285" s="1002" t="str">
        <f>"~"&amp;D284-1&amp;"/"&amp;D284</f>
        <v>~2025/2026</v>
      </c>
      <c r="D285" s="1003" t="str">
        <f>""</f>
        <v/>
      </c>
      <c r="E285" s="1004" t="str">
        <f t="shared" ref="E285:AJ285" ca="1" si="159">IF(OFFSET(A1_原単位2025,42,E$247+2)="",OFFSET(A1_原単位2025,39,E$247+2),OFFSET(A1_原単位2025,42,E$247+2))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IF(OFFSET(A1_原単位2025,42,AK$247+2)="",OFFSET(A1_原単位2025,39,AK$247+2),OFFSET(A1_原単位2025,42,AK$247+2))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IFERROR(OFFSET(貼付け_2026実績,5,E284+1),"")&amp;""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IFERROR(OFFSET(貼付け_2026実績,5,AK284+1),"")&amp;""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348"/>
      <c r="C286" s="1002" t="str">
        <f>"~"&amp;D284-1&amp;"&amp;"&amp;D284</f>
        <v>~2025&amp;2026</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348"/>
      <c r="C287" s="1002" t="s">
        <v>626</v>
      </c>
      <c r="D287" s="1003" t="str">
        <f>""</f>
        <v/>
      </c>
      <c r="E287" s="1004" t="str">
        <f t="shared" ref="E287:AJ287" ca="1" si="163">IF(OFFSET(貼付け_2026実績,2,12)="■",BD285,IFERROR(INDEX($BD285:$DA285,MATCH(E286,$BD285:$DA285,0)),""))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IF(OFFSET(貼付け_2026実績,2,12)="■",CJ285,IFERROR(INDEX($BD285:$DA285,MATCH(AK286,$BD285:$DA285,0)),""))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348"/>
      <c r="C288" s="1006" t="s">
        <v>627</v>
      </c>
      <c r="D288" s="1007">
        <v>14</v>
      </c>
      <c r="E288" s="1008" t="str">
        <f t="shared" ref="E288:AJ288" ca="1" si="165">OFFSET(A1_名称2026,E$247+2,$D288)&amp;""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OFFSET(A1_名称2026,AK$247+2,$D288)&amp;""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348"/>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348"/>
      <c r="C290" s="1011" t="s">
        <v>629</v>
      </c>
      <c r="D290" s="1012">
        <v>6</v>
      </c>
      <c r="E290" s="1013" t="str">
        <f t="shared" ref="E290:AJ290" ca="1" si="168">IFERROR(OFFSET(貼付け_2026実績,$D290,E289+1)&amp;"","")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IFERROR(OFFSET(貼付け_2026実績,$D290,AK289+1)&amp;"","")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348"/>
      <c r="C291" s="1017" t="s">
        <v>630</v>
      </c>
      <c r="D291" s="1018">
        <v>99</v>
      </c>
      <c r="E291" s="1019" t="str">
        <f t="shared" ref="E291:AJ291" ca="1" si="170">IFERROR(OFFSET(貼付け_2026実績,$D291,E289),"")&amp;""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IFERROR(OFFSET(貼付け_2026実績,$D291,AK289),"")&amp;""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348"/>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348"/>
      <c r="C293" s="1017" t="s">
        <v>632</v>
      </c>
      <c r="D293" s="1018">
        <v>101</v>
      </c>
      <c r="E293" s="1019" t="str">
        <f t="shared" ref="E293:AJ293" ca="1" si="172">IFERROR(OFFSET(貼付け_2026実績,$D293,E289),"")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IFERROR(OFFSET(貼付け_2026実績,$D293,AK289),"")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348"/>
      <c r="C294" s="1017" t="s">
        <v>633</v>
      </c>
      <c r="D294" s="1018"/>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349"/>
      <c r="C295" s="1021" t="s">
        <v>634</v>
      </c>
      <c r="D295" s="1022">
        <v>48</v>
      </c>
      <c r="E295" s="1023" t="str">
        <f t="shared" ref="E295:AJ295" ca="1" si="175">IFERROR(1-(E294/OFFSET(A1_原単位2025,$D295,E$247+2)),"")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IFERROR(1-(AK294/OFFSET(A1_原単位2025,$D295,AK$247+2)),"")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9.8" hidden="1">
      <c r="B296" s="1024" t="s">
        <v>637</v>
      </c>
      <c r="C296" s="1049" t="s">
        <v>638</v>
      </c>
      <c r="D296" s="1050"/>
      <c r="E296" s="1025" t="str">
        <f ca="1">IFERROR((SUMPRODUCT(E283:BB283,E280:BB280)+SUMPRODUCT(E295:BB295,E292:BB292))/SUM(E280:BB280,E292:BB292)*100,"")</f>
        <v/>
      </c>
      <c r="F296" s="1354" t="s">
        <v>640</v>
      </c>
      <c r="G296" s="1025" t="str">
        <f ca="1">IF(ROUND(SUMPRODUCT(1/COUNTIF(E302:BB303,E302:BB303)),0)-1&lt;&gt;1,"-",IFERROR(INDEX(E302:BB302,MATCH(TRUE,INDEX(E302:BB302&lt;&gt;"",),0)),INDEX(E303:BB303,MATCH(TRUE,INDEX(E303:BB303&lt;&gt;"",),0))))</f>
        <v>-</v>
      </c>
      <c r="H296" s="1354" t="s">
        <v>641</v>
      </c>
      <c r="I296" s="1025" t="str">
        <f ca="1">IF(G296="-","-",OFFSET(貼付け_2024実績,100,IFERROR(INDEX(E277:BB277,MATCH(G296,E279:BB279,0)),INDEX(E289:BB289,MATCH(G296,E291:BB291,0)))))</f>
        <v>-</v>
      </c>
      <c r="J296" s="1354" t="s">
        <v>642</v>
      </c>
      <c r="K296" s="1025" t="str">
        <f ca="1">IF(G296="-","-",SUM(E281:BB281,E293:BB293))</f>
        <v>-</v>
      </c>
      <c r="L296" s="1184" t="s">
        <v>1913</v>
      </c>
      <c r="M296" s="1185" t="str">
        <f ca="1">IFERROR((SUMPRODUCT(E283:BB283,E280:BB280)+SUMPRODUCT(E295:BB295,E292:BB292)+(SUMPRODUCT(E271:BB271,E268:BB268)+SUMPRODUCT(E256:BB256,E259:BB259)))/SUM(E280:BB280,E292:BB292,E268:BB268,E256:BB256)*100,"")</f>
        <v/>
      </c>
    </row>
    <row r="297" spans="1:242" ht="18.600000000000001" hidden="1" thickBot="1">
      <c r="B297" s="1026" t="s">
        <v>459</v>
      </c>
      <c r="C297" s="1051" t="s">
        <v>661</v>
      </c>
      <c r="D297" s="1052"/>
      <c r="E297" s="1027" t="str">
        <f ca="1">IFERROR(SUMPRODUCT(E271:BB271,E268:BB268)/SUM(E268:BB268)*100,"")</f>
        <v/>
      </c>
      <c r="F297" s="1355"/>
      <c r="G297" s="1028" t="str">
        <f ca="1">IF(SUMPRODUCT(1/COUNTIF(E301:BB301,E301:BB301))-1&lt;&gt;1,"-",INDEX(E301:BB301,MATCH(TRUE,INDEX(E301:BB301&lt;&gt;"",),0)))</f>
        <v>-</v>
      </c>
      <c r="H297" s="1355"/>
      <c r="I297" s="1028" t="str">
        <f ca="1">IF(G297="-","-",OFFSET(貼付け_2024実績,100,INDEX(E265:BB265,MATCH(G297,E267:BB267,0))))</f>
        <v>-</v>
      </c>
      <c r="J297" s="1355"/>
      <c r="K297" s="1028" t="str">
        <f ca="1">IF(G297="-","-",SUM(E269:BB269))</f>
        <v>-</v>
      </c>
      <c r="L297" s="1186" t="s">
        <v>1914</v>
      </c>
      <c r="M297" s="1187" t="str">
        <f ca="1">IFERROR((SUMPRODUCT(E271:BB271,E268:BB268)+SUMPRODUCT(E256:BB256,E259:BB259))/SUM(E268:BB268,E256:BB256)*100,"")</f>
        <v/>
      </c>
    </row>
    <row r="298" spans="1:242" ht="18.600000000000001" hidden="1" thickBot="1"/>
    <row r="299" spans="1:242" ht="18.600000000000001" hidden="1" thickBot="1">
      <c r="B299" s="1356" t="s">
        <v>643</v>
      </c>
      <c r="C299" s="1357"/>
      <c r="D299" s="1358"/>
      <c r="E299" s="1029" t="str">
        <f t="shared" ref="E299:AJ299" ca="1" si="177">IF(E253="",OFFSET(A1_原単位2025,53,E247+2),IFERROR(OFFSET(貼付け_2026実績,6,E253+1)&amp;"",""))</f>
        <v/>
      </c>
      <c r="F299" s="1030" t="str">
        <f t="shared" ca="1" si="177"/>
        <v/>
      </c>
      <c r="G299" s="1030" t="str">
        <f t="shared" ca="1" si="177"/>
        <v/>
      </c>
      <c r="H299" s="1030" t="str">
        <f t="shared" ca="1" si="177"/>
        <v/>
      </c>
      <c r="I299" s="1030" t="str">
        <f t="shared" ca="1" si="177"/>
        <v/>
      </c>
      <c r="J299" s="1030" t="str">
        <f t="shared" ca="1" si="177"/>
        <v/>
      </c>
      <c r="K299" s="1030" t="str">
        <f t="shared" ca="1" si="177"/>
        <v/>
      </c>
      <c r="L299" s="1030" t="str">
        <f t="shared" ca="1" si="177"/>
        <v/>
      </c>
      <c r="M299" s="1030" t="str">
        <f t="shared" ca="1" si="177"/>
        <v/>
      </c>
      <c r="N299" s="1030" t="str">
        <f t="shared" ca="1" si="177"/>
        <v/>
      </c>
      <c r="O299" s="1030" t="str">
        <f t="shared" ca="1" si="177"/>
        <v/>
      </c>
      <c r="P299" s="1030" t="str">
        <f t="shared" ca="1" si="177"/>
        <v/>
      </c>
      <c r="Q299" s="1030" t="str">
        <f t="shared" ca="1" si="177"/>
        <v/>
      </c>
      <c r="R299" s="1030" t="str">
        <f t="shared" ca="1" si="177"/>
        <v/>
      </c>
      <c r="S299" s="1030" t="str">
        <f t="shared" ca="1" si="177"/>
        <v/>
      </c>
      <c r="T299" s="1030" t="str">
        <f t="shared" ca="1" si="177"/>
        <v/>
      </c>
      <c r="U299" s="1030" t="str">
        <f t="shared" ca="1" si="177"/>
        <v/>
      </c>
      <c r="V299" s="1030" t="str">
        <f t="shared" ca="1" si="177"/>
        <v/>
      </c>
      <c r="W299" s="1030" t="str">
        <f t="shared" ca="1" si="177"/>
        <v/>
      </c>
      <c r="X299" s="1030" t="str">
        <f t="shared" ca="1" si="177"/>
        <v/>
      </c>
      <c r="Y299" s="1030" t="str">
        <f t="shared" ca="1" si="177"/>
        <v/>
      </c>
      <c r="Z299" s="1030" t="str">
        <f t="shared" ca="1" si="177"/>
        <v/>
      </c>
      <c r="AA299" s="1030" t="str">
        <f t="shared" ca="1" si="177"/>
        <v/>
      </c>
      <c r="AB299" s="1030" t="str">
        <f t="shared" ca="1" si="177"/>
        <v/>
      </c>
      <c r="AC299" s="1030" t="str">
        <f t="shared" ca="1" si="177"/>
        <v/>
      </c>
      <c r="AD299" s="1030" t="str">
        <f t="shared" ca="1" si="177"/>
        <v/>
      </c>
      <c r="AE299" s="1030" t="str">
        <f t="shared" ca="1" si="177"/>
        <v/>
      </c>
      <c r="AF299" s="1030" t="str">
        <f t="shared" ca="1" si="177"/>
        <v/>
      </c>
      <c r="AG299" s="1030" t="str">
        <f t="shared" ca="1" si="177"/>
        <v/>
      </c>
      <c r="AH299" s="1030" t="str">
        <f t="shared" ca="1" si="177"/>
        <v/>
      </c>
      <c r="AI299" s="1030" t="str">
        <f t="shared" ca="1" si="177"/>
        <v/>
      </c>
      <c r="AJ299" s="1030" t="str">
        <f t="shared" ca="1" si="177"/>
        <v/>
      </c>
      <c r="AK299" s="1030" t="str">
        <f t="shared" ref="AK299:BB299" ca="1" si="178">IF(AK253="",OFFSET(A1_原単位2025,53,AK247+2),IFERROR(OFFSET(貼付け_2026実績,6,AK253+1)&amp;"",""))</f>
        <v/>
      </c>
      <c r="AL299" s="1030" t="str">
        <f t="shared" ca="1" si="178"/>
        <v/>
      </c>
      <c r="AM299" s="1030" t="str">
        <f t="shared" ca="1" si="178"/>
        <v/>
      </c>
      <c r="AN299" s="1030" t="str">
        <f t="shared" ca="1" si="178"/>
        <v/>
      </c>
      <c r="AO299" s="1030" t="str">
        <f t="shared" ca="1" si="178"/>
        <v/>
      </c>
      <c r="AP299" s="1030" t="str">
        <f t="shared" ca="1" si="178"/>
        <v/>
      </c>
      <c r="AQ299" s="1030" t="str">
        <f t="shared" ca="1" si="178"/>
        <v/>
      </c>
      <c r="AR299" s="1030" t="str">
        <f t="shared" ca="1" si="178"/>
        <v/>
      </c>
      <c r="AS299" s="1030" t="str">
        <f t="shared" ca="1" si="178"/>
        <v/>
      </c>
      <c r="AT299" s="1030" t="str">
        <f t="shared" ca="1" si="178"/>
        <v/>
      </c>
      <c r="AU299" s="1030" t="str">
        <f t="shared" ca="1" si="178"/>
        <v/>
      </c>
      <c r="AV299" s="1030" t="str">
        <f t="shared" ca="1" si="178"/>
        <v/>
      </c>
      <c r="AW299" s="1030" t="str">
        <f t="shared" ca="1" si="178"/>
        <v/>
      </c>
      <c r="AX299" s="1030" t="str">
        <f t="shared" ca="1" si="178"/>
        <v/>
      </c>
      <c r="AY299" s="1030" t="str">
        <f t="shared" ca="1" si="178"/>
        <v/>
      </c>
      <c r="AZ299" s="1030" t="str">
        <f t="shared" ca="1" si="178"/>
        <v/>
      </c>
      <c r="BA299" s="1030" t="str">
        <f t="shared" ca="1" si="178"/>
        <v/>
      </c>
      <c r="BB299" s="1031" t="str">
        <f t="shared" ca="1" si="178"/>
        <v/>
      </c>
    </row>
    <row r="300" spans="1:242" hidden="1">
      <c r="A300" s="967">
        <v>54</v>
      </c>
      <c r="B300" s="1344" t="s">
        <v>644</v>
      </c>
      <c r="C300" s="1032" t="s">
        <v>458</v>
      </c>
      <c r="D300" s="1033"/>
      <c r="E300" s="969" t="str">
        <f ca="1">E255</f>
        <v/>
      </c>
      <c r="F300" s="969" t="str">
        <f t="shared" ref="F300:BB300" ca="1" si="179">F255</f>
        <v/>
      </c>
      <c r="G300" s="969" t="str">
        <f t="shared" ca="1" si="179"/>
        <v/>
      </c>
      <c r="H300" s="969" t="str">
        <f t="shared" ca="1" si="179"/>
        <v/>
      </c>
      <c r="I300" s="969" t="str">
        <f t="shared" ca="1" si="179"/>
        <v/>
      </c>
      <c r="J300" s="969" t="str">
        <f t="shared" ca="1" si="179"/>
        <v/>
      </c>
      <c r="K300" s="969" t="str">
        <f t="shared" ca="1" si="179"/>
        <v/>
      </c>
      <c r="L300" s="969" t="str">
        <f t="shared" ca="1" si="179"/>
        <v/>
      </c>
      <c r="M300" s="969" t="str">
        <f t="shared" ca="1" si="179"/>
        <v/>
      </c>
      <c r="N300" s="969" t="str">
        <f t="shared" ca="1" si="179"/>
        <v/>
      </c>
      <c r="O300" s="969" t="str">
        <f t="shared" ca="1" si="179"/>
        <v/>
      </c>
      <c r="P300" s="969" t="str">
        <f t="shared" ca="1" si="179"/>
        <v/>
      </c>
      <c r="Q300" s="969" t="str">
        <f t="shared" ca="1" si="179"/>
        <v/>
      </c>
      <c r="R300" s="969" t="str">
        <f t="shared" ca="1" si="179"/>
        <v/>
      </c>
      <c r="S300" s="969" t="str">
        <f t="shared" ca="1" si="179"/>
        <v/>
      </c>
      <c r="T300" s="969" t="str">
        <f t="shared" ca="1" si="179"/>
        <v/>
      </c>
      <c r="U300" s="969" t="str">
        <f t="shared" ca="1" si="179"/>
        <v/>
      </c>
      <c r="V300" s="969" t="str">
        <f t="shared" ca="1" si="179"/>
        <v/>
      </c>
      <c r="W300" s="969" t="str">
        <f t="shared" ca="1" si="179"/>
        <v/>
      </c>
      <c r="X300" s="969" t="str">
        <f t="shared" ca="1" si="179"/>
        <v/>
      </c>
      <c r="Y300" s="969" t="str">
        <f t="shared" ca="1" si="179"/>
        <v/>
      </c>
      <c r="Z300" s="969" t="str">
        <f t="shared" ca="1" si="179"/>
        <v/>
      </c>
      <c r="AA300" s="969" t="str">
        <f t="shared" ca="1" si="179"/>
        <v/>
      </c>
      <c r="AB300" s="969" t="str">
        <f t="shared" ca="1" si="179"/>
        <v/>
      </c>
      <c r="AC300" s="969" t="str">
        <f t="shared" ca="1" si="179"/>
        <v/>
      </c>
      <c r="AD300" s="969" t="str">
        <f t="shared" ca="1" si="179"/>
        <v/>
      </c>
      <c r="AE300" s="969" t="str">
        <f t="shared" ca="1" si="179"/>
        <v/>
      </c>
      <c r="AF300" s="969" t="str">
        <f t="shared" ca="1" si="179"/>
        <v/>
      </c>
      <c r="AG300" s="969" t="str">
        <f t="shared" ca="1" si="179"/>
        <v/>
      </c>
      <c r="AH300" s="969" t="str">
        <f t="shared" ca="1" si="179"/>
        <v/>
      </c>
      <c r="AI300" s="969" t="str">
        <f t="shared" ca="1" si="179"/>
        <v/>
      </c>
      <c r="AJ300" s="969" t="str">
        <f t="shared" ca="1" si="179"/>
        <v/>
      </c>
      <c r="AK300" s="969" t="str">
        <f t="shared" ca="1" si="179"/>
        <v/>
      </c>
      <c r="AL300" s="969" t="str">
        <f t="shared" ca="1" si="179"/>
        <v/>
      </c>
      <c r="AM300" s="969" t="str">
        <f t="shared" ca="1" si="179"/>
        <v/>
      </c>
      <c r="AN300" s="969" t="str">
        <f t="shared" ca="1" si="179"/>
        <v/>
      </c>
      <c r="AO300" s="969" t="str">
        <f t="shared" ca="1" si="179"/>
        <v/>
      </c>
      <c r="AP300" s="969" t="str">
        <f t="shared" ca="1" si="179"/>
        <v/>
      </c>
      <c r="AQ300" s="969" t="str">
        <f t="shared" ca="1" si="179"/>
        <v/>
      </c>
      <c r="AR300" s="969" t="str">
        <f t="shared" ca="1" si="179"/>
        <v/>
      </c>
      <c r="AS300" s="969" t="str">
        <f t="shared" ca="1" si="179"/>
        <v/>
      </c>
      <c r="AT300" s="969" t="str">
        <f t="shared" ca="1" si="179"/>
        <v/>
      </c>
      <c r="AU300" s="969" t="str">
        <f t="shared" ca="1" si="179"/>
        <v/>
      </c>
      <c r="AV300" s="969" t="str">
        <f t="shared" ca="1" si="179"/>
        <v/>
      </c>
      <c r="AW300" s="969" t="str">
        <f t="shared" ca="1" si="179"/>
        <v/>
      </c>
      <c r="AX300" s="969" t="str">
        <f t="shared" ca="1" si="179"/>
        <v/>
      </c>
      <c r="AY300" s="969" t="str">
        <f t="shared" ca="1" si="179"/>
        <v/>
      </c>
      <c r="AZ300" s="969" t="str">
        <f t="shared" ca="1" si="179"/>
        <v/>
      </c>
      <c r="BA300" s="969" t="str">
        <f t="shared" ca="1" si="179"/>
        <v/>
      </c>
      <c r="BB300" s="969" t="str">
        <f t="shared" ca="1" si="179"/>
        <v/>
      </c>
    </row>
    <row r="301" spans="1:242" hidden="1">
      <c r="A301" s="967">
        <v>55</v>
      </c>
      <c r="B301" s="1345"/>
      <c r="C301" s="1034" t="s">
        <v>459</v>
      </c>
      <c r="D301" s="1035"/>
      <c r="E301" s="971" t="str">
        <f ca="1">E267</f>
        <v/>
      </c>
      <c r="F301" s="971" t="str">
        <f t="shared" ref="F301:BB301" ca="1" si="180">F267</f>
        <v/>
      </c>
      <c r="G301" s="971" t="str">
        <f t="shared" ca="1" si="180"/>
        <v/>
      </c>
      <c r="H301" s="971" t="str">
        <f t="shared" ca="1" si="180"/>
        <v/>
      </c>
      <c r="I301" s="971" t="str">
        <f t="shared" ca="1" si="180"/>
        <v/>
      </c>
      <c r="J301" s="971" t="str">
        <f t="shared" ca="1" si="180"/>
        <v/>
      </c>
      <c r="K301" s="971" t="str">
        <f t="shared" ca="1" si="180"/>
        <v/>
      </c>
      <c r="L301" s="971" t="str">
        <f t="shared" ca="1" si="180"/>
        <v/>
      </c>
      <c r="M301" s="971" t="str">
        <f t="shared" ca="1" si="180"/>
        <v/>
      </c>
      <c r="N301" s="971" t="str">
        <f t="shared" ca="1" si="180"/>
        <v/>
      </c>
      <c r="O301" s="971" t="str">
        <f t="shared" ca="1" si="180"/>
        <v/>
      </c>
      <c r="P301" s="971" t="str">
        <f t="shared" ca="1" si="180"/>
        <v/>
      </c>
      <c r="Q301" s="971" t="str">
        <f t="shared" ca="1" si="180"/>
        <v/>
      </c>
      <c r="R301" s="971" t="str">
        <f t="shared" ca="1" si="180"/>
        <v/>
      </c>
      <c r="S301" s="971" t="str">
        <f t="shared" ca="1" si="180"/>
        <v/>
      </c>
      <c r="T301" s="971" t="str">
        <f t="shared" ca="1" si="180"/>
        <v/>
      </c>
      <c r="U301" s="971" t="str">
        <f t="shared" ca="1" si="180"/>
        <v/>
      </c>
      <c r="V301" s="971" t="str">
        <f t="shared" ca="1" si="180"/>
        <v/>
      </c>
      <c r="W301" s="971" t="str">
        <f t="shared" ca="1" si="180"/>
        <v/>
      </c>
      <c r="X301" s="971" t="str">
        <f t="shared" ca="1" si="180"/>
        <v/>
      </c>
      <c r="Y301" s="971" t="str">
        <f t="shared" ca="1" si="180"/>
        <v/>
      </c>
      <c r="Z301" s="971" t="str">
        <f t="shared" ca="1" si="180"/>
        <v/>
      </c>
      <c r="AA301" s="971" t="str">
        <f t="shared" ca="1" si="180"/>
        <v/>
      </c>
      <c r="AB301" s="971" t="str">
        <f t="shared" ca="1" si="180"/>
        <v/>
      </c>
      <c r="AC301" s="971" t="str">
        <f t="shared" ca="1" si="180"/>
        <v/>
      </c>
      <c r="AD301" s="971" t="str">
        <f t="shared" ca="1" si="180"/>
        <v/>
      </c>
      <c r="AE301" s="971" t="str">
        <f t="shared" ca="1" si="180"/>
        <v/>
      </c>
      <c r="AF301" s="971" t="str">
        <f t="shared" ca="1" si="180"/>
        <v/>
      </c>
      <c r="AG301" s="971" t="str">
        <f t="shared" ca="1" si="180"/>
        <v/>
      </c>
      <c r="AH301" s="971" t="str">
        <f t="shared" ca="1" si="180"/>
        <v/>
      </c>
      <c r="AI301" s="971" t="str">
        <f t="shared" ca="1" si="180"/>
        <v/>
      </c>
      <c r="AJ301" s="971" t="str">
        <f t="shared" ca="1" si="180"/>
        <v/>
      </c>
      <c r="AK301" s="971" t="str">
        <f t="shared" ca="1" si="180"/>
        <v/>
      </c>
      <c r="AL301" s="971" t="str">
        <f t="shared" ca="1" si="180"/>
        <v/>
      </c>
      <c r="AM301" s="971" t="str">
        <f t="shared" ca="1" si="180"/>
        <v/>
      </c>
      <c r="AN301" s="971" t="str">
        <f t="shared" ca="1" si="180"/>
        <v/>
      </c>
      <c r="AO301" s="971" t="str">
        <f t="shared" ca="1" si="180"/>
        <v/>
      </c>
      <c r="AP301" s="971" t="str">
        <f t="shared" ca="1" si="180"/>
        <v/>
      </c>
      <c r="AQ301" s="971" t="str">
        <f t="shared" ca="1" si="180"/>
        <v/>
      </c>
      <c r="AR301" s="971" t="str">
        <f t="shared" ca="1" si="180"/>
        <v/>
      </c>
      <c r="AS301" s="971" t="str">
        <f t="shared" ca="1" si="180"/>
        <v/>
      </c>
      <c r="AT301" s="971" t="str">
        <f t="shared" ca="1" si="180"/>
        <v/>
      </c>
      <c r="AU301" s="971" t="str">
        <f t="shared" ca="1" si="180"/>
        <v/>
      </c>
      <c r="AV301" s="971" t="str">
        <f t="shared" ca="1" si="180"/>
        <v/>
      </c>
      <c r="AW301" s="971" t="str">
        <f t="shared" ca="1" si="180"/>
        <v/>
      </c>
      <c r="AX301" s="971" t="str">
        <f t="shared" ca="1" si="180"/>
        <v/>
      </c>
      <c r="AY301" s="971" t="str">
        <f t="shared" ca="1" si="180"/>
        <v/>
      </c>
      <c r="AZ301" s="971" t="str">
        <f t="shared" ca="1" si="180"/>
        <v/>
      </c>
      <c r="BA301" s="971" t="str">
        <f t="shared" ca="1" si="180"/>
        <v/>
      </c>
      <c r="BB301" s="971" t="str">
        <f t="shared" ca="1" si="180"/>
        <v/>
      </c>
    </row>
    <row r="302" spans="1:242" hidden="1">
      <c r="A302" s="967">
        <v>56</v>
      </c>
      <c r="B302" s="1345"/>
      <c r="C302" s="1034" t="s">
        <v>460</v>
      </c>
      <c r="D302" s="1035"/>
      <c r="E302" s="971" t="str">
        <f ca="1">E279</f>
        <v/>
      </c>
      <c r="F302" s="971" t="str">
        <f t="shared" ref="F302:BB302" ca="1" si="181">F279</f>
        <v/>
      </c>
      <c r="G302" s="971" t="str">
        <f t="shared" ca="1" si="181"/>
        <v/>
      </c>
      <c r="H302" s="971" t="str">
        <f t="shared" ca="1" si="181"/>
        <v/>
      </c>
      <c r="I302" s="971" t="str">
        <f t="shared" ca="1" si="181"/>
        <v/>
      </c>
      <c r="J302" s="971" t="str">
        <f t="shared" ca="1" si="181"/>
        <v/>
      </c>
      <c r="K302" s="971" t="str">
        <f t="shared" ca="1" si="181"/>
        <v/>
      </c>
      <c r="L302" s="971" t="str">
        <f t="shared" ca="1" si="181"/>
        <v/>
      </c>
      <c r="M302" s="971" t="str">
        <f t="shared" ca="1" si="181"/>
        <v/>
      </c>
      <c r="N302" s="971" t="str">
        <f t="shared" ca="1" si="181"/>
        <v/>
      </c>
      <c r="O302" s="971" t="str">
        <f t="shared" ca="1" si="181"/>
        <v/>
      </c>
      <c r="P302" s="971" t="str">
        <f t="shared" ca="1" si="181"/>
        <v/>
      </c>
      <c r="Q302" s="971" t="str">
        <f t="shared" ca="1" si="181"/>
        <v/>
      </c>
      <c r="R302" s="971" t="str">
        <f t="shared" ca="1" si="181"/>
        <v/>
      </c>
      <c r="S302" s="971" t="str">
        <f t="shared" ca="1" si="181"/>
        <v/>
      </c>
      <c r="T302" s="971" t="str">
        <f t="shared" ca="1" si="181"/>
        <v/>
      </c>
      <c r="U302" s="971" t="str">
        <f t="shared" ca="1" si="181"/>
        <v/>
      </c>
      <c r="V302" s="971" t="str">
        <f t="shared" ca="1" si="181"/>
        <v/>
      </c>
      <c r="W302" s="971" t="str">
        <f t="shared" ca="1" si="181"/>
        <v/>
      </c>
      <c r="X302" s="971" t="str">
        <f t="shared" ca="1" si="181"/>
        <v/>
      </c>
      <c r="Y302" s="971" t="str">
        <f t="shared" ca="1" si="181"/>
        <v/>
      </c>
      <c r="Z302" s="971" t="str">
        <f t="shared" ca="1" si="181"/>
        <v/>
      </c>
      <c r="AA302" s="971" t="str">
        <f t="shared" ca="1" si="181"/>
        <v/>
      </c>
      <c r="AB302" s="971" t="str">
        <f t="shared" ca="1" si="181"/>
        <v/>
      </c>
      <c r="AC302" s="971" t="str">
        <f t="shared" ca="1" si="181"/>
        <v/>
      </c>
      <c r="AD302" s="971" t="str">
        <f t="shared" ca="1" si="181"/>
        <v/>
      </c>
      <c r="AE302" s="971" t="str">
        <f t="shared" ca="1" si="181"/>
        <v/>
      </c>
      <c r="AF302" s="971" t="str">
        <f t="shared" ca="1" si="181"/>
        <v/>
      </c>
      <c r="AG302" s="971" t="str">
        <f t="shared" ca="1" si="181"/>
        <v/>
      </c>
      <c r="AH302" s="971" t="str">
        <f t="shared" ca="1" si="181"/>
        <v/>
      </c>
      <c r="AI302" s="971" t="str">
        <f t="shared" ca="1" si="181"/>
        <v/>
      </c>
      <c r="AJ302" s="971" t="str">
        <f t="shared" ca="1" si="181"/>
        <v/>
      </c>
      <c r="AK302" s="971" t="str">
        <f t="shared" ca="1" si="181"/>
        <v/>
      </c>
      <c r="AL302" s="971" t="str">
        <f t="shared" ca="1" si="181"/>
        <v/>
      </c>
      <c r="AM302" s="971" t="str">
        <f t="shared" ca="1" si="181"/>
        <v/>
      </c>
      <c r="AN302" s="971" t="str">
        <f t="shared" ca="1" si="181"/>
        <v/>
      </c>
      <c r="AO302" s="971" t="str">
        <f t="shared" ca="1" si="181"/>
        <v/>
      </c>
      <c r="AP302" s="971" t="str">
        <f t="shared" ca="1" si="181"/>
        <v/>
      </c>
      <c r="AQ302" s="971" t="str">
        <f t="shared" ca="1" si="181"/>
        <v/>
      </c>
      <c r="AR302" s="971" t="str">
        <f t="shared" ca="1" si="181"/>
        <v/>
      </c>
      <c r="AS302" s="971" t="str">
        <f t="shared" ca="1" si="181"/>
        <v/>
      </c>
      <c r="AT302" s="971" t="str">
        <f t="shared" ca="1" si="181"/>
        <v/>
      </c>
      <c r="AU302" s="971" t="str">
        <f t="shared" ca="1" si="181"/>
        <v/>
      </c>
      <c r="AV302" s="971" t="str">
        <f t="shared" ca="1" si="181"/>
        <v/>
      </c>
      <c r="AW302" s="971" t="str">
        <f t="shared" ca="1" si="181"/>
        <v/>
      </c>
      <c r="AX302" s="971" t="str">
        <f t="shared" ca="1" si="181"/>
        <v/>
      </c>
      <c r="AY302" s="971" t="str">
        <f t="shared" ca="1" si="181"/>
        <v/>
      </c>
      <c r="AZ302" s="971" t="str">
        <f t="shared" ca="1" si="181"/>
        <v/>
      </c>
      <c r="BA302" s="971" t="str">
        <f t="shared" ca="1" si="181"/>
        <v/>
      </c>
      <c r="BB302" s="971" t="str">
        <f t="shared" ca="1" si="181"/>
        <v/>
      </c>
    </row>
    <row r="303" spans="1:242" ht="18.600000000000001" hidden="1" thickBot="1">
      <c r="A303" s="967">
        <v>57</v>
      </c>
      <c r="B303" s="1346"/>
      <c r="C303" s="1036" t="s">
        <v>461</v>
      </c>
      <c r="D303" s="1037"/>
      <c r="E303" s="973" t="str">
        <f ca="1">E291</f>
        <v/>
      </c>
      <c r="F303" s="973" t="str">
        <f t="shared" ref="F303:BB303" ca="1" si="182">F291</f>
        <v/>
      </c>
      <c r="G303" s="973" t="str">
        <f t="shared" ca="1" si="182"/>
        <v/>
      </c>
      <c r="H303" s="973" t="str">
        <f t="shared" ca="1" si="182"/>
        <v/>
      </c>
      <c r="I303" s="973" t="str">
        <f t="shared" ca="1" si="182"/>
        <v/>
      </c>
      <c r="J303" s="973" t="str">
        <f t="shared" ca="1" si="182"/>
        <v/>
      </c>
      <c r="K303" s="973" t="str">
        <f t="shared" ca="1" si="182"/>
        <v/>
      </c>
      <c r="L303" s="973" t="str">
        <f t="shared" ca="1" si="182"/>
        <v/>
      </c>
      <c r="M303" s="973" t="str">
        <f t="shared" ca="1" si="182"/>
        <v/>
      </c>
      <c r="N303" s="973" t="str">
        <f t="shared" ca="1" si="182"/>
        <v/>
      </c>
      <c r="O303" s="973" t="str">
        <f t="shared" ca="1" si="182"/>
        <v/>
      </c>
      <c r="P303" s="973" t="str">
        <f t="shared" ca="1" si="182"/>
        <v/>
      </c>
      <c r="Q303" s="973" t="str">
        <f t="shared" ca="1" si="182"/>
        <v/>
      </c>
      <c r="R303" s="973" t="str">
        <f t="shared" ca="1" si="182"/>
        <v/>
      </c>
      <c r="S303" s="973" t="str">
        <f t="shared" ca="1" si="182"/>
        <v/>
      </c>
      <c r="T303" s="973" t="str">
        <f t="shared" ca="1" si="182"/>
        <v/>
      </c>
      <c r="U303" s="973" t="str">
        <f t="shared" ca="1" si="182"/>
        <v/>
      </c>
      <c r="V303" s="973" t="str">
        <f t="shared" ca="1" si="182"/>
        <v/>
      </c>
      <c r="W303" s="973" t="str">
        <f t="shared" ca="1" si="182"/>
        <v/>
      </c>
      <c r="X303" s="973" t="str">
        <f t="shared" ca="1" si="182"/>
        <v/>
      </c>
      <c r="Y303" s="973" t="str">
        <f t="shared" ca="1" si="182"/>
        <v/>
      </c>
      <c r="Z303" s="973" t="str">
        <f t="shared" ca="1" si="182"/>
        <v/>
      </c>
      <c r="AA303" s="973" t="str">
        <f t="shared" ca="1" si="182"/>
        <v/>
      </c>
      <c r="AB303" s="973" t="str">
        <f t="shared" ca="1" si="182"/>
        <v/>
      </c>
      <c r="AC303" s="973" t="str">
        <f t="shared" ca="1" si="182"/>
        <v/>
      </c>
      <c r="AD303" s="973" t="str">
        <f t="shared" ca="1" si="182"/>
        <v/>
      </c>
      <c r="AE303" s="973" t="str">
        <f t="shared" ca="1" si="182"/>
        <v/>
      </c>
      <c r="AF303" s="973" t="str">
        <f t="shared" ca="1" si="182"/>
        <v/>
      </c>
      <c r="AG303" s="973" t="str">
        <f t="shared" ca="1" si="182"/>
        <v/>
      </c>
      <c r="AH303" s="973" t="str">
        <f t="shared" ca="1" si="182"/>
        <v/>
      </c>
      <c r="AI303" s="973" t="str">
        <f t="shared" ca="1" si="182"/>
        <v/>
      </c>
      <c r="AJ303" s="973" t="str">
        <f t="shared" ca="1" si="182"/>
        <v/>
      </c>
      <c r="AK303" s="973" t="str">
        <f t="shared" ca="1" si="182"/>
        <v/>
      </c>
      <c r="AL303" s="973" t="str">
        <f t="shared" ca="1" si="182"/>
        <v/>
      </c>
      <c r="AM303" s="973" t="str">
        <f t="shared" ca="1" si="182"/>
        <v/>
      </c>
      <c r="AN303" s="973" t="str">
        <f t="shared" ca="1" si="182"/>
        <v/>
      </c>
      <c r="AO303" s="973" t="str">
        <f t="shared" ca="1" si="182"/>
        <v/>
      </c>
      <c r="AP303" s="973" t="str">
        <f t="shared" ca="1" si="182"/>
        <v/>
      </c>
      <c r="AQ303" s="973" t="str">
        <f t="shared" ca="1" si="182"/>
        <v/>
      </c>
      <c r="AR303" s="973" t="str">
        <f t="shared" ca="1" si="182"/>
        <v/>
      </c>
      <c r="AS303" s="973" t="str">
        <f t="shared" ca="1" si="182"/>
        <v/>
      </c>
      <c r="AT303" s="973" t="str">
        <f t="shared" ca="1" si="182"/>
        <v/>
      </c>
      <c r="AU303" s="973" t="str">
        <f t="shared" ca="1" si="182"/>
        <v/>
      </c>
      <c r="AV303" s="973" t="str">
        <f t="shared" ca="1" si="182"/>
        <v/>
      </c>
      <c r="AW303" s="973" t="str">
        <f t="shared" ca="1" si="182"/>
        <v/>
      </c>
      <c r="AX303" s="973" t="str">
        <f t="shared" ca="1" si="182"/>
        <v/>
      </c>
      <c r="AY303" s="973" t="str">
        <f t="shared" ca="1" si="182"/>
        <v/>
      </c>
      <c r="AZ303" s="973" t="str">
        <f t="shared" ca="1" si="182"/>
        <v/>
      </c>
      <c r="BA303" s="973" t="str">
        <f t="shared" ca="1" si="182"/>
        <v/>
      </c>
      <c r="BB303" s="973" t="str">
        <f t="shared" ca="1" si="182"/>
        <v/>
      </c>
    </row>
    <row r="304" spans="1:242" hidden="1">
      <c r="A304" s="967">
        <v>58</v>
      </c>
      <c r="B304" s="1344" t="s">
        <v>645</v>
      </c>
      <c r="C304" s="1032" t="s">
        <v>458</v>
      </c>
      <c r="D304" s="1033"/>
      <c r="E304" s="969" t="str">
        <f t="shared" ref="E304:AJ304" ca="1" si="183">OFFSET(A1_原単位2025,9,E247+2)</f>
        <v/>
      </c>
      <c r="F304" s="969" t="str">
        <f t="shared" ca="1" si="183"/>
        <v/>
      </c>
      <c r="G304" s="969" t="str">
        <f t="shared" ca="1" si="183"/>
        <v/>
      </c>
      <c r="H304" s="969" t="str">
        <f t="shared" ca="1" si="183"/>
        <v/>
      </c>
      <c r="I304" s="969" t="str">
        <f t="shared" ca="1" si="183"/>
        <v/>
      </c>
      <c r="J304" s="969" t="str">
        <f t="shared" ca="1" si="183"/>
        <v/>
      </c>
      <c r="K304" s="969" t="str">
        <f t="shared" ca="1" si="183"/>
        <v/>
      </c>
      <c r="L304" s="969" t="str">
        <f t="shared" ca="1" si="183"/>
        <v/>
      </c>
      <c r="M304" s="969" t="str">
        <f t="shared" ca="1" si="183"/>
        <v/>
      </c>
      <c r="N304" s="969" t="str">
        <f t="shared" ca="1" si="183"/>
        <v/>
      </c>
      <c r="O304" s="969" t="str">
        <f t="shared" ca="1" si="183"/>
        <v/>
      </c>
      <c r="P304" s="969" t="str">
        <f t="shared" ca="1" si="183"/>
        <v/>
      </c>
      <c r="Q304" s="969" t="str">
        <f t="shared" ca="1" si="183"/>
        <v/>
      </c>
      <c r="R304" s="969" t="str">
        <f t="shared" ca="1" si="183"/>
        <v/>
      </c>
      <c r="S304" s="969" t="str">
        <f t="shared" ca="1" si="183"/>
        <v/>
      </c>
      <c r="T304" s="969" t="str">
        <f t="shared" ca="1" si="183"/>
        <v/>
      </c>
      <c r="U304" s="969" t="str">
        <f t="shared" ca="1" si="183"/>
        <v/>
      </c>
      <c r="V304" s="969" t="str">
        <f t="shared" ca="1" si="183"/>
        <v/>
      </c>
      <c r="W304" s="969" t="str">
        <f t="shared" ca="1" si="183"/>
        <v/>
      </c>
      <c r="X304" s="969" t="str">
        <f t="shared" ca="1" si="183"/>
        <v/>
      </c>
      <c r="Y304" s="969" t="str">
        <f t="shared" ca="1" si="183"/>
        <v/>
      </c>
      <c r="Z304" s="969" t="str">
        <f t="shared" ca="1" si="183"/>
        <v/>
      </c>
      <c r="AA304" s="969" t="str">
        <f t="shared" ca="1" si="183"/>
        <v/>
      </c>
      <c r="AB304" s="969" t="str">
        <f t="shared" ca="1" si="183"/>
        <v/>
      </c>
      <c r="AC304" s="969" t="str">
        <f t="shared" ca="1" si="183"/>
        <v/>
      </c>
      <c r="AD304" s="969" t="str">
        <f t="shared" ca="1" si="183"/>
        <v/>
      </c>
      <c r="AE304" s="969" t="str">
        <f t="shared" ca="1" si="183"/>
        <v/>
      </c>
      <c r="AF304" s="969" t="str">
        <f t="shared" ca="1" si="183"/>
        <v/>
      </c>
      <c r="AG304" s="969" t="str">
        <f t="shared" ca="1" si="183"/>
        <v/>
      </c>
      <c r="AH304" s="969" t="str">
        <f t="shared" ca="1" si="183"/>
        <v/>
      </c>
      <c r="AI304" s="969" t="str">
        <f t="shared" ca="1" si="183"/>
        <v/>
      </c>
      <c r="AJ304" s="969" t="str">
        <f t="shared" ca="1" si="183"/>
        <v/>
      </c>
      <c r="AK304" s="969" t="str">
        <f t="shared" ref="AK304:BB304" ca="1" si="184">OFFSET(A1_原単位2025,9,AK247+2)</f>
        <v/>
      </c>
      <c r="AL304" s="969" t="str">
        <f t="shared" ca="1" si="184"/>
        <v/>
      </c>
      <c r="AM304" s="969" t="str">
        <f t="shared" ca="1" si="184"/>
        <v/>
      </c>
      <c r="AN304" s="969" t="str">
        <f t="shared" ca="1" si="184"/>
        <v/>
      </c>
      <c r="AO304" s="969" t="str">
        <f t="shared" ca="1" si="184"/>
        <v/>
      </c>
      <c r="AP304" s="969" t="str">
        <f t="shared" ca="1" si="184"/>
        <v/>
      </c>
      <c r="AQ304" s="969" t="str">
        <f t="shared" ca="1" si="184"/>
        <v/>
      </c>
      <c r="AR304" s="969" t="str">
        <f t="shared" ca="1" si="184"/>
        <v/>
      </c>
      <c r="AS304" s="969" t="str">
        <f t="shared" ca="1" si="184"/>
        <v/>
      </c>
      <c r="AT304" s="969" t="str">
        <f t="shared" ca="1" si="184"/>
        <v/>
      </c>
      <c r="AU304" s="969" t="str">
        <f t="shared" ca="1" si="184"/>
        <v/>
      </c>
      <c r="AV304" s="969" t="str">
        <f t="shared" ca="1" si="184"/>
        <v/>
      </c>
      <c r="AW304" s="969" t="str">
        <f t="shared" ca="1" si="184"/>
        <v/>
      </c>
      <c r="AX304" s="969" t="str">
        <f t="shared" ca="1" si="184"/>
        <v/>
      </c>
      <c r="AY304" s="969" t="str">
        <f t="shared" ca="1" si="184"/>
        <v/>
      </c>
      <c r="AZ304" s="969" t="str">
        <f t="shared" ca="1" si="184"/>
        <v/>
      </c>
      <c r="BA304" s="969" t="str">
        <f t="shared" ca="1" si="184"/>
        <v/>
      </c>
      <c r="BB304" s="969" t="str">
        <f t="shared" ca="1" si="184"/>
        <v/>
      </c>
    </row>
    <row r="305" spans="1:54" hidden="1">
      <c r="A305" s="967">
        <v>59</v>
      </c>
      <c r="B305" s="1345"/>
      <c r="C305" s="1034" t="s">
        <v>459</v>
      </c>
      <c r="D305" s="1035"/>
      <c r="E305" s="971" t="str">
        <f t="shared" ref="E305:AJ305" ca="1" si="185">OFFSET(A1_原単位2025,9+12,E247+2)</f>
        <v/>
      </c>
      <c r="F305" s="971" t="str">
        <f t="shared" ca="1" si="185"/>
        <v/>
      </c>
      <c r="G305" s="971" t="str">
        <f t="shared" ca="1" si="185"/>
        <v/>
      </c>
      <c r="H305" s="971" t="str">
        <f t="shared" ca="1" si="185"/>
        <v/>
      </c>
      <c r="I305" s="971" t="str">
        <f t="shared" ca="1" si="185"/>
        <v/>
      </c>
      <c r="J305" s="971" t="str">
        <f t="shared" ca="1" si="185"/>
        <v/>
      </c>
      <c r="K305" s="971" t="str">
        <f t="shared" ca="1" si="185"/>
        <v/>
      </c>
      <c r="L305" s="971" t="str">
        <f t="shared" ca="1" si="185"/>
        <v/>
      </c>
      <c r="M305" s="971" t="str">
        <f t="shared" ca="1" si="185"/>
        <v/>
      </c>
      <c r="N305" s="971" t="str">
        <f t="shared" ca="1" si="185"/>
        <v/>
      </c>
      <c r="O305" s="971" t="str">
        <f t="shared" ca="1" si="185"/>
        <v/>
      </c>
      <c r="P305" s="971" t="str">
        <f t="shared" ca="1" si="185"/>
        <v/>
      </c>
      <c r="Q305" s="971" t="str">
        <f t="shared" ca="1" si="185"/>
        <v/>
      </c>
      <c r="R305" s="971" t="str">
        <f t="shared" ca="1" si="185"/>
        <v/>
      </c>
      <c r="S305" s="971" t="str">
        <f t="shared" ca="1" si="185"/>
        <v/>
      </c>
      <c r="T305" s="971" t="str">
        <f t="shared" ca="1" si="185"/>
        <v/>
      </c>
      <c r="U305" s="971" t="str">
        <f t="shared" ca="1" si="185"/>
        <v/>
      </c>
      <c r="V305" s="971" t="str">
        <f t="shared" ca="1" si="185"/>
        <v/>
      </c>
      <c r="W305" s="971" t="str">
        <f t="shared" ca="1" si="185"/>
        <v/>
      </c>
      <c r="X305" s="971" t="str">
        <f t="shared" ca="1" si="185"/>
        <v/>
      </c>
      <c r="Y305" s="971" t="str">
        <f t="shared" ca="1" si="185"/>
        <v/>
      </c>
      <c r="Z305" s="971" t="str">
        <f t="shared" ca="1" si="185"/>
        <v/>
      </c>
      <c r="AA305" s="971" t="str">
        <f t="shared" ca="1" si="185"/>
        <v/>
      </c>
      <c r="AB305" s="971" t="str">
        <f t="shared" ca="1" si="185"/>
        <v/>
      </c>
      <c r="AC305" s="971" t="str">
        <f t="shared" ca="1" si="185"/>
        <v/>
      </c>
      <c r="AD305" s="971" t="str">
        <f t="shared" ca="1" si="185"/>
        <v/>
      </c>
      <c r="AE305" s="971" t="str">
        <f t="shared" ca="1" si="185"/>
        <v/>
      </c>
      <c r="AF305" s="971" t="str">
        <f t="shared" ca="1" si="185"/>
        <v/>
      </c>
      <c r="AG305" s="971" t="str">
        <f t="shared" ca="1" si="185"/>
        <v/>
      </c>
      <c r="AH305" s="971" t="str">
        <f t="shared" ca="1" si="185"/>
        <v/>
      </c>
      <c r="AI305" s="971" t="str">
        <f t="shared" ca="1" si="185"/>
        <v/>
      </c>
      <c r="AJ305" s="971" t="str">
        <f t="shared" ca="1" si="185"/>
        <v/>
      </c>
      <c r="AK305" s="971" t="str">
        <f t="shared" ref="AK305:BB305" ca="1" si="186">OFFSET(A1_原単位2025,9+12,AK247+2)</f>
        <v/>
      </c>
      <c r="AL305" s="971" t="str">
        <f t="shared" ca="1" si="186"/>
        <v/>
      </c>
      <c r="AM305" s="971" t="str">
        <f t="shared" ca="1" si="186"/>
        <v/>
      </c>
      <c r="AN305" s="971" t="str">
        <f t="shared" ca="1" si="186"/>
        <v/>
      </c>
      <c r="AO305" s="971" t="str">
        <f t="shared" ca="1" si="186"/>
        <v/>
      </c>
      <c r="AP305" s="971" t="str">
        <f t="shared" ca="1" si="186"/>
        <v/>
      </c>
      <c r="AQ305" s="971" t="str">
        <f t="shared" ca="1" si="186"/>
        <v/>
      </c>
      <c r="AR305" s="971" t="str">
        <f t="shared" ca="1" si="186"/>
        <v/>
      </c>
      <c r="AS305" s="971" t="str">
        <f t="shared" ca="1" si="186"/>
        <v/>
      </c>
      <c r="AT305" s="971" t="str">
        <f t="shared" ca="1" si="186"/>
        <v/>
      </c>
      <c r="AU305" s="971" t="str">
        <f t="shared" ca="1" si="186"/>
        <v/>
      </c>
      <c r="AV305" s="971" t="str">
        <f t="shared" ca="1" si="186"/>
        <v/>
      </c>
      <c r="AW305" s="971" t="str">
        <f t="shared" ca="1" si="186"/>
        <v/>
      </c>
      <c r="AX305" s="971" t="str">
        <f t="shared" ca="1" si="186"/>
        <v/>
      </c>
      <c r="AY305" s="971" t="str">
        <f t="shared" ca="1" si="186"/>
        <v/>
      </c>
      <c r="AZ305" s="971" t="str">
        <f t="shared" ca="1" si="186"/>
        <v/>
      </c>
      <c r="BA305" s="971" t="str">
        <f t="shared" ca="1" si="186"/>
        <v/>
      </c>
      <c r="BB305" s="972" t="str">
        <f t="shared" ca="1" si="186"/>
        <v/>
      </c>
    </row>
    <row r="306" spans="1:54" hidden="1">
      <c r="A306" s="967">
        <v>60</v>
      </c>
      <c r="B306" s="1345"/>
      <c r="C306" s="1034" t="s">
        <v>460</v>
      </c>
      <c r="D306" s="1035"/>
      <c r="E306" s="971" t="str">
        <f t="shared" ref="E306:AJ306" ca="1" si="187">OFFSET(A1_原単位2025,9+24,E247+2)</f>
        <v/>
      </c>
      <c r="F306" s="971" t="str">
        <f t="shared" ca="1" si="187"/>
        <v/>
      </c>
      <c r="G306" s="971" t="str">
        <f t="shared" ca="1" si="187"/>
        <v/>
      </c>
      <c r="H306" s="971" t="str">
        <f t="shared" ca="1" si="187"/>
        <v/>
      </c>
      <c r="I306" s="971" t="str">
        <f t="shared" ca="1" si="187"/>
        <v/>
      </c>
      <c r="J306" s="971" t="str">
        <f t="shared" ca="1" si="187"/>
        <v/>
      </c>
      <c r="K306" s="971" t="str">
        <f t="shared" ca="1" si="187"/>
        <v/>
      </c>
      <c r="L306" s="971" t="str">
        <f t="shared" ca="1" si="187"/>
        <v/>
      </c>
      <c r="M306" s="971" t="str">
        <f t="shared" ca="1" si="187"/>
        <v/>
      </c>
      <c r="N306" s="971" t="str">
        <f t="shared" ca="1" si="187"/>
        <v/>
      </c>
      <c r="O306" s="971" t="str">
        <f t="shared" ca="1" si="187"/>
        <v/>
      </c>
      <c r="P306" s="971" t="str">
        <f t="shared" ca="1" si="187"/>
        <v/>
      </c>
      <c r="Q306" s="971" t="str">
        <f t="shared" ca="1" si="187"/>
        <v/>
      </c>
      <c r="R306" s="971" t="str">
        <f t="shared" ca="1" si="187"/>
        <v/>
      </c>
      <c r="S306" s="971" t="str">
        <f t="shared" ca="1" si="187"/>
        <v/>
      </c>
      <c r="T306" s="971" t="str">
        <f t="shared" ca="1" si="187"/>
        <v/>
      </c>
      <c r="U306" s="971" t="str">
        <f t="shared" ca="1" si="187"/>
        <v/>
      </c>
      <c r="V306" s="971" t="str">
        <f t="shared" ca="1" si="187"/>
        <v/>
      </c>
      <c r="W306" s="971" t="str">
        <f t="shared" ca="1" si="187"/>
        <v/>
      </c>
      <c r="X306" s="971" t="str">
        <f t="shared" ca="1" si="187"/>
        <v/>
      </c>
      <c r="Y306" s="971" t="str">
        <f t="shared" ca="1" si="187"/>
        <v/>
      </c>
      <c r="Z306" s="971" t="str">
        <f t="shared" ca="1" si="187"/>
        <v/>
      </c>
      <c r="AA306" s="971" t="str">
        <f t="shared" ca="1" si="187"/>
        <v/>
      </c>
      <c r="AB306" s="971" t="str">
        <f t="shared" ca="1" si="187"/>
        <v/>
      </c>
      <c r="AC306" s="971" t="str">
        <f t="shared" ca="1" si="187"/>
        <v/>
      </c>
      <c r="AD306" s="971" t="str">
        <f t="shared" ca="1" si="187"/>
        <v/>
      </c>
      <c r="AE306" s="971" t="str">
        <f t="shared" ca="1" si="187"/>
        <v/>
      </c>
      <c r="AF306" s="971" t="str">
        <f t="shared" ca="1" si="187"/>
        <v/>
      </c>
      <c r="AG306" s="971" t="str">
        <f t="shared" ca="1" si="187"/>
        <v/>
      </c>
      <c r="AH306" s="971" t="str">
        <f t="shared" ca="1" si="187"/>
        <v/>
      </c>
      <c r="AI306" s="971" t="str">
        <f t="shared" ca="1" si="187"/>
        <v/>
      </c>
      <c r="AJ306" s="971" t="str">
        <f t="shared" ca="1" si="187"/>
        <v/>
      </c>
      <c r="AK306" s="971" t="str">
        <f t="shared" ref="AK306:BB306" ca="1" si="188">OFFSET(A1_原単位2025,9+24,AK247+2)</f>
        <v/>
      </c>
      <c r="AL306" s="971" t="str">
        <f t="shared" ca="1" si="188"/>
        <v/>
      </c>
      <c r="AM306" s="971" t="str">
        <f t="shared" ca="1" si="188"/>
        <v/>
      </c>
      <c r="AN306" s="971" t="str">
        <f t="shared" ca="1" si="188"/>
        <v/>
      </c>
      <c r="AO306" s="971" t="str">
        <f t="shared" ca="1" si="188"/>
        <v/>
      </c>
      <c r="AP306" s="971" t="str">
        <f t="shared" ca="1" si="188"/>
        <v/>
      </c>
      <c r="AQ306" s="971" t="str">
        <f t="shared" ca="1" si="188"/>
        <v/>
      </c>
      <c r="AR306" s="971" t="str">
        <f t="shared" ca="1" si="188"/>
        <v/>
      </c>
      <c r="AS306" s="971" t="str">
        <f t="shared" ca="1" si="188"/>
        <v/>
      </c>
      <c r="AT306" s="971" t="str">
        <f t="shared" ca="1" si="188"/>
        <v/>
      </c>
      <c r="AU306" s="971" t="str">
        <f t="shared" ca="1" si="188"/>
        <v/>
      </c>
      <c r="AV306" s="971" t="str">
        <f t="shared" ca="1" si="188"/>
        <v/>
      </c>
      <c r="AW306" s="971" t="str">
        <f t="shared" ca="1" si="188"/>
        <v/>
      </c>
      <c r="AX306" s="971" t="str">
        <f t="shared" ca="1" si="188"/>
        <v/>
      </c>
      <c r="AY306" s="971" t="str">
        <f t="shared" ca="1" si="188"/>
        <v/>
      </c>
      <c r="AZ306" s="971" t="str">
        <f t="shared" ca="1" si="188"/>
        <v/>
      </c>
      <c r="BA306" s="971" t="str">
        <f t="shared" ca="1" si="188"/>
        <v/>
      </c>
      <c r="BB306" s="972" t="str">
        <f t="shared" ca="1" si="188"/>
        <v/>
      </c>
    </row>
    <row r="307" spans="1:54" ht="18.600000000000001" hidden="1" thickBot="1">
      <c r="A307" s="967">
        <v>61</v>
      </c>
      <c r="B307" s="1346"/>
      <c r="C307" s="1036" t="s">
        <v>461</v>
      </c>
      <c r="D307" s="1037"/>
      <c r="E307" s="973" t="str">
        <f t="shared" ref="E307:AJ307" ca="1" si="189">OFFSET(A1_原単位2025,9+36,E247+2)</f>
        <v/>
      </c>
      <c r="F307" s="973" t="str">
        <f t="shared" ca="1" si="189"/>
        <v/>
      </c>
      <c r="G307" s="973" t="str">
        <f t="shared" ca="1" si="189"/>
        <v/>
      </c>
      <c r="H307" s="973" t="str">
        <f t="shared" ca="1" si="189"/>
        <v/>
      </c>
      <c r="I307" s="973" t="str">
        <f t="shared" ca="1" si="189"/>
        <v/>
      </c>
      <c r="J307" s="973" t="str">
        <f t="shared" ca="1" si="189"/>
        <v/>
      </c>
      <c r="K307" s="973" t="str">
        <f t="shared" ca="1" si="189"/>
        <v/>
      </c>
      <c r="L307" s="973" t="str">
        <f t="shared" ca="1" si="189"/>
        <v/>
      </c>
      <c r="M307" s="973" t="str">
        <f t="shared" ca="1" si="189"/>
        <v/>
      </c>
      <c r="N307" s="973" t="str">
        <f t="shared" ca="1" si="189"/>
        <v/>
      </c>
      <c r="O307" s="973" t="str">
        <f t="shared" ca="1" si="189"/>
        <v/>
      </c>
      <c r="P307" s="973" t="str">
        <f t="shared" ca="1" si="189"/>
        <v/>
      </c>
      <c r="Q307" s="973" t="str">
        <f t="shared" ca="1" si="189"/>
        <v/>
      </c>
      <c r="R307" s="973" t="str">
        <f t="shared" ca="1" si="189"/>
        <v/>
      </c>
      <c r="S307" s="973" t="str">
        <f t="shared" ca="1" si="189"/>
        <v/>
      </c>
      <c r="T307" s="973" t="str">
        <f t="shared" ca="1" si="189"/>
        <v/>
      </c>
      <c r="U307" s="973" t="str">
        <f t="shared" ca="1" si="189"/>
        <v/>
      </c>
      <c r="V307" s="973" t="str">
        <f t="shared" ca="1" si="189"/>
        <v/>
      </c>
      <c r="W307" s="973" t="str">
        <f t="shared" ca="1" si="189"/>
        <v/>
      </c>
      <c r="X307" s="973" t="str">
        <f t="shared" ca="1" si="189"/>
        <v/>
      </c>
      <c r="Y307" s="973" t="str">
        <f t="shared" ca="1" si="189"/>
        <v/>
      </c>
      <c r="Z307" s="973" t="str">
        <f t="shared" ca="1" si="189"/>
        <v/>
      </c>
      <c r="AA307" s="973" t="str">
        <f t="shared" ca="1" si="189"/>
        <v/>
      </c>
      <c r="AB307" s="973" t="str">
        <f t="shared" ca="1" si="189"/>
        <v/>
      </c>
      <c r="AC307" s="973" t="str">
        <f t="shared" ca="1" si="189"/>
        <v/>
      </c>
      <c r="AD307" s="973" t="str">
        <f t="shared" ca="1" si="189"/>
        <v/>
      </c>
      <c r="AE307" s="973" t="str">
        <f t="shared" ca="1" si="189"/>
        <v/>
      </c>
      <c r="AF307" s="973" t="str">
        <f t="shared" ca="1" si="189"/>
        <v/>
      </c>
      <c r="AG307" s="973" t="str">
        <f t="shared" ca="1" si="189"/>
        <v/>
      </c>
      <c r="AH307" s="973" t="str">
        <f t="shared" ca="1" si="189"/>
        <v/>
      </c>
      <c r="AI307" s="973" t="str">
        <f t="shared" ca="1" si="189"/>
        <v/>
      </c>
      <c r="AJ307" s="973" t="str">
        <f t="shared" ca="1" si="189"/>
        <v/>
      </c>
      <c r="AK307" s="973" t="str">
        <f t="shared" ref="AK307:BB307" ca="1" si="190">OFFSET(A1_原単位2025,9+36,AK247+2)</f>
        <v/>
      </c>
      <c r="AL307" s="973" t="str">
        <f t="shared" ca="1" si="190"/>
        <v/>
      </c>
      <c r="AM307" s="973" t="str">
        <f t="shared" ca="1" si="190"/>
        <v/>
      </c>
      <c r="AN307" s="973" t="str">
        <f t="shared" ca="1" si="190"/>
        <v/>
      </c>
      <c r="AO307" s="973" t="str">
        <f t="shared" ca="1" si="190"/>
        <v/>
      </c>
      <c r="AP307" s="973" t="str">
        <f t="shared" ca="1" si="190"/>
        <v/>
      </c>
      <c r="AQ307" s="973" t="str">
        <f t="shared" ca="1" si="190"/>
        <v/>
      </c>
      <c r="AR307" s="973" t="str">
        <f t="shared" ca="1" si="190"/>
        <v/>
      </c>
      <c r="AS307" s="973" t="str">
        <f t="shared" ca="1" si="190"/>
        <v/>
      </c>
      <c r="AT307" s="973" t="str">
        <f t="shared" ca="1" si="190"/>
        <v/>
      </c>
      <c r="AU307" s="973" t="str">
        <f t="shared" ca="1" si="190"/>
        <v/>
      </c>
      <c r="AV307" s="973" t="str">
        <f t="shared" ca="1" si="190"/>
        <v/>
      </c>
      <c r="AW307" s="973" t="str">
        <f t="shared" ca="1" si="190"/>
        <v/>
      </c>
      <c r="AX307" s="973" t="str">
        <f t="shared" ca="1" si="190"/>
        <v/>
      </c>
      <c r="AY307" s="973" t="str">
        <f t="shared" ca="1" si="190"/>
        <v/>
      </c>
      <c r="AZ307" s="973" t="str">
        <f t="shared" ca="1" si="190"/>
        <v/>
      </c>
      <c r="BA307" s="973" t="str">
        <f t="shared" ca="1" si="190"/>
        <v/>
      </c>
      <c r="BB307" s="974" t="str">
        <f t="shared" ca="1" si="190"/>
        <v/>
      </c>
    </row>
    <row r="308" spans="1:54" hidden="1">
      <c r="A308" s="967">
        <v>62</v>
      </c>
      <c r="B308" s="1344" t="s">
        <v>646</v>
      </c>
      <c r="C308" s="1032" t="s">
        <v>458</v>
      </c>
      <c r="D308" s="1038"/>
      <c r="E308" s="969" t="str">
        <f ca="1">IF(AND($HE$10="",$HG$10=""),IF(AND(E300="",E252&lt;&gt;""),"&lt;"&amp;E312&amp;"&gt;要入力",IF(OR(E300=E304,E300="",E304=""),"","&lt;"&amp;E312&amp;"&gt;要修正("&amp;E300&amp;"→"&amp;E304&amp;")")),"")</f>
        <v/>
      </c>
      <c r="F308" s="969" t="str">
        <f t="shared" ref="F308:BB308" ca="1" si="191">IF(AND($HE$10="",$HG$10=""),IF(AND(F300="",F252&lt;&gt;""),"&lt;"&amp;F312&amp;"&gt;要入力",IF(OR(F300=F304,F300="",F304=""),"","&lt;"&amp;F312&amp;"&gt;要修正("&amp;F300&amp;"→"&amp;F304&amp;")")),"")</f>
        <v/>
      </c>
      <c r="G308" s="969" t="str">
        <f t="shared" ca="1" si="191"/>
        <v/>
      </c>
      <c r="H308" s="969" t="str">
        <f t="shared" ca="1" si="191"/>
        <v/>
      </c>
      <c r="I308" s="969" t="str">
        <f t="shared" ca="1" si="191"/>
        <v/>
      </c>
      <c r="J308" s="969" t="str">
        <f t="shared" ca="1" si="191"/>
        <v/>
      </c>
      <c r="K308" s="969" t="str">
        <f t="shared" ca="1" si="191"/>
        <v/>
      </c>
      <c r="L308" s="969" t="str">
        <f t="shared" ca="1" si="191"/>
        <v/>
      </c>
      <c r="M308" s="969" t="str">
        <f t="shared" ca="1" si="191"/>
        <v/>
      </c>
      <c r="N308" s="969" t="str">
        <f t="shared" ca="1" si="191"/>
        <v/>
      </c>
      <c r="O308" s="969" t="str">
        <f t="shared" ca="1" si="191"/>
        <v/>
      </c>
      <c r="P308" s="969" t="str">
        <f t="shared" ca="1" si="191"/>
        <v/>
      </c>
      <c r="Q308" s="969" t="str">
        <f t="shared" ca="1" si="191"/>
        <v/>
      </c>
      <c r="R308" s="969" t="str">
        <f t="shared" ca="1" si="191"/>
        <v/>
      </c>
      <c r="S308" s="969" t="str">
        <f t="shared" ca="1" si="191"/>
        <v/>
      </c>
      <c r="T308" s="969" t="str">
        <f t="shared" ca="1" si="191"/>
        <v/>
      </c>
      <c r="U308" s="969" t="str">
        <f t="shared" ca="1" si="191"/>
        <v/>
      </c>
      <c r="V308" s="969" t="str">
        <f t="shared" ca="1" si="191"/>
        <v/>
      </c>
      <c r="W308" s="969" t="str">
        <f t="shared" ca="1" si="191"/>
        <v/>
      </c>
      <c r="X308" s="969" t="str">
        <f t="shared" ca="1" si="191"/>
        <v/>
      </c>
      <c r="Y308" s="969" t="str">
        <f t="shared" ca="1" si="191"/>
        <v/>
      </c>
      <c r="Z308" s="969" t="str">
        <f t="shared" ca="1" si="191"/>
        <v/>
      </c>
      <c r="AA308" s="969" t="str">
        <f t="shared" ca="1" si="191"/>
        <v/>
      </c>
      <c r="AB308" s="969" t="str">
        <f t="shared" ca="1" si="191"/>
        <v/>
      </c>
      <c r="AC308" s="969" t="str">
        <f t="shared" ca="1" si="191"/>
        <v/>
      </c>
      <c r="AD308" s="969" t="str">
        <f t="shared" ca="1" si="191"/>
        <v/>
      </c>
      <c r="AE308" s="969" t="str">
        <f t="shared" ca="1" si="191"/>
        <v/>
      </c>
      <c r="AF308" s="969" t="str">
        <f t="shared" ca="1" si="191"/>
        <v/>
      </c>
      <c r="AG308" s="969" t="str">
        <f t="shared" ca="1" si="191"/>
        <v/>
      </c>
      <c r="AH308" s="969" t="str">
        <f t="shared" ca="1" si="191"/>
        <v/>
      </c>
      <c r="AI308" s="969" t="str">
        <f t="shared" ca="1" si="191"/>
        <v/>
      </c>
      <c r="AJ308" s="969" t="str">
        <f t="shared" ca="1" si="191"/>
        <v/>
      </c>
      <c r="AK308" s="969" t="str">
        <f t="shared" ca="1" si="191"/>
        <v/>
      </c>
      <c r="AL308" s="969" t="str">
        <f t="shared" ca="1" si="191"/>
        <v/>
      </c>
      <c r="AM308" s="969" t="str">
        <f t="shared" ca="1" si="191"/>
        <v/>
      </c>
      <c r="AN308" s="969" t="str">
        <f t="shared" ca="1" si="191"/>
        <v/>
      </c>
      <c r="AO308" s="969" t="str">
        <f t="shared" ca="1" si="191"/>
        <v/>
      </c>
      <c r="AP308" s="969" t="str">
        <f t="shared" ca="1" si="191"/>
        <v/>
      </c>
      <c r="AQ308" s="969" t="str">
        <f t="shared" ca="1" si="191"/>
        <v/>
      </c>
      <c r="AR308" s="969" t="str">
        <f t="shared" ca="1" si="191"/>
        <v/>
      </c>
      <c r="AS308" s="969" t="str">
        <f t="shared" ca="1" si="191"/>
        <v/>
      </c>
      <c r="AT308" s="969" t="str">
        <f t="shared" ca="1" si="191"/>
        <v/>
      </c>
      <c r="AU308" s="969" t="str">
        <f t="shared" ca="1" si="191"/>
        <v/>
      </c>
      <c r="AV308" s="969" t="str">
        <f t="shared" ca="1" si="191"/>
        <v/>
      </c>
      <c r="AW308" s="969" t="str">
        <f t="shared" ca="1" si="191"/>
        <v/>
      </c>
      <c r="AX308" s="969" t="str">
        <f t="shared" ca="1" si="191"/>
        <v/>
      </c>
      <c r="AY308" s="969" t="str">
        <f t="shared" ca="1" si="191"/>
        <v/>
      </c>
      <c r="AZ308" s="969" t="str">
        <f t="shared" ca="1" si="191"/>
        <v/>
      </c>
      <c r="BA308" s="969" t="str">
        <f t="shared" ca="1" si="191"/>
        <v/>
      </c>
      <c r="BB308" s="969" t="str">
        <f t="shared" ca="1" si="191"/>
        <v/>
      </c>
    </row>
    <row r="309" spans="1:54" hidden="1">
      <c r="A309" s="967">
        <v>63</v>
      </c>
      <c r="B309" s="1345"/>
      <c r="C309" s="1034" t="s">
        <v>459</v>
      </c>
      <c r="D309" s="1039"/>
      <c r="E309" s="971" t="str">
        <f ca="1">IF(AND($HE$10="",$HG$10=""),IF(AND(E301="",E264&lt;&gt;""),"&lt;"&amp;E313&amp;"&gt;要入力",IF(OR(E301=E305,E301="",E305=""),"","&lt;"&amp;E313&amp;"&gt;要修正("&amp;E301&amp;"→"&amp;E305&amp;")")),"")</f>
        <v/>
      </c>
      <c r="F309" s="971" t="str">
        <f t="shared" ref="F309:BB309" ca="1" si="192">IF(AND($HE$10="",$HG$10=""),IF(AND(F301="",F264&lt;&gt;""),"&lt;"&amp;F313&amp;"&gt;要入力",IF(OR(F301=F305,F301="",F305=""),"","&lt;"&amp;F313&amp;"&gt;要修正("&amp;F301&amp;"→"&amp;F305&amp;")")),"")</f>
        <v/>
      </c>
      <c r="G309" s="971" t="str">
        <f t="shared" ca="1" si="192"/>
        <v/>
      </c>
      <c r="H309" s="971" t="str">
        <f t="shared" ca="1" si="192"/>
        <v/>
      </c>
      <c r="I309" s="971" t="str">
        <f t="shared" ca="1" si="192"/>
        <v/>
      </c>
      <c r="J309" s="971" t="str">
        <f t="shared" ca="1" si="192"/>
        <v/>
      </c>
      <c r="K309" s="971" t="str">
        <f t="shared" ca="1" si="192"/>
        <v/>
      </c>
      <c r="L309" s="971" t="str">
        <f t="shared" ca="1" si="192"/>
        <v/>
      </c>
      <c r="M309" s="971" t="str">
        <f t="shared" ca="1" si="192"/>
        <v/>
      </c>
      <c r="N309" s="971" t="str">
        <f t="shared" ca="1" si="192"/>
        <v/>
      </c>
      <c r="O309" s="971" t="str">
        <f t="shared" ca="1" si="192"/>
        <v/>
      </c>
      <c r="P309" s="971" t="str">
        <f t="shared" ca="1" si="192"/>
        <v/>
      </c>
      <c r="Q309" s="971" t="str">
        <f t="shared" ca="1" si="192"/>
        <v/>
      </c>
      <c r="R309" s="971" t="str">
        <f t="shared" ca="1" si="192"/>
        <v/>
      </c>
      <c r="S309" s="971" t="str">
        <f t="shared" ca="1" si="192"/>
        <v/>
      </c>
      <c r="T309" s="971" t="str">
        <f t="shared" ca="1" si="192"/>
        <v/>
      </c>
      <c r="U309" s="971" t="str">
        <f t="shared" ca="1" si="192"/>
        <v/>
      </c>
      <c r="V309" s="971" t="str">
        <f t="shared" ca="1" si="192"/>
        <v/>
      </c>
      <c r="W309" s="971" t="str">
        <f t="shared" ca="1" si="192"/>
        <v/>
      </c>
      <c r="X309" s="971" t="str">
        <f t="shared" ca="1" si="192"/>
        <v/>
      </c>
      <c r="Y309" s="971" t="str">
        <f t="shared" ca="1" si="192"/>
        <v/>
      </c>
      <c r="Z309" s="971" t="str">
        <f t="shared" ca="1" si="192"/>
        <v/>
      </c>
      <c r="AA309" s="971" t="str">
        <f t="shared" ca="1" si="192"/>
        <v/>
      </c>
      <c r="AB309" s="971" t="str">
        <f t="shared" ca="1" si="192"/>
        <v/>
      </c>
      <c r="AC309" s="971" t="str">
        <f t="shared" ca="1" si="192"/>
        <v/>
      </c>
      <c r="AD309" s="971" t="str">
        <f t="shared" ca="1" si="192"/>
        <v/>
      </c>
      <c r="AE309" s="971" t="str">
        <f t="shared" ca="1" si="192"/>
        <v/>
      </c>
      <c r="AF309" s="971" t="str">
        <f t="shared" ca="1" si="192"/>
        <v/>
      </c>
      <c r="AG309" s="971" t="str">
        <f t="shared" ca="1" si="192"/>
        <v/>
      </c>
      <c r="AH309" s="971" t="str">
        <f t="shared" ca="1" si="192"/>
        <v/>
      </c>
      <c r="AI309" s="971" t="str">
        <f t="shared" ca="1" si="192"/>
        <v/>
      </c>
      <c r="AJ309" s="971" t="str">
        <f t="shared" ca="1" si="192"/>
        <v/>
      </c>
      <c r="AK309" s="971" t="str">
        <f t="shared" ca="1" si="192"/>
        <v/>
      </c>
      <c r="AL309" s="971" t="str">
        <f t="shared" ca="1" si="192"/>
        <v/>
      </c>
      <c r="AM309" s="971" t="str">
        <f t="shared" ca="1" si="192"/>
        <v/>
      </c>
      <c r="AN309" s="971" t="str">
        <f t="shared" ca="1" si="192"/>
        <v/>
      </c>
      <c r="AO309" s="971" t="str">
        <f t="shared" ca="1" si="192"/>
        <v/>
      </c>
      <c r="AP309" s="971" t="str">
        <f t="shared" ca="1" si="192"/>
        <v/>
      </c>
      <c r="AQ309" s="971" t="str">
        <f t="shared" ca="1" si="192"/>
        <v/>
      </c>
      <c r="AR309" s="971" t="str">
        <f t="shared" ca="1" si="192"/>
        <v/>
      </c>
      <c r="AS309" s="971" t="str">
        <f t="shared" ca="1" si="192"/>
        <v/>
      </c>
      <c r="AT309" s="971" t="str">
        <f t="shared" ca="1" si="192"/>
        <v/>
      </c>
      <c r="AU309" s="971" t="str">
        <f t="shared" ca="1" si="192"/>
        <v/>
      </c>
      <c r="AV309" s="971" t="str">
        <f t="shared" ca="1" si="192"/>
        <v/>
      </c>
      <c r="AW309" s="971" t="str">
        <f t="shared" ca="1" si="192"/>
        <v/>
      </c>
      <c r="AX309" s="971" t="str">
        <f t="shared" ca="1" si="192"/>
        <v/>
      </c>
      <c r="AY309" s="971" t="str">
        <f t="shared" ca="1" si="192"/>
        <v/>
      </c>
      <c r="AZ309" s="971" t="str">
        <f t="shared" ca="1" si="192"/>
        <v/>
      </c>
      <c r="BA309" s="971" t="str">
        <f t="shared" ca="1" si="192"/>
        <v/>
      </c>
      <c r="BB309" s="971" t="str">
        <f t="shared" ca="1" si="192"/>
        <v/>
      </c>
    </row>
    <row r="310" spans="1:54" hidden="1">
      <c r="A310" s="967">
        <v>64</v>
      </c>
      <c r="B310" s="1345"/>
      <c r="C310" s="1034" t="s">
        <v>460</v>
      </c>
      <c r="D310" s="1039"/>
      <c r="E310" s="971" t="str">
        <f ca="1">IF(AND($HE$10="",$HG$10=""),IF(AND(E302="",E276&lt;&gt;""),"&lt;"&amp;E314&amp;"&gt;要入力",IF(OR(E302=E306,E302="",E306=""),"","&lt;"&amp;E314&amp;"&gt;要修正("&amp;E302&amp;"→"&amp;E306&amp;")")),"")</f>
        <v/>
      </c>
      <c r="F310" s="971" t="str">
        <f t="shared" ref="F310:BB310" ca="1" si="193">IF(AND($HE$10="",$HG$10=""),IF(AND(F302="",F276&lt;&gt;""),"&lt;"&amp;F314&amp;"&gt;要入力",IF(OR(F302=F306,F302="",F306=""),"","&lt;"&amp;F314&amp;"&gt;要修正("&amp;F302&amp;"→"&amp;F306&amp;")")),"")</f>
        <v/>
      </c>
      <c r="G310" s="971" t="str">
        <f t="shared" ca="1" si="193"/>
        <v/>
      </c>
      <c r="H310" s="971" t="str">
        <f t="shared" ca="1" si="193"/>
        <v/>
      </c>
      <c r="I310" s="971" t="str">
        <f t="shared" ca="1" si="193"/>
        <v/>
      </c>
      <c r="J310" s="971" t="str">
        <f t="shared" ca="1" si="193"/>
        <v/>
      </c>
      <c r="K310" s="971" t="str">
        <f t="shared" ca="1" si="193"/>
        <v/>
      </c>
      <c r="L310" s="971" t="str">
        <f t="shared" ca="1" si="193"/>
        <v/>
      </c>
      <c r="M310" s="971" t="str">
        <f t="shared" ca="1" si="193"/>
        <v/>
      </c>
      <c r="N310" s="971" t="str">
        <f t="shared" ca="1" si="193"/>
        <v/>
      </c>
      <c r="O310" s="971" t="str">
        <f t="shared" ca="1" si="193"/>
        <v/>
      </c>
      <c r="P310" s="971" t="str">
        <f t="shared" ca="1" si="193"/>
        <v/>
      </c>
      <c r="Q310" s="971" t="str">
        <f t="shared" ca="1" si="193"/>
        <v/>
      </c>
      <c r="R310" s="971" t="str">
        <f t="shared" ca="1" si="193"/>
        <v/>
      </c>
      <c r="S310" s="971" t="str">
        <f t="shared" ca="1" si="193"/>
        <v/>
      </c>
      <c r="T310" s="971" t="str">
        <f t="shared" ca="1" si="193"/>
        <v/>
      </c>
      <c r="U310" s="971" t="str">
        <f t="shared" ca="1" si="193"/>
        <v/>
      </c>
      <c r="V310" s="971" t="str">
        <f t="shared" ca="1" si="193"/>
        <v/>
      </c>
      <c r="W310" s="971" t="str">
        <f t="shared" ca="1" si="193"/>
        <v/>
      </c>
      <c r="X310" s="971" t="str">
        <f t="shared" ca="1" si="193"/>
        <v/>
      </c>
      <c r="Y310" s="971" t="str">
        <f t="shared" ca="1" si="193"/>
        <v/>
      </c>
      <c r="Z310" s="971" t="str">
        <f t="shared" ca="1" si="193"/>
        <v/>
      </c>
      <c r="AA310" s="971" t="str">
        <f t="shared" ca="1" si="193"/>
        <v/>
      </c>
      <c r="AB310" s="971" t="str">
        <f t="shared" ca="1" si="193"/>
        <v/>
      </c>
      <c r="AC310" s="971" t="str">
        <f t="shared" ca="1" si="193"/>
        <v/>
      </c>
      <c r="AD310" s="971" t="str">
        <f t="shared" ca="1" si="193"/>
        <v/>
      </c>
      <c r="AE310" s="971" t="str">
        <f t="shared" ca="1" si="193"/>
        <v/>
      </c>
      <c r="AF310" s="971" t="str">
        <f t="shared" ca="1" si="193"/>
        <v/>
      </c>
      <c r="AG310" s="971" t="str">
        <f t="shared" ca="1" si="193"/>
        <v/>
      </c>
      <c r="AH310" s="971" t="str">
        <f t="shared" ca="1" si="193"/>
        <v/>
      </c>
      <c r="AI310" s="971" t="str">
        <f t="shared" ca="1" si="193"/>
        <v/>
      </c>
      <c r="AJ310" s="971" t="str">
        <f t="shared" ca="1" si="193"/>
        <v/>
      </c>
      <c r="AK310" s="971" t="str">
        <f t="shared" ca="1" si="193"/>
        <v/>
      </c>
      <c r="AL310" s="971" t="str">
        <f t="shared" ca="1" si="193"/>
        <v/>
      </c>
      <c r="AM310" s="971" t="str">
        <f t="shared" ca="1" si="193"/>
        <v/>
      </c>
      <c r="AN310" s="971" t="str">
        <f t="shared" ca="1" si="193"/>
        <v/>
      </c>
      <c r="AO310" s="971" t="str">
        <f t="shared" ca="1" si="193"/>
        <v/>
      </c>
      <c r="AP310" s="971" t="str">
        <f t="shared" ca="1" si="193"/>
        <v/>
      </c>
      <c r="AQ310" s="971" t="str">
        <f t="shared" ca="1" si="193"/>
        <v/>
      </c>
      <c r="AR310" s="971" t="str">
        <f t="shared" ca="1" si="193"/>
        <v/>
      </c>
      <c r="AS310" s="971" t="str">
        <f t="shared" ca="1" si="193"/>
        <v/>
      </c>
      <c r="AT310" s="971" t="str">
        <f t="shared" ca="1" si="193"/>
        <v/>
      </c>
      <c r="AU310" s="971" t="str">
        <f t="shared" ca="1" si="193"/>
        <v/>
      </c>
      <c r="AV310" s="971" t="str">
        <f t="shared" ca="1" si="193"/>
        <v/>
      </c>
      <c r="AW310" s="971" t="str">
        <f t="shared" ca="1" si="193"/>
        <v/>
      </c>
      <c r="AX310" s="971" t="str">
        <f t="shared" ca="1" si="193"/>
        <v/>
      </c>
      <c r="AY310" s="971" t="str">
        <f t="shared" ca="1" si="193"/>
        <v/>
      </c>
      <c r="AZ310" s="971" t="str">
        <f t="shared" ca="1" si="193"/>
        <v/>
      </c>
      <c r="BA310" s="971" t="str">
        <f t="shared" ca="1" si="193"/>
        <v/>
      </c>
      <c r="BB310" s="971" t="str">
        <f t="shared" ca="1" si="193"/>
        <v/>
      </c>
    </row>
    <row r="311" spans="1:54" ht="18.600000000000001" hidden="1" thickBot="1">
      <c r="A311" s="967">
        <v>65</v>
      </c>
      <c r="B311" s="1346"/>
      <c r="C311" s="1036" t="s">
        <v>461</v>
      </c>
      <c r="D311" s="1040"/>
      <c r="E311" s="973" t="str">
        <f ca="1">IF(AND($HE$10="",$HG$10=""),IF(AND(E303="",E288&lt;&gt;""),"&lt;"&amp;E315&amp;"&gt;要入力",IF(OR(E303=E307,E303="",E307=""),"","&lt;"&amp;E315&amp;"&gt;要修正("&amp;E303&amp;"→"&amp;E307&amp;")")),"")</f>
        <v/>
      </c>
      <c r="F311" s="973" t="str">
        <f t="shared" ref="F311:BB311" ca="1" si="194">IF(AND($HE$10="",$HG$10=""),IF(AND(F303="",F288&lt;&gt;""),"&lt;"&amp;F315&amp;"&gt;要入力",IF(OR(F303=F307,F303="",F307=""),"","&lt;"&amp;F315&amp;"&gt;要修正("&amp;F303&amp;"→"&amp;F307&amp;")")),"")</f>
        <v/>
      </c>
      <c r="G311" s="973" t="str">
        <f t="shared" ca="1" si="194"/>
        <v/>
      </c>
      <c r="H311" s="973" t="str">
        <f t="shared" ca="1" si="194"/>
        <v/>
      </c>
      <c r="I311" s="973" t="str">
        <f t="shared" ca="1" si="194"/>
        <v/>
      </c>
      <c r="J311" s="973" t="str">
        <f t="shared" ca="1" si="194"/>
        <v/>
      </c>
      <c r="K311" s="973" t="str">
        <f t="shared" ca="1" si="194"/>
        <v/>
      </c>
      <c r="L311" s="973" t="str">
        <f t="shared" ca="1" si="194"/>
        <v/>
      </c>
      <c r="M311" s="973" t="str">
        <f t="shared" ca="1" si="194"/>
        <v/>
      </c>
      <c r="N311" s="973" t="str">
        <f t="shared" ca="1" si="194"/>
        <v/>
      </c>
      <c r="O311" s="973" t="str">
        <f t="shared" ca="1" si="194"/>
        <v/>
      </c>
      <c r="P311" s="973" t="str">
        <f t="shared" ca="1" si="194"/>
        <v/>
      </c>
      <c r="Q311" s="973" t="str">
        <f t="shared" ca="1" si="194"/>
        <v/>
      </c>
      <c r="R311" s="973" t="str">
        <f t="shared" ca="1" si="194"/>
        <v/>
      </c>
      <c r="S311" s="973" t="str">
        <f t="shared" ca="1" si="194"/>
        <v/>
      </c>
      <c r="T311" s="973" t="str">
        <f t="shared" ca="1" si="194"/>
        <v/>
      </c>
      <c r="U311" s="973" t="str">
        <f t="shared" ca="1" si="194"/>
        <v/>
      </c>
      <c r="V311" s="973" t="str">
        <f t="shared" ca="1" si="194"/>
        <v/>
      </c>
      <c r="W311" s="973" t="str">
        <f t="shared" ca="1" si="194"/>
        <v/>
      </c>
      <c r="X311" s="973" t="str">
        <f t="shared" ca="1" si="194"/>
        <v/>
      </c>
      <c r="Y311" s="973" t="str">
        <f t="shared" ca="1" si="194"/>
        <v/>
      </c>
      <c r="Z311" s="973" t="str">
        <f t="shared" ca="1" si="194"/>
        <v/>
      </c>
      <c r="AA311" s="973" t="str">
        <f t="shared" ca="1" si="194"/>
        <v/>
      </c>
      <c r="AB311" s="973" t="str">
        <f t="shared" ca="1" si="194"/>
        <v/>
      </c>
      <c r="AC311" s="973" t="str">
        <f t="shared" ca="1" si="194"/>
        <v/>
      </c>
      <c r="AD311" s="973" t="str">
        <f t="shared" ca="1" si="194"/>
        <v/>
      </c>
      <c r="AE311" s="973" t="str">
        <f t="shared" ca="1" si="194"/>
        <v/>
      </c>
      <c r="AF311" s="973" t="str">
        <f t="shared" ca="1" si="194"/>
        <v/>
      </c>
      <c r="AG311" s="973" t="str">
        <f t="shared" ca="1" si="194"/>
        <v/>
      </c>
      <c r="AH311" s="973" t="str">
        <f t="shared" ca="1" si="194"/>
        <v/>
      </c>
      <c r="AI311" s="973" t="str">
        <f t="shared" ca="1" si="194"/>
        <v/>
      </c>
      <c r="AJ311" s="973" t="str">
        <f t="shared" ca="1" si="194"/>
        <v/>
      </c>
      <c r="AK311" s="973" t="str">
        <f t="shared" ca="1" si="194"/>
        <v/>
      </c>
      <c r="AL311" s="973" t="str">
        <f t="shared" ca="1" si="194"/>
        <v/>
      </c>
      <c r="AM311" s="973" t="str">
        <f t="shared" ca="1" si="194"/>
        <v/>
      </c>
      <c r="AN311" s="973" t="str">
        <f t="shared" ca="1" si="194"/>
        <v/>
      </c>
      <c r="AO311" s="973" t="str">
        <f t="shared" ca="1" si="194"/>
        <v/>
      </c>
      <c r="AP311" s="973" t="str">
        <f t="shared" ca="1" si="194"/>
        <v/>
      </c>
      <c r="AQ311" s="973" t="str">
        <f t="shared" ca="1" si="194"/>
        <v/>
      </c>
      <c r="AR311" s="973" t="str">
        <f t="shared" ca="1" si="194"/>
        <v/>
      </c>
      <c r="AS311" s="973" t="str">
        <f t="shared" ca="1" si="194"/>
        <v/>
      </c>
      <c r="AT311" s="973" t="str">
        <f t="shared" ca="1" si="194"/>
        <v/>
      </c>
      <c r="AU311" s="973" t="str">
        <f t="shared" ca="1" si="194"/>
        <v/>
      </c>
      <c r="AV311" s="973" t="str">
        <f t="shared" ca="1" si="194"/>
        <v/>
      </c>
      <c r="AW311" s="973" t="str">
        <f t="shared" ca="1" si="194"/>
        <v/>
      </c>
      <c r="AX311" s="973" t="str">
        <f t="shared" ca="1" si="194"/>
        <v/>
      </c>
      <c r="AY311" s="973" t="str">
        <f t="shared" ca="1" si="194"/>
        <v/>
      </c>
      <c r="AZ311" s="973" t="str">
        <f t="shared" ca="1" si="194"/>
        <v/>
      </c>
      <c r="BA311" s="973" t="str">
        <f t="shared" ca="1" si="194"/>
        <v/>
      </c>
      <c r="BB311" s="973" t="str">
        <f t="shared" ca="1" si="194"/>
        <v/>
      </c>
    </row>
    <row r="312" spans="1:54" ht="14.25" hidden="1" customHeight="1">
      <c r="B312" s="1344" t="s">
        <v>647</v>
      </c>
      <c r="C312" s="1032" t="s">
        <v>458</v>
      </c>
      <c r="D312" s="1038"/>
      <c r="E312" s="969" t="str">
        <f t="shared" ref="E312:AJ312" ca="1" si="195">IFERROR(ADDRESS(ROW(貼付け_2024実績)+99,E253+COLUMN(貼付け_2024実績),4),"")</f>
        <v/>
      </c>
      <c r="F312" s="969" t="str">
        <f t="shared" ca="1" si="195"/>
        <v/>
      </c>
      <c r="G312" s="969" t="str">
        <f t="shared" ca="1" si="195"/>
        <v/>
      </c>
      <c r="H312" s="969" t="str">
        <f t="shared" ca="1" si="195"/>
        <v/>
      </c>
      <c r="I312" s="969" t="str">
        <f t="shared" ca="1" si="195"/>
        <v/>
      </c>
      <c r="J312" s="969" t="str">
        <f t="shared" ca="1" si="195"/>
        <v/>
      </c>
      <c r="K312" s="969" t="str">
        <f t="shared" ca="1" si="195"/>
        <v/>
      </c>
      <c r="L312" s="969" t="str">
        <f t="shared" ca="1" si="195"/>
        <v/>
      </c>
      <c r="M312" s="969" t="str">
        <f t="shared" ca="1" si="195"/>
        <v/>
      </c>
      <c r="N312" s="969" t="str">
        <f t="shared" ca="1" si="195"/>
        <v/>
      </c>
      <c r="O312" s="969" t="str">
        <f t="shared" ca="1" si="195"/>
        <v/>
      </c>
      <c r="P312" s="969" t="str">
        <f t="shared" ca="1" si="195"/>
        <v/>
      </c>
      <c r="Q312" s="969" t="str">
        <f t="shared" ca="1" si="195"/>
        <v/>
      </c>
      <c r="R312" s="969" t="str">
        <f t="shared" ca="1" si="195"/>
        <v/>
      </c>
      <c r="S312" s="969" t="str">
        <f t="shared" ca="1" si="195"/>
        <v/>
      </c>
      <c r="T312" s="969" t="str">
        <f t="shared" ca="1" si="195"/>
        <v/>
      </c>
      <c r="U312" s="969" t="str">
        <f t="shared" ca="1" si="195"/>
        <v/>
      </c>
      <c r="V312" s="969" t="str">
        <f t="shared" ca="1" si="195"/>
        <v/>
      </c>
      <c r="W312" s="969" t="str">
        <f t="shared" ca="1" si="195"/>
        <v/>
      </c>
      <c r="X312" s="969" t="str">
        <f t="shared" ca="1" si="195"/>
        <v/>
      </c>
      <c r="Y312" s="969" t="str">
        <f t="shared" ca="1" si="195"/>
        <v/>
      </c>
      <c r="Z312" s="969" t="str">
        <f t="shared" ca="1" si="195"/>
        <v/>
      </c>
      <c r="AA312" s="969" t="str">
        <f t="shared" ca="1" si="195"/>
        <v/>
      </c>
      <c r="AB312" s="969" t="str">
        <f t="shared" ca="1" si="195"/>
        <v/>
      </c>
      <c r="AC312" s="969" t="str">
        <f t="shared" ca="1" si="195"/>
        <v/>
      </c>
      <c r="AD312" s="969" t="str">
        <f t="shared" ca="1" si="195"/>
        <v/>
      </c>
      <c r="AE312" s="969" t="str">
        <f t="shared" ca="1" si="195"/>
        <v/>
      </c>
      <c r="AF312" s="969" t="str">
        <f t="shared" ca="1" si="195"/>
        <v/>
      </c>
      <c r="AG312" s="969" t="str">
        <f t="shared" ca="1" si="195"/>
        <v/>
      </c>
      <c r="AH312" s="969" t="str">
        <f t="shared" ca="1" si="195"/>
        <v/>
      </c>
      <c r="AI312" s="969" t="str">
        <f t="shared" ca="1" si="195"/>
        <v/>
      </c>
      <c r="AJ312" s="969" t="str">
        <f t="shared" ca="1" si="195"/>
        <v/>
      </c>
      <c r="AK312" s="969" t="str">
        <f t="shared" ref="AK312:BB312" ca="1" si="196">IFERROR(ADDRESS(ROW(貼付け_2024実績)+99,AK253+COLUMN(貼付け_2024実績),4),"")</f>
        <v/>
      </c>
      <c r="AL312" s="969" t="str">
        <f t="shared" ca="1" si="196"/>
        <v/>
      </c>
      <c r="AM312" s="969" t="str">
        <f t="shared" ca="1" si="196"/>
        <v/>
      </c>
      <c r="AN312" s="969" t="str">
        <f t="shared" ca="1" si="196"/>
        <v/>
      </c>
      <c r="AO312" s="969" t="str">
        <f t="shared" ca="1" si="196"/>
        <v/>
      </c>
      <c r="AP312" s="969" t="str">
        <f t="shared" ca="1" si="196"/>
        <v/>
      </c>
      <c r="AQ312" s="969" t="str">
        <f t="shared" ca="1" si="196"/>
        <v/>
      </c>
      <c r="AR312" s="969" t="str">
        <f t="shared" ca="1" si="196"/>
        <v/>
      </c>
      <c r="AS312" s="969" t="str">
        <f t="shared" ca="1" si="196"/>
        <v/>
      </c>
      <c r="AT312" s="969" t="str">
        <f t="shared" ca="1" si="196"/>
        <v/>
      </c>
      <c r="AU312" s="969" t="str">
        <f t="shared" ca="1" si="196"/>
        <v/>
      </c>
      <c r="AV312" s="969" t="str">
        <f t="shared" ca="1" si="196"/>
        <v/>
      </c>
      <c r="AW312" s="969" t="str">
        <f t="shared" ca="1" si="196"/>
        <v/>
      </c>
      <c r="AX312" s="969" t="str">
        <f t="shared" ca="1" si="196"/>
        <v/>
      </c>
      <c r="AY312" s="969" t="str">
        <f t="shared" ca="1" si="196"/>
        <v/>
      </c>
      <c r="AZ312" s="969" t="str">
        <f t="shared" ca="1" si="196"/>
        <v/>
      </c>
      <c r="BA312" s="969" t="str">
        <f t="shared" ca="1" si="196"/>
        <v/>
      </c>
      <c r="BB312" s="969" t="str">
        <f t="shared" ca="1" si="196"/>
        <v/>
      </c>
    </row>
    <row r="313" spans="1:54" hidden="1">
      <c r="B313" s="1345"/>
      <c r="C313" s="1034" t="s">
        <v>459</v>
      </c>
      <c r="D313" s="1039"/>
      <c r="E313" s="971" t="str">
        <f t="shared" ref="E313:AJ313" ca="1" si="197">IFERROR(ADDRESS(ROW(貼付け_2024実績)+99,E265+COLUMN(貼付け_2024実績),4),"")</f>
        <v/>
      </c>
      <c r="F313" s="971" t="str">
        <f t="shared" ca="1" si="197"/>
        <v/>
      </c>
      <c r="G313" s="971" t="str">
        <f t="shared" ca="1" si="197"/>
        <v/>
      </c>
      <c r="H313" s="971" t="str">
        <f t="shared" ca="1" si="197"/>
        <v/>
      </c>
      <c r="I313" s="971" t="str">
        <f t="shared" ca="1" si="197"/>
        <v/>
      </c>
      <c r="J313" s="971" t="str">
        <f t="shared" ca="1" si="197"/>
        <v/>
      </c>
      <c r="K313" s="971" t="str">
        <f t="shared" ca="1" si="197"/>
        <v/>
      </c>
      <c r="L313" s="971" t="str">
        <f t="shared" ca="1" si="197"/>
        <v/>
      </c>
      <c r="M313" s="971" t="str">
        <f t="shared" ca="1" si="197"/>
        <v/>
      </c>
      <c r="N313" s="971" t="str">
        <f t="shared" ca="1" si="197"/>
        <v/>
      </c>
      <c r="O313" s="971" t="str">
        <f t="shared" ca="1" si="197"/>
        <v/>
      </c>
      <c r="P313" s="971" t="str">
        <f t="shared" ca="1" si="197"/>
        <v/>
      </c>
      <c r="Q313" s="971" t="str">
        <f t="shared" ca="1" si="197"/>
        <v/>
      </c>
      <c r="R313" s="971" t="str">
        <f t="shared" ca="1" si="197"/>
        <v/>
      </c>
      <c r="S313" s="971" t="str">
        <f t="shared" ca="1" si="197"/>
        <v/>
      </c>
      <c r="T313" s="971" t="str">
        <f t="shared" ca="1" si="197"/>
        <v/>
      </c>
      <c r="U313" s="971" t="str">
        <f t="shared" ca="1" si="197"/>
        <v/>
      </c>
      <c r="V313" s="971" t="str">
        <f t="shared" ca="1" si="197"/>
        <v/>
      </c>
      <c r="W313" s="971" t="str">
        <f t="shared" ca="1" si="197"/>
        <v/>
      </c>
      <c r="X313" s="971" t="str">
        <f t="shared" ca="1" si="197"/>
        <v/>
      </c>
      <c r="Y313" s="971" t="str">
        <f t="shared" ca="1" si="197"/>
        <v/>
      </c>
      <c r="Z313" s="971" t="str">
        <f t="shared" ca="1" si="197"/>
        <v/>
      </c>
      <c r="AA313" s="971" t="str">
        <f t="shared" ca="1" si="197"/>
        <v/>
      </c>
      <c r="AB313" s="971" t="str">
        <f t="shared" ca="1" si="197"/>
        <v/>
      </c>
      <c r="AC313" s="971" t="str">
        <f t="shared" ca="1" si="197"/>
        <v/>
      </c>
      <c r="AD313" s="971" t="str">
        <f t="shared" ca="1" si="197"/>
        <v/>
      </c>
      <c r="AE313" s="971" t="str">
        <f t="shared" ca="1" si="197"/>
        <v/>
      </c>
      <c r="AF313" s="971" t="str">
        <f t="shared" ca="1" si="197"/>
        <v/>
      </c>
      <c r="AG313" s="971" t="str">
        <f t="shared" ca="1" si="197"/>
        <v/>
      </c>
      <c r="AH313" s="971" t="str">
        <f t="shared" ca="1" si="197"/>
        <v/>
      </c>
      <c r="AI313" s="971" t="str">
        <f t="shared" ca="1" si="197"/>
        <v/>
      </c>
      <c r="AJ313" s="971" t="str">
        <f t="shared" ca="1" si="197"/>
        <v/>
      </c>
      <c r="AK313" s="971" t="str">
        <f t="shared" ref="AK313:BB313" ca="1" si="198">IFERROR(ADDRESS(ROW(貼付け_2024実績)+99,AK265+COLUMN(貼付け_2024実績),4),"")</f>
        <v/>
      </c>
      <c r="AL313" s="971" t="str">
        <f t="shared" ca="1" si="198"/>
        <v/>
      </c>
      <c r="AM313" s="971" t="str">
        <f t="shared" ca="1" si="198"/>
        <v/>
      </c>
      <c r="AN313" s="971" t="str">
        <f t="shared" ca="1" si="198"/>
        <v/>
      </c>
      <c r="AO313" s="971" t="str">
        <f t="shared" ca="1" si="198"/>
        <v/>
      </c>
      <c r="AP313" s="971" t="str">
        <f t="shared" ca="1" si="198"/>
        <v/>
      </c>
      <c r="AQ313" s="971" t="str">
        <f t="shared" ca="1" si="198"/>
        <v/>
      </c>
      <c r="AR313" s="971" t="str">
        <f t="shared" ca="1" si="198"/>
        <v/>
      </c>
      <c r="AS313" s="971" t="str">
        <f t="shared" ca="1" si="198"/>
        <v/>
      </c>
      <c r="AT313" s="971" t="str">
        <f t="shared" ca="1" si="198"/>
        <v/>
      </c>
      <c r="AU313" s="971" t="str">
        <f t="shared" ca="1" si="198"/>
        <v/>
      </c>
      <c r="AV313" s="971" t="str">
        <f t="shared" ca="1" si="198"/>
        <v/>
      </c>
      <c r="AW313" s="971" t="str">
        <f t="shared" ca="1" si="198"/>
        <v/>
      </c>
      <c r="AX313" s="971" t="str">
        <f t="shared" ca="1" si="198"/>
        <v/>
      </c>
      <c r="AY313" s="971" t="str">
        <f t="shared" ca="1" si="198"/>
        <v/>
      </c>
      <c r="AZ313" s="971" t="str">
        <f t="shared" ca="1" si="198"/>
        <v/>
      </c>
      <c r="BA313" s="971" t="str">
        <f t="shared" ca="1" si="198"/>
        <v/>
      </c>
      <c r="BB313" s="971" t="str">
        <f t="shared" ca="1" si="198"/>
        <v/>
      </c>
    </row>
    <row r="314" spans="1:54" hidden="1">
      <c r="B314" s="1345"/>
      <c r="C314" s="1034" t="s">
        <v>460</v>
      </c>
      <c r="D314" s="1039"/>
      <c r="E314" s="971" t="str">
        <f t="shared" ref="E314:AJ314" ca="1" si="199">IFERROR(ADDRESS(ROW(貼付け_2024実績)+99,E277+COLUMN(貼付け_2024実績),4),"")</f>
        <v/>
      </c>
      <c r="F314" s="971" t="str">
        <f t="shared" ca="1" si="199"/>
        <v/>
      </c>
      <c r="G314" s="971" t="str">
        <f t="shared" ca="1" si="199"/>
        <v/>
      </c>
      <c r="H314" s="971" t="str">
        <f t="shared" ca="1" si="199"/>
        <v/>
      </c>
      <c r="I314" s="971" t="str">
        <f t="shared" ca="1" si="199"/>
        <v/>
      </c>
      <c r="J314" s="971" t="str">
        <f t="shared" ca="1" si="199"/>
        <v/>
      </c>
      <c r="K314" s="971" t="str">
        <f t="shared" ca="1" si="199"/>
        <v/>
      </c>
      <c r="L314" s="971" t="str">
        <f t="shared" ca="1" si="199"/>
        <v/>
      </c>
      <c r="M314" s="971" t="str">
        <f t="shared" ca="1" si="199"/>
        <v/>
      </c>
      <c r="N314" s="971" t="str">
        <f t="shared" ca="1" si="199"/>
        <v/>
      </c>
      <c r="O314" s="971" t="str">
        <f t="shared" ca="1" si="199"/>
        <v/>
      </c>
      <c r="P314" s="971" t="str">
        <f t="shared" ca="1" si="199"/>
        <v/>
      </c>
      <c r="Q314" s="971" t="str">
        <f t="shared" ca="1" si="199"/>
        <v/>
      </c>
      <c r="R314" s="971" t="str">
        <f t="shared" ca="1" si="199"/>
        <v/>
      </c>
      <c r="S314" s="971" t="str">
        <f t="shared" ca="1" si="199"/>
        <v/>
      </c>
      <c r="T314" s="971" t="str">
        <f t="shared" ca="1" si="199"/>
        <v/>
      </c>
      <c r="U314" s="971" t="str">
        <f t="shared" ca="1" si="199"/>
        <v/>
      </c>
      <c r="V314" s="971" t="str">
        <f t="shared" ca="1" si="199"/>
        <v/>
      </c>
      <c r="W314" s="971" t="str">
        <f t="shared" ca="1" si="199"/>
        <v/>
      </c>
      <c r="X314" s="971" t="str">
        <f t="shared" ca="1" si="199"/>
        <v/>
      </c>
      <c r="Y314" s="971" t="str">
        <f t="shared" ca="1" si="199"/>
        <v/>
      </c>
      <c r="Z314" s="971" t="str">
        <f t="shared" ca="1" si="199"/>
        <v/>
      </c>
      <c r="AA314" s="971" t="str">
        <f t="shared" ca="1" si="199"/>
        <v/>
      </c>
      <c r="AB314" s="971" t="str">
        <f t="shared" ca="1" si="199"/>
        <v/>
      </c>
      <c r="AC314" s="971" t="str">
        <f t="shared" ca="1" si="199"/>
        <v/>
      </c>
      <c r="AD314" s="971" t="str">
        <f t="shared" ca="1" si="199"/>
        <v/>
      </c>
      <c r="AE314" s="971" t="str">
        <f t="shared" ca="1" si="199"/>
        <v/>
      </c>
      <c r="AF314" s="971" t="str">
        <f t="shared" ca="1" si="199"/>
        <v/>
      </c>
      <c r="AG314" s="971" t="str">
        <f t="shared" ca="1" si="199"/>
        <v/>
      </c>
      <c r="AH314" s="971" t="str">
        <f t="shared" ca="1" si="199"/>
        <v/>
      </c>
      <c r="AI314" s="971" t="str">
        <f t="shared" ca="1" si="199"/>
        <v/>
      </c>
      <c r="AJ314" s="971" t="str">
        <f t="shared" ca="1" si="199"/>
        <v/>
      </c>
      <c r="AK314" s="971" t="str">
        <f t="shared" ref="AK314:BB314" ca="1" si="200">IFERROR(ADDRESS(ROW(貼付け_2024実績)+99,AK277+COLUMN(貼付け_2024実績),4),"")</f>
        <v/>
      </c>
      <c r="AL314" s="971" t="str">
        <f t="shared" ca="1" si="200"/>
        <v/>
      </c>
      <c r="AM314" s="971" t="str">
        <f t="shared" ca="1" si="200"/>
        <v/>
      </c>
      <c r="AN314" s="971" t="str">
        <f t="shared" ca="1" si="200"/>
        <v/>
      </c>
      <c r="AO314" s="971" t="str">
        <f t="shared" ca="1" si="200"/>
        <v/>
      </c>
      <c r="AP314" s="971" t="str">
        <f t="shared" ca="1" si="200"/>
        <v/>
      </c>
      <c r="AQ314" s="971" t="str">
        <f t="shared" ca="1" si="200"/>
        <v/>
      </c>
      <c r="AR314" s="971" t="str">
        <f t="shared" ca="1" si="200"/>
        <v/>
      </c>
      <c r="AS314" s="971" t="str">
        <f t="shared" ca="1" si="200"/>
        <v/>
      </c>
      <c r="AT314" s="971" t="str">
        <f t="shared" ca="1" si="200"/>
        <v/>
      </c>
      <c r="AU314" s="971" t="str">
        <f t="shared" ca="1" si="200"/>
        <v/>
      </c>
      <c r="AV314" s="971" t="str">
        <f t="shared" ca="1" si="200"/>
        <v/>
      </c>
      <c r="AW314" s="971" t="str">
        <f t="shared" ca="1" si="200"/>
        <v/>
      </c>
      <c r="AX314" s="971" t="str">
        <f t="shared" ca="1" si="200"/>
        <v/>
      </c>
      <c r="AY314" s="971" t="str">
        <f t="shared" ca="1" si="200"/>
        <v/>
      </c>
      <c r="AZ314" s="971" t="str">
        <f t="shared" ca="1" si="200"/>
        <v/>
      </c>
      <c r="BA314" s="971" t="str">
        <f t="shared" ca="1" si="200"/>
        <v/>
      </c>
      <c r="BB314" s="971" t="str">
        <f t="shared" ca="1" si="200"/>
        <v/>
      </c>
    </row>
    <row r="315" spans="1:54" ht="18.600000000000001" hidden="1" thickBot="1">
      <c r="B315" s="1346"/>
      <c r="C315" s="1036" t="s">
        <v>461</v>
      </c>
      <c r="D315" s="1040"/>
      <c r="E315" s="973" t="str">
        <f t="shared" ref="E315:AJ315" ca="1" si="201">IFERROR(ADDRESS(ROW(貼付け_2024実績)+99,E289+COLUMN(貼付け_2024実績),4),"")</f>
        <v/>
      </c>
      <c r="F315" s="973" t="str">
        <f t="shared" ca="1" si="201"/>
        <v/>
      </c>
      <c r="G315" s="973" t="str">
        <f t="shared" ca="1" si="201"/>
        <v/>
      </c>
      <c r="H315" s="973" t="str">
        <f t="shared" ca="1" si="201"/>
        <v/>
      </c>
      <c r="I315" s="973" t="str">
        <f t="shared" ca="1" si="201"/>
        <v/>
      </c>
      <c r="J315" s="973" t="str">
        <f t="shared" ca="1" si="201"/>
        <v/>
      </c>
      <c r="K315" s="973" t="str">
        <f t="shared" ca="1" si="201"/>
        <v/>
      </c>
      <c r="L315" s="973" t="str">
        <f t="shared" ca="1" si="201"/>
        <v/>
      </c>
      <c r="M315" s="973" t="str">
        <f t="shared" ca="1" si="201"/>
        <v/>
      </c>
      <c r="N315" s="973" t="str">
        <f t="shared" ca="1" si="201"/>
        <v/>
      </c>
      <c r="O315" s="973" t="str">
        <f t="shared" ca="1" si="201"/>
        <v/>
      </c>
      <c r="P315" s="973" t="str">
        <f t="shared" ca="1" si="201"/>
        <v/>
      </c>
      <c r="Q315" s="973" t="str">
        <f t="shared" ca="1" si="201"/>
        <v/>
      </c>
      <c r="R315" s="973" t="str">
        <f t="shared" ca="1" si="201"/>
        <v/>
      </c>
      <c r="S315" s="973" t="str">
        <f t="shared" ca="1" si="201"/>
        <v/>
      </c>
      <c r="T315" s="973" t="str">
        <f t="shared" ca="1" si="201"/>
        <v/>
      </c>
      <c r="U315" s="973" t="str">
        <f t="shared" ca="1" si="201"/>
        <v/>
      </c>
      <c r="V315" s="973" t="str">
        <f t="shared" ca="1" si="201"/>
        <v/>
      </c>
      <c r="W315" s="973" t="str">
        <f t="shared" ca="1" si="201"/>
        <v/>
      </c>
      <c r="X315" s="973" t="str">
        <f t="shared" ca="1" si="201"/>
        <v/>
      </c>
      <c r="Y315" s="973" t="str">
        <f t="shared" ca="1" si="201"/>
        <v/>
      </c>
      <c r="Z315" s="973" t="str">
        <f t="shared" ca="1" si="201"/>
        <v/>
      </c>
      <c r="AA315" s="973" t="str">
        <f t="shared" ca="1" si="201"/>
        <v/>
      </c>
      <c r="AB315" s="973" t="str">
        <f t="shared" ca="1" si="201"/>
        <v/>
      </c>
      <c r="AC315" s="973" t="str">
        <f t="shared" ca="1" si="201"/>
        <v/>
      </c>
      <c r="AD315" s="973" t="str">
        <f t="shared" ca="1" si="201"/>
        <v/>
      </c>
      <c r="AE315" s="973" t="str">
        <f t="shared" ca="1" si="201"/>
        <v/>
      </c>
      <c r="AF315" s="973" t="str">
        <f t="shared" ca="1" si="201"/>
        <v/>
      </c>
      <c r="AG315" s="973" t="str">
        <f t="shared" ca="1" si="201"/>
        <v/>
      </c>
      <c r="AH315" s="973" t="str">
        <f t="shared" ca="1" si="201"/>
        <v/>
      </c>
      <c r="AI315" s="973" t="str">
        <f t="shared" ca="1" si="201"/>
        <v/>
      </c>
      <c r="AJ315" s="973" t="str">
        <f t="shared" ca="1" si="201"/>
        <v/>
      </c>
      <c r="AK315" s="973" t="str">
        <f t="shared" ref="AK315:BB315" ca="1" si="202">IFERROR(ADDRESS(ROW(貼付け_2024実績)+99,AK289+COLUMN(貼付け_2024実績),4),"")</f>
        <v/>
      </c>
      <c r="AL315" s="973" t="str">
        <f t="shared" ca="1" si="202"/>
        <v/>
      </c>
      <c r="AM315" s="973" t="str">
        <f t="shared" ca="1" si="202"/>
        <v/>
      </c>
      <c r="AN315" s="973" t="str">
        <f t="shared" ca="1" si="202"/>
        <v/>
      </c>
      <c r="AO315" s="973" t="str">
        <f t="shared" ca="1" si="202"/>
        <v/>
      </c>
      <c r="AP315" s="973" t="str">
        <f t="shared" ca="1" si="202"/>
        <v/>
      </c>
      <c r="AQ315" s="973" t="str">
        <f t="shared" ca="1" si="202"/>
        <v/>
      </c>
      <c r="AR315" s="973" t="str">
        <f t="shared" ca="1" si="202"/>
        <v/>
      </c>
      <c r="AS315" s="973" t="str">
        <f t="shared" ca="1" si="202"/>
        <v/>
      </c>
      <c r="AT315" s="973" t="str">
        <f t="shared" ca="1" si="202"/>
        <v/>
      </c>
      <c r="AU315" s="973" t="str">
        <f t="shared" ca="1" si="202"/>
        <v/>
      </c>
      <c r="AV315" s="973" t="str">
        <f t="shared" ca="1" si="202"/>
        <v/>
      </c>
      <c r="AW315" s="973" t="str">
        <f t="shared" ca="1" si="202"/>
        <v/>
      </c>
      <c r="AX315" s="973" t="str">
        <f t="shared" ca="1" si="202"/>
        <v/>
      </c>
      <c r="AY315" s="973" t="str">
        <f t="shared" ca="1" si="202"/>
        <v/>
      </c>
      <c r="AZ315" s="973" t="str">
        <f t="shared" ca="1" si="202"/>
        <v/>
      </c>
      <c r="BA315" s="973" t="str">
        <f t="shared" ca="1" si="202"/>
        <v/>
      </c>
      <c r="BB315" s="973" t="str">
        <f t="shared" ca="1" si="202"/>
        <v/>
      </c>
    </row>
  </sheetData>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非表示_リスト!$G$39:$L$39</xm:f>
          </x14:formula1>
          <xm:sqref>HG11:HJ11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非表示_リスト!$G$33:$L$33</xm:f>
          </x14:formula1>
          <xm:sqref>HE10:HF10</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fitToPage="1"/>
  </sheetPr>
  <dimension ref="A1:IH35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bestFit="1" customWidth="1"/>
    <col min="4" max="4" width="9.5" style="881" customWidth="1"/>
    <col min="5" max="10" width="11.59765625" style="881" bestFit="1" customWidth="1"/>
    <col min="11" max="210" width="9" style="881" hidden="1" customWidth="1" outlineLevel="1"/>
    <col min="211" max="211" width="8.59765625" style="881" customWidth="1" collapsed="1"/>
    <col min="212" max="218" width="8.59765625" style="881" customWidth="1"/>
    <col min="219" max="219" width="9" style="881" customWidth="1"/>
    <col min="220" max="220" width="5.19921875" style="881" customWidth="1"/>
    <col min="221" max="236" width="11.8984375" style="881" customWidth="1"/>
    <col min="237" max="238" width="9" style="881"/>
    <col min="239" max="242" width="9" style="882" customWidth="1"/>
    <col min="243" max="16384" width="9" style="881"/>
  </cols>
  <sheetData>
    <row r="1" spans="1:242" ht="39.9" customHeight="1">
      <c r="A1" s="877" t="s">
        <v>662</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C1" s="879"/>
      <c r="HD1" s="880"/>
      <c r="HE1" s="879"/>
      <c r="HF1" s="880"/>
      <c r="HG1" s="879"/>
      <c r="HH1" s="880"/>
      <c r="HI1" s="879"/>
      <c r="HJ1" s="880"/>
      <c r="HL1" s="1194" t="s">
        <v>448</v>
      </c>
      <c r="HM1" s="364"/>
    </row>
    <row r="2" spans="1:242" ht="26.4">
      <c r="A2" s="883" t="s">
        <v>1669</v>
      </c>
      <c r="B2" s="1182" t="s">
        <v>1673</v>
      </c>
      <c r="C2" s="884"/>
      <c r="D2" s="885"/>
      <c r="E2" s="885"/>
      <c r="F2" s="886"/>
      <c r="G2" s="887"/>
      <c r="H2" s="888"/>
      <c r="I2" s="884"/>
      <c r="J2" s="885"/>
      <c r="K2" s="879"/>
      <c r="L2" s="880"/>
      <c r="M2" s="879"/>
      <c r="N2" s="880"/>
      <c r="O2" s="879"/>
      <c r="P2" s="880"/>
      <c r="Q2" s="879"/>
      <c r="R2" s="880"/>
      <c r="S2" s="879"/>
      <c r="T2" s="880"/>
      <c r="U2" s="879"/>
      <c r="V2" s="880"/>
      <c r="W2" s="879"/>
      <c r="X2" s="880"/>
      <c r="Y2" s="879"/>
      <c r="Z2" s="880"/>
      <c r="AA2" s="879"/>
      <c r="AB2" s="880"/>
      <c r="AC2" s="879"/>
      <c r="AD2" s="880"/>
      <c r="AE2" s="879"/>
      <c r="AF2" s="880"/>
      <c r="AG2" s="879"/>
      <c r="AH2" s="880"/>
      <c r="AI2" s="879"/>
      <c r="AJ2" s="880"/>
      <c r="AK2" s="879"/>
      <c r="AL2" s="880"/>
      <c r="AM2" s="879"/>
      <c r="AN2" s="880"/>
      <c r="AO2" s="879"/>
      <c r="AP2" s="880"/>
      <c r="AQ2" s="879"/>
      <c r="AR2" s="880"/>
      <c r="AS2" s="879"/>
      <c r="AT2" s="880"/>
      <c r="AU2" s="879"/>
      <c r="AV2" s="880"/>
      <c r="AW2" s="879"/>
      <c r="AX2" s="880"/>
      <c r="AY2" s="879"/>
      <c r="AZ2" s="880"/>
      <c r="BA2" s="879"/>
      <c r="BB2" s="880"/>
      <c r="BC2" s="879"/>
      <c r="BD2" s="880"/>
      <c r="BE2" s="879"/>
      <c r="BF2" s="880"/>
      <c r="BG2" s="879"/>
      <c r="BH2" s="880"/>
      <c r="BI2" s="879"/>
      <c r="BJ2" s="880"/>
      <c r="BK2" s="879"/>
      <c r="BL2" s="880"/>
      <c r="BM2" s="879"/>
      <c r="BN2" s="880"/>
      <c r="BO2" s="879"/>
      <c r="BP2" s="880"/>
      <c r="BQ2" s="879"/>
      <c r="BR2" s="880"/>
      <c r="BS2" s="879"/>
      <c r="BT2" s="880"/>
      <c r="BU2" s="879"/>
      <c r="BV2" s="880"/>
      <c r="BW2" s="879"/>
      <c r="BX2" s="880"/>
      <c r="BY2" s="879"/>
      <c r="BZ2" s="880"/>
      <c r="CA2" s="879"/>
      <c r="CB2" s="880"/>
      <c r="CC2" s="879"/>
      <c r="CD2" s="880"/>
      <c r="CE2" s="879"/>
      <c r="CF2" s="880"/>
      <c r="CG2" s="879"/>
      <c r="CH2" s="880"/>
      <c r="CI2" s="879"/>
      <c r="CJ2" s="880"/>
      <c r="CK2" s="879"/>
      <c r="CL2" s="880"/>
      <c r="CM2" s="879"/>
      <c r="CN2" s="880"/>
      <c r="CO2" s="879"/>
      <c r="CP2" s="880"/>
      <c r="CQ2" s="879"/>
      <c r="CR2" s="880"/>
      <c r="CS2" s="879"/>
      <c r="CT2" s="880"/>
      <c r="CU2" s="879"/>
      <c r="CV2" s="880"/>
      <c r="CW2" s="879"/>
      <c r="CX2" s="880"/>
      <c r="CY2" s="879"/>
      <c r="CZ2" s="880"/>
      <c r="DA2" s="879"/>
      <c r="DB2" s="880"/>
      <c r="DC2" s="879"/>
      <c r="DD2" s="880"/>
      <c r="DE2" s="879"/>
      <c r="DF2" s="880"/>
      <c r="DG2" s="879"/>
      <c r="DH2" s="880"/>
      <c r="DI2" s="879"/>
      <c r="DJ2" s="880"/>
      <c r="DK2" s="879"/>
      <c r="DL2" s="880"/>
      <c r="DM2" s="879"/>
      <c r="DN2" s="880"/>
      <c r="DO2" s="879"/>
      <c r="DP2" s="880"/>
      <c r="DQ2" s="879"/>
      <c r="DR2" s="880"/>
      <c r="DS2" s="879"/>
      <c r="DT2" s="880"/>
      <c r="DU2" s="879"/>
      <c r="DV2" s="880"/>
      <c r="DW2" s="879"/>
      <c r="DX2" s="880"/>
      <c r="DY2" s="879"/>
      <c r="DZ2" s="880"/>
      <c r="EA2" s="879"/>
      <c r="EB2" s="880"/>
      <c r="EC2" s="879"/>
      <c r="ED2" s="880"/>
      <c r="EE2" s="879"/>
      <c r="EF2" s="880"/>
      <c r="EG2" s="879"/>
      <c r="EH2" s="880"/>
      <c r="EI2" s="879"/>
      <c r="EJ2" s="880"/>
      <c r="EK2" s="879"/>
      <c r="EL2" s="880"/>
      <c r="EM2" s="879"/>
      <c r="EN2" s="880"/>
      <c r="EO2" s="879"/>
      <c r="EP2" s="880"/>
      <c r="EQ2" s="879"/>
      <c r="ER2" s="880"/>
      <c r="ES2" s="879"/>
      <c r="ET2" s="880"/>
      <c r="EU2" s="879"/>
      <c r="EV2" s="880"/>
      <c r="EW2" s="879"/>
      <c r="EX2" s="880"/>
      <c r="EY2" s="879"/>
      <c r="EZ2" s="880"/>
      <c r="FA2" s="879"/>
      <c r="FB2" s="880"/>
      <c r="FC2" s="879"/>
      <c r="FD2" s="880"/>
      <c r="FE2" s="879"/>
      <c r="FF2" s="880"/>
      <c r="FG2" s="879"/>
      <c r="FH2" s="880"/>
      <c r="FI2" s="879"/>
      <c r="FJ2" s="880"/>
      <c r="FK2" s="879"/>
      <c r="FL2" s="880"/>
      <c r="FM2" s="879"/>
      <c r="FN2" s="880"/>
      <c r="FO2" s="879"/>
      <c r="FP2" s="880"/>
      <c r="FQ2" s="879"/>
      <c r="FR2" s="880"/>
      <c r="FS2" s="879"/>
      <c r="FT2" s="880"/>
      <c r="FU2" s="879"/>
      <c r="FV2" s="880"/>
      <c r="FW2" s="879"/>
      <c r="FX2" s="880"/>
      <c r="FY2" s="879"/>
      <c r="FZ2" s="880"/>
      <c r="GA2" s="879"/>
      <c r="GB2" s="880"/>
      <c r="GC2" s="879"/>
      <c r="GD2" s="880"/>
      <c r="GE2" s="879"/>
      <c r="GF2" s="880"/>
      <c r="GG2" s="879"/>
      <c r="GH2" s="880"/>
      <c r="GI2" s="879"/>
      <c r="GJ2" s="880"/>
      <c r="GK2" s="879"/>
      <c r="GL2" s="880"/>
      <c r="GM2" s="879"/>
      <c r="GN2" s="880"/>
      <c r="GO2" s="879"/>
      <c r="GP2" s="880"/>
      <c r="GQ2" s="879"/>
      <c r="GR2" s="880"/>
      <c r="GS2" s="879"/>
      <c r="GT2" s="880"/>
      <c r="GU2" s="879"/>
      <c r="GV2" s="880"/>
      <c r="GW2" s="879"/>
      <c r="GX2" s="880"/>
      <c r="GY2" s="879"/>
      <c r="GZ2" s="880"/>
      <c r="HA2" s="879"/>
      <c r="HB2" s="880"/>
      <c r="HC2" s="879"/>
      <c r="HD2" s="880"/>
      <c r="HE2" s="879"/>
      <c r="HF2" s="880"/>
      <c r="HG2" s="879"/>
      <c r="HH2" s="880"/>
      <c r="HI2" s="879"/>
      <c r="HJ2" s="880"/>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79"/>
      <c r="O3" s="879"/>
      <c r="P3" s="88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891"/>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79"/>
      <c r="N5" s="879"/>
      <c r="O5" s="879"/>
      <c r="P5" s="892"/>
      <c r="Q5" s="879"/>
      <c r="R5" s="879"/>
      <c r="S5" s="879"/>
      <c r="T5" s="879"/>
      <c r="V5" s="891"/>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375" t="s">
        <v>1674</v>
      </c>
      <c r="C6" s="1375"/>
      <c r="D6" s="1375"/>
      <c r="E6" s="1375"/>
      <c r="F6" s="1375"/>
      <c r="G6" s="1375"/>
      <c r="H6" s="1375"/>
      <c r="I6" s="1375"/>
      <c r="J6" s="1376"/>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1910</v>
      </c>
      <c r="B7" s="898"/>
      <c r="C7" s="899"/>
      <c r="D7" s="899"/>
      <c r="E7" s="900"/>
      <c r="F7" s="899"/>
      <c r="G7" s="899"/>
      <c r="H7" s="899"/>
      <c r="I7" s="899"/>
      <c r="J7" s="899"/>
      <c r="K7" s="899"/>
      <c r="L7" s="899"/>
      <c r="M7" s="899"/>
      <c r="N7" s="899"/>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L7" s="898" t="s">
        <v>455</v>
      </c>
      <c r="HM7" s="898"/>
      <c r="HN7" s="899"/>
      <c r="HO7" s="902"/>
      <c r="HP7" s="903"/>
      <c r="HQ7" s="902"/>
      <c r="HR7" s="902"/>
      <c r="HS7" s="903"/>
      <c r="HT7" s="902"/>
      <c r="HU7" s="902"/>
      <c r="HV7" s="903"/>
      <c r="HW7" s="902"/>
      <c r="HX7" s="902"/>
      <c r="HY7" s="903"/>
      <c r="HZ7" s="1090"/>
      <c r="IA7" s="1090"/>
      <c r="IB7" s="1090"/>
    </row>
    <row r="8" spans="1:242" ht="27" thickBot="1">
      <c r="A8" s="879"/>
      <c r="B8" s="904" t="s">
        <v>663</v>
      </c>
      <c r="C8" s="879"/>
      <c r="D8" s="879"/>
      <c r="E8" s="1047"/>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L8" s="1377" t="s">
        <v>457</v>
      </c>
      <c r="HM8" s="1379" t="s">
        <v>458</v>
      </c>
      <c r="HN8" s="1380"/>
      <c r="HO8" s="1380"/>
      <c r="HP8" s="1381"/>
      <c r="HQ8" s="1379" t="s">
        <v>459</v>
      </c>
      <c r="HR8" s="1380"/>
      <c r="HS8" s="1380"/>
      <c r="HT8" s="1381"/>
      <c r="HU8" s="1379" t="s">
        <v>460</v>
      </c>
      <c r="HV8" s="1380"/>
      <c r="HW8" s="1380"/>
      <c r="HX8" s="1381"/>
      <c r="HY8" s="1384" t="s">
        <v>461</v>
      </c>
      <c r="HZ8" s="1385"/>
      <c r="IA8" s="1385"/>
      <c r="IB8" s="1386"/>
      <c r="IE8" s="882" t="s">
        <v>462</v>
      </c>
    </row>
    <row r="9" spans="1:242" s="889" customFormat="1" ht="69.75" customHeight="1" thickBot="1">
      <c r="B9" s="573" t="s">
        <v>1675</v>
      </c>
      <c r="C9" s="574"/>
      <c r="D9" s="575" t="s">
        <v>1192</v>
      </c>
      <c r="E9" s="576" t="s">
        <v>1193</v>
      </c>
      <c r="F9" s="577" t="s">
        <v>1837</v>
      </c>
      <c r="G9" s="578" t="s">
        <v>1194</v>
      </c>
      <c r="H9" s="579"/>
      <c r="I9" s="1043" t="s">
        <v>1195</v>
      </c>
      <c r="J9" s="1044"/>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3"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387" t="s">
        <v>463</v>
      </c>
      <c r="HD9" s="1388"/>
      <c r="HE9" s="1389" t="s">
        <v>464</v>
      </c>
      <c r="HF9" s="1390"/>
      <c r="HG9" s="1391" t="s">
        <v>459</v>
      </c>
      <c r="HH9" s="1389"/>
      <c r="HI9" s="1389"/>
      <c r="HJ9" s="1392"/>
      <c r="HL9" s="1378"/>
      <c r="HM9" s="905" t="s">
        <v>465</v>
      </c>
      <c r="HN9" s="1382" t="s">
        <v>1629</v>
      </c>
      <c r="HO9" s="1383"/>
      <c r="HP9" s="906" t="s">
        <v>466</v>
      </c>
      <c r="HQ9" s="905" t="s">
        <v>465</v>
      </c>
      <c r="HR9" s="1382" t="s">
        <v>1629</v>
      </c>
      <c r="HS9" s="1383"/>
      <c r="HT9" s="906" t="s">
        <v>466</v>
      </c>
      <c r="HU9" s="905" t="s">
        <v>465</v>
      </c>
      <c r="HV9" s="1382" t="s">
        <v>1629</v>
      </c>
      <c r="HW9" s="1383"/>
      <c r="HX9" s="906" t="s">
        <v>466</v>
      </c>
      <c r="HY9" s="905" t="s">
        <v>465</v>
      </c>
      <c r="HZ9" s="1382" t="s">
        <v>1629</v>
      </c>
      <c r="IA9" s="1383"/>
      <c r="IB9" s="906" t="s">
        <v>466</v>
      </c>
      <c r="IE9" s="882" t="s">
        <v>467</v>
      </c>
      <c r="IF9" s="882" t="s">
        <v>459</v>
      </c>
      <c r="IG9" s="882" t="s">
        <v>460</v>
      </c>
      <c r="IH9" s="882" t="s">
        <v>461</v>
      </c>
    </row>
    <row r="10" spans="1:242" s="889" customFormat="1" ht="20.100000000000001" customHeight="1">
      <c r="B10" s="587" t="s">
        <v>468</v>
      </c>
      <c r="C10" s="588"/>
      <c r="D10" s="589"/>
      <c r="E10" s="589"/>
      <c r="F10" s="589"/>
      <c r="G10" s="590" t="s">
        <v>1198</v>
      </c>
      <c r="H10" s="591"/>
      <c r="I10" s="590" t="s">
        <v>1199</v>
      </c>
      <c r="J10" s="591"/>
      <c r="K10" s="592" t="s">
        <v>1200</v>
      </c>
      <c r="L10" s="593" t="s">
        <v>1</v>
      </c>
      <c r="M10" s="594" t="s">
        <v>1</v>
      </c>
      <c r="N10" s="104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4"/>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373" t="s">
        <v>469</v>
      </c>
      <c r="HD10" s="1374"/>
      <c r="HE10" s="1325" t="str">
        <f>IF(L10="","",L10)</f>
        <v/>
      </c>
      <c r="HF10" s="1326"/>
      <c r="HG10" s="1327" t="str">
        <f>IF(M10="","",M10)</f>
        <v/>
      </c>
      <c r="HH10" s="1325"/>
      <c r="HI10" s="1325"/>
      <c r="HJ10" s="1328"/>
      <c r="HL10" s="907">
        <v>1</v>
      </c>
      <c r="HM10" s="1222" t="str">
        <f t="shared" ref="HM10:HM41" ca="1" si="49">OFFSET(A1_原単位2026,6,$HL10+2)</f>
        <v/>
      </c>
      <c r="HN10" s="1199" t="str">
        <f ca="1">OFFSET(A1_原単位2027,5,HL10+2)&amp;""</f>
        <v/>
      </c>
      <c r="HO10" s="1202" t="str">
        <f t="shared" ref="HO10:HO41" ca="1" si="50">IF(HN10="","",HYPERLINK("#"&amp;IE10,"&lt;"&amp;IE10&amp;"&gt;"))</f>
        <v/>
      </c>
      <c r="HP10" s="1203" t="str">
        <f t="shared" ref="HP10:HP41" ca="1" si="51">IF(HN10="","",HYPERLINK("#"&amp;OFFSET(A1_原単位2027,66,$HL10+2),OFFSET(A1_原単位2027,62,$HL10+2)))</f>
        <v/>
      </c>
      <c r="HQ10" s="1222" t="str">
        <f t="shared" ref="HQ10:HQ41" ca="1" si="52">OFFSET(A1_原単位2026,18,$HL10+2)</f>
        <v/>
      </c>
      <c r="HR10" s="1199" t="str">
        <f ca="1">OFFSET(A1_原単位2027,17,HL10+2)&amp;""</f>
        <v/>
      </c>
      <c r="HS10" s="1202" t="str">
        <f t="shared" ref="HS10:HS41" ca="1" si="53">IF(HR10="","",HYPERLINK("#"&amp;IF10,"&lt;"&amp;IF10&amp;"&gt;"))</f>
        <v/>
      </c>
      <c r="HT10" s="1208" t="str">
        <f t="shared" ref="HT10:HT41" ca="1" si="54">IF(HR10="","",HYPERLINK("#"&amp;OFFSET(A1_原単位2027,67,$HL10+2),OFFSET(A1_原単位2027,63,$HL10+2)))</f>
        <v/>
      </c>
      <c r="HU10" s="1222" t="str">
        <f t="shared" ref="HU10:HU41" ca="1" si="55">OFFSET(A1_原単位2026,30,$HL10+2)</f>
        <v/>
      </c>
      <c r="HV10" s="1199" t="str">
        <f ca="1">OFFSET(A1_原単位2027,29,HL10+2)&amp;""</f>
        <v/>
      </c>
      <c r="HW10" s="1210" t="str">
        <f t="shared" ref="HW10:HW41" ca="1" si="56">IF(HV10="","",HYPERLINK("#"&amp;IG10,"&lt;"&amp;IG10&amp;"&gt;"))</f>
        <v/>
      </c>
      <c r="HX10" s="1208" t="str">
        <f t="shared" ref="HX10:HX41" ca="1" si="57">IF(HV10="","",HYPERLINK("#"&amp;OFFSET(A1_原単位2027,68,$HL10+2),OFFSET(A1_原単位2027,64,$HL10+2)))</f>
        <v/>
      </c>
      <c r="HY10" s="1222" t="str">
        <f t="shared" ref="HY10:HY41" ca="1" si="58">OFFSET(A1_原単位2026,42,$HL10+2)</f>
        <v/>
      </c>
      <c r="HZ10" s="1199" t="str">
        <f ca="1">OFFSET(A1_原単位2027,41,HL10+2)&amp;""</f>
        <v/>
      </c>
      <c r="IA10" s="1210" t="str">
        <f t="shared" ref="IA10:IA41" ca="1" si="59">IF(HZ10="","",HYPERLINK("#"&amp;IH10,"&lt;"&amp;IH10&amp;"&gt;"))</f>
        <v/>
      </c>
      <c r="IB10" s="1211" t="str">
        <f t="shared" ref="IB10:IB41" ca="1" si="60">IF(HZ10="","",HYPERLINK("#"&amp;OFFSET(A1_原単位2027,69,$HL10+2),OFFSET(A1_原単位2027,65,$HL10+2)))</f>
        <v/>
      </c>
      <c r="IE10" s="882" t="str">
        <f t="shared" ref="IE10:IE41" ca="1" si="61">IF($HN10="","",ADDRESS(ROW(貼付け_2027実績)+5,OFFSET(A1_原単位2027,7,$HL10+2)+COLUMN(貼付け_2027実績)+1,4))</f>
        <v/>
      </c>
      <c r="IF10" s="882" t="str">
        <f t="shared" ref="IF10:IF41" ca="1" si="62">IF($HR10="","",ADDRESS(ROW(貼付け_2027実績)+5,OFFSET(A1_原単位2027,19,$HL10+2)+COLUMN(貼付け_2027実績)+1,4))</f>
        <v/>
      </c>
      <c r="IG10" s="882" t="str">
        <f t="shared" ref="IG10:IG41" ca="1" si="63">IF($HV10="","",ADDRESS(ROW(貼付け_2027実績)+5,OFFSET(A1_原単位2027,31,$HL10+2)+COLUMN(貼付け_2027実績)+1,4))</f>
        <v/>
      </c>
      <c r="IH10" s="882" t="str">
        <f t="shared" ref="IH10:IH41" ca="1" si="64">IF($HZ10="","",ADDRESS(ROW(貼付け_2027実績)+5,OFFSET(A1_原単位2027,43,$HL10+2)+COLUMN(貼付け_2027実績)+1,4))</f>
        <v/>
      </c>
    </row>
    <row r="11" spans="1:242" s="889" customFormat="1" ht="20.100000000000001" customHeight="1">
      <c r="B11" s="597" t="s">
        <v>1201</v>
      </c>
      <c r="C11" s="598" t="s">
        <v>1202</v>
      </c>
      <c r="D11" s="599"/>
      <c r="E11" s="600" t="s">
        <v>1203</v>
      </c>
      <c r="F11" s="601"/>
      <c r="G11" s="590" t="s">
        <v>1204</v>
      </c>
      <c r="H11" s="591"/>
      <c r="I11" s="590" t="s">
        <v>1205</v>
      </c>
      <c r="J11" s="591"/>
      <c r="K11" s="592" t="s">
        <v>1206</v>
      </c>
      <c r="L11" s="593"/>
      <c r="M11" s="594" t="s">
        <v>1</v>
      </c>
      <c r="N11" s="104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5"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373" t="s">
        <v>470</v>
      </c>
      <c r="HD11" s="1374"/>
      <c r="HE11" s="1325" t="str">
        <f t="shared" ref="HE11:HE12" si="65">IF(L11="","",L11)</f>
        <v/>
      </c>
      <c r="HF11" s="1326"/>
      <c r="HG11" s="1327" t="str">
        <f>IF(M11="","",M11)</f>
        <v/>
      </c>
      <c r="HH11" s="1325"/>
      <c r="HI11" s="1325"/>
      <c r="HJ11" s="1328"/>
      <c r="HL11" s="908">
        <v>2</v>
      </c>
      <c r="HM11" s="1223" t="str">
        <f t="shared" ca="1" si="49"/>
        <v/>
      </c>
      <c r="HN11" s="1200" t="str">
        <f ca="1">IF(COUNTIF(HN$10:HN10,OFFSET(A1_原単位2027,5,HL11+2))&gt;=1,"",OFFSET(A1_原単位2027,5,HL11+2)&amp;"")</f>
        <v/>
      </c>
      <c r="HO11" s="1204" t="str">
        <f t="shared" ca="1" si="50"/>
        <v/>
      </c>
      <c r="HP11" s="1205" t="str">
        <f t="shared" ca="1" si="51"/>
        <v/>
      </c>
      <c r="HQ11" s="1223" t="str">
        <f t="shared" ca="1" si="52"/>
        <v/>
      </c>
      <c r="HR11" s="1200" t="str">
        <f ca="1">IF(COUNTIF(HR$10:HR10,OFFSET(A1_原単位2027,17,HL11+2))&gt;=1,"",OFFSET(A1_原単位2027,17,HL11+2)&amp;"")</f>
        <v/>
      </c>
      <c r="HS11" s="1212" t="str">
        <f t="shared" ca="1" si="53"/>
        <v/>
      </c>
      <c r="HT11" s="1213" t="str">
        <f t="shared" ca="1" si="54"/>
        <v/>
      </c>
      <c r="HU11" s="1223" t="str">
        <f t="shared" ca="1" si="55"/>
        <v/>
      </c>
      <c r="HV11" s="1200" t="str">
        <f ca="1">IF(COUNTIF(HV$10:HV10,OFFSET(A1_原単位2027,29,HL11+2))&gt;=1,"",OFFSET(A1_原単位2027,29,HL11+2)&amp;"")</f>
        <v/>
      </c>
      <c r="HW11" s="1212" t="str">
        <f t="shared" ca="1" si="56"/>
        <v/>
      </c>
      <c r="HX11" s="1213" t="str">
        <f t="shared" ca="1" si="57"/>
        <v/>
      </c>
      <c r="HY11" s="1223" t="str">
        <f t="shared" ca="1" si="58"/>
        <v/>
      </c>
      <c r="HZ11" s="1200" t="str">
        <f ca="1">IF(COUNTIF(HZ$10:HZ10,OFFSET(A1_原単位2027,41,HL11+2))&gt;=1,"",OFFSET(A1_原単位2027,41,HL11+2)&amp;"")</f>
        <v/>
      </c>
      <c r="IA11" s="1215" t="str">
        <f t="shared" ca="1" si="59"/>
        <v/>
      </c>
      <c r="IB11" s="1216" t="str">
        <f t="shared" ca="1" si="60"/>
        <v/>
      </c>
      <c r="IE11" s="882" t="str">
        <f t="shared" ca="1" si="61"/>
        <v/>
      </c>
      <c r="IF11" s="882" t="str">
        <f t="shared" ca="1" si="62"/>
        <v/>
      </c>
      <c r="IG11" s="882" t="str">
        <f t="shared" ca="1" si="63"/>
        <v/>
      </c>
      <c r="IH11" s="882" t="str">
        <f t="shared" ca="1" si="64"/>
        <v/>
      </c>
    </row>
    <row r="12" spans="1:242" s="889" customFormat="1" ht="20.100000000000001" customHeight="1" thickBot="1">
      <c r="B12" s="603" t="s">
        <v>471</v>
      </c>
      <c r="C12" s="604"/>
      <c r="D12" s="605"/>
      <c r="E12" s="606"/>
      <c r="F12" s="607"/>
      <c r="G12" s="608" t="s">
        <v>1207</v>
      </c>
      <c r="H12" s="609"/>
      <c r="I12" s="610"/>
      <c r="J12" s="611"/>
      <c r="K12" s="612" t="s">
        <v>472</v>
      </c>
      <c r="L12" s="613" t="s">
        <v>1</v>
      </c>
      <c r="M12" s="614" t="s">
        <v>1</v>
      </c>
      <c r="N12" s="1046"/>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6"/>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359" t="s">
        <v>472</v>
      </c>
      <c r="HD12" s="1360"/>
      <c r="HE12" s="1316" t="str">
        <f t="shared" si="65"/>
        <v/>
      </c>
      <c r="HF12" s="1317"/>
      <c r="HG12" s="1318" t="str">
        <f>IF(M12="","",M12)</f>
        <v/>
      </c>
      <c r="HH12" s="1316"/>
      <c r="HI12" s="1316"/>
      <c r="HJ12" s="1319"/>
      <c r="HL12" s="907">
        <v>3</v>
      </c>
      <c r="HM12" s="1223" t="str">
        <f t="shared" ca="1" si="49"/>
        <v/>
      </c>
      <c r="HN12" s="1200" t="str">
        <f ca="1">IF(COUNTIF(HN$10:HN11,OFFSET(A1_原単位2027,5,HL12+2))&gt;=1,"",OFFSET(A1_原単位2027,5,HL12+2)&amp;"")</f>
        <v/>
      </c>
      <c r="HO12" s="1204" t="str">
        <f t="shared" ca="1" si="50"/>
        <v/>
      </c>
      <c r="HP12" s="1205" t="str">
        <f t="shared" ca="1" si="51"/>
        <v/>
      </c>
      <c r="HQ12" s="1223" t="str">
        <f t="shared" ca="1" si="52"/>
        <v/>
      </c>
      <c r="HR12" s="1200" t="str">
        <f ca="1">IF(COUNTIF(HR$10:HR11,OFFSET(A1_原単位2027,17,HL12+2))&gt;=1,"",OFFSET(A1_原単位2027,17,HL12+2)&amp;"")</f>
        <v/>
      </c>
      <c r="HS12" s="1212" t="str">
        <f t="shared" ca="1" si="53"/>
        <v/>
      </c>
      <c r="HT12" s="1213" t="str">
        <f t="shared" ca="1" si="54"/>
        <v/>
      </c>
      <c r="HU12" s="1223" t="str">
        <f t="shared" ca="1" si="55"/>
        <v/>
      </c>
      <c r="HV12" s="1200" t="str">
        <f ca="1">IF(COUNTIF(HV$10:HV11,OFFSET(A1_原単位2027,29,HL12+2))&gt;=1,"",OFFSET(A1_原単位2027,29,HL12+2)&amp;"")</f>
        <v/>
      </c>
      <c r="HW12" s="1212" t="str">
        <f t="shared" ca="1" si="56"/>
        <v/>
      </c>
      <c r="HX12" s="1213" t="str">
        <f t="shared" ca="1" si="57"/>
        <v/>
      </c>
      <c r="HY12" s="1223" t="str">
        <f t="shared" ca="1" si="58"/>
        <v/>
      </c>
      <c r="HZ12" s="1200" t="str">
        <f ca="1">IF(COUNTIF(HZ$10:HZ11,OFFSET(A1_原単位2027,41,HL12+2))&gt;=1,"",OFFSET(A1_原単位2027,41,HL12+2)&amp;"")</f>
        <v/>
      </c>
      <c r="IA12" s="1215" t="str">
        <f t="shared" ca="1" si="59"/>
        <v/>
      </c>
      <c r="IB12" s="1216" t="str">
        <f t="shared" ca="1" si="60"/>
        <v/>
      </c>
      <c r="IE12" s="882" t="str">
        <f t="shared" ca="1" si="61"/>
        <v/>
      </c>
      <c r="IF12" s="882" t="str">
        <f t="shared" ca="1" si="62"/>
        <v/>
      </c>
      <c r="IG12" s="882" t="str">
        <f t="shared" ca="1" si="63"/>
        <v/>
      </c>
      <c r="IH12" s="882" t="str">
        <f t="shared" ca="1" si="64"/>
        <v/>
      </c>
    </row>
    <row r="13" spans="1:242" s="889" customFormat="1" ht="20.100000000000001"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361" t="s">
        <v>464</v>
      </c>
      <c r="HD13" s="1362"/>
      <c r="HE13" s="1362"/>
      <c r="HF13" s="1363"/>
      <c r="HG13" s="1361" t="s">
        <v>459</v>
      </c>
      <c r="HH13" s="1362"/>
      <c r="HI13" s="1362"/>
      <c r="HJ13" s="1363"/>
      <c r="HL13" s="908">
        <v>4</v>
      </c>
      <c r="HM13" s="1223" t="str">
        <f t="shared" ca="1" si="49"/>
        <v/>
      </c>
      <c r="HN13" s="1200" t="str">
        <f ca="1">IF(COUNTIF(HN$10:HN12,OFFSET(A1_原単位2027,5,HL13+2))&gt;=1,"",OFFSET(A1_原単位2027,5,HL13+2)&amp;"")</f>
        <v/>
      </c>
      <c r="HO13" s="1204" t="str">
        <f t="shared" ca="1" si="50"/>
        <v/>
      </c>
      <c r="HP13" s="1205" t="str">
        <f t="shared" ca="1" si="51"/>
        <v/>
      </c>
      <c r="HQ13" s="1223" t="str">
        <f t="shared" ca="1" si="52"/>
        <v/>
      </c>
      <c r="HR13" s="1200" t="str">
        <f ca="1">IF(COUNTIF(HR$10:HR12,OFFSET(A1_原単位2027,17,HL13+2))&gt;=1,"",OFFSET(A1_原単位2027,17,HL13+2)&amp;"")</f>
        <v/>
      </c>
      <c r="HS13" s="1212" t="str">
        <f t="shared" ca="1" si="53"/>
        <v/>
      </c>
      <c r="HT13" s="1213" t="str">
        <f t="shared" ca="1" si="54"/>
        <v/>
      </c>
      <c r="HU13" s="1223" t="str">
        <f t="shared" ca="1" si="55"/>
        <v/>
      </c>
      <c r="HV13" s="1200" t="str">
        <f ca="1">IF(COUNTIF(HV$10:HV12,OFFSET(A1_原単位2027,29,HL13+2))&gt;=1,"",OFFSET(A1_原単位2027,29,HL13+2)&amp;"")</f>
        <v/>
      </c>
      <c r="HW13" s="1212" t="str">
        <f t="shared" ca="1" si="56"/>
        <v/>
      </c>
      <c r="HX13" s="1213" t="str">
        <f t="shared" ca="1" si="57"/>
        <v/>
      </c>
      <c r="HY13" s="1223" t="str">
        <f t="shared" ca="1" si="58"/>
        <v/>
      </c>
      <c r="HZ13" s="1200" t="str">
        <f ca="1">IF(COUNTIF(HZ$10:HZ12,OFFSET(A1_原単位2027,41,HL13+2))&gt;=1,"",OFFSET(A1_原単位2027,41,HL13+2)&amp;"")</f>
        <v/>
      </c>
      <c r="IA13" s="1215" t="str">
        <f t="shared" ca="1" si="59"/>
        <v/>
      </c>
      <c r="IB13" s="1216" t="str">
        <f t="shared" ca="1" si="60"/>
        <v/>
      </c>
      <c r="IE13" s="882" t="str">
        <f t="shared" ca="1" si="61"/>
        <v/>
      </c>
      <c r="IF13" s="882" t="str">
        <f t="shared" ca="1" si="62"/>
        <v/>
      </c>
      <c r="IG13" s="882" t="str">
        <f t="shared" ca="1" si="63"/>
        <v/>
      </c>
      <c r="IH13" s="882" t="str">
        <f t="shared" ca="1" si="64"/>
        <v/>
      </c>
    </row>
    <row r="14" spans="1:242" s="889" customFormat="1" ht="20.100000000000001"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364" t="s">
        <v>518</v>
      </c>
      <c r="HD14" s="1365"/>
      <c r="HE14" s="1195">
        <f ca="1">参考2_エネ使用量経年!O95</f>
        <v>0</v>
      </c>
      <c r="HF14" s="909" t="s">
        <v>519</v>
      </c>
      <c r="HG14" s="1364" t="s">
        <v>518</v>
      </c>
      <c r="HH14" s="1365"/>
      <c r="HI14" s="1195">
        <f ca="1">参考2_エネ使用量経年!W95</f>
        <v>0</v>
      </c>
      <c r="HJ14" s="909" t="s">
        <v>519</v>
      </c>
      <c r="HL14" s="907">
        <v>5</v>
      </c>
      <c r="HM14" s="1223" t="str">
        <f t="shared" ca="1" si="49"/>
        <v/>
      </c>
      <c r="HN14" s="1200" t="str">
        <f ca="1">IF(COUNTIF(HN$10:HN13,OFFSET(A1_原単位2027,5,HL14+2))&gt;=1,"",OFFSET(A1_原単位2027,5,HL14+2)&amp;"")</f>
        <v/>
      </c>
      <c r="HO14" s="1204" t="str">
        <f t="shared" ca="1" si="50"/>
        <v/>
      </c>
      <c r="HP14" s="1205" t="str">
        <f t="shared" ca="1" si="51"/>
        <v/>
      </c>
      <c r="HQ14" s="1223" t="str">
        <f t="shared" ca="1" si="52"/>
        <v/>
      </c>
      <c r="HR14" s="1200" t="str">
        <f ca="1">IF(COUNTIF(HR$10:HR13,OFFSET(A1_原単位2027,17,HL14+2))&gt;=1,"",OFFSET(A1_原単位2027,17,HL14+2)&amp;"")</f>
        <v/>
      </c>
      <c r="HS14" s="1212" t="str">
        <f t="shared" ca="1" si="53"/>
        <v/>
      </c>
      <c r="HT14" s="1213" t="str">
        <f t="shared" ca="1" si="54"/>
        <v/>
      </c>
      <c r="HU14" s="1223" t="str">
        <f t="shared" ca="1" si="55"/>
        <v/>
      </c>
      <c r="HV14" s="1200" t="str">
        <f ca="1">IF(COUNTIF(HV$10:HV13,OFFSET(A1_原単位2027,29,HL14+2))&gt;=1,"",OFFSET(A1_原単位2027,29,HL14+2)&amp;"")</f>
        <v/>
      </c>
      <c r="HW14" s="1212" t="str">
        <f t="shared" ca="1" si="56"/>
        <v/>
      </c>
      <c r="HX14" s="1213" t="str">
        <f t="shared" ca="1" si="57"/>
        <v/>
      </c>
      <c r="HY14" s="1223" t="str">
        <f t="shared" ca="1" si="58"/>
        <v/>
      </c>
      <c r="HZ14" s="1200" t="str">
        <f ca="1">IF(COUNTIF(HZ$10:HZ13,OFFSET(A1_原単位2027,41,HL14+2))&gt;=1,"",OFFSET(A1_原単位2027,41,HL14+2)&amp;"")</f>
        <v/>
      </c>
      <c r="IA14" s="1215" t="str">
        <f t="shared" ca="1" si="59"/>
        <v/>
      </c>
      <c r="IB14" s="1216" t="str">
        <f t="shared" ca="1" si="60"/>
        <v/>
      </c>
      <c r="IE14" s="882" t="str">
        <f t="shared" ca="1" si="61"/>
        <v/>
      </c>
      <c r="IF14" s="882" t="str">
        <f t="shared" ca="1" si="62"/>
        <v/>
      </c>
      <c r="IG14" s="882" t="str">
        <f t="shared" ca="1" si="63"/>
        <v/>
      </c>
      <c r="IH14" s="882" t="str">
        <f t="shared" ca="1" si="64"/>
        <v/>
      </c>
    </row>
    <row r="15" spans="1:242" s="889" customFormat="1" ht="20.100000000000001"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366" t="s">
        <v>524</v>
      </c>
      <c r="HD15" s="1367"/>
      <c r="HE15" s="1196">
        <f ca="1">参考3_排出量経年!O116</f>
        <v>0</v>
      </c>
      <c r="HF15" s="910" t="s">
        <v>525</v>
      </c>
      <c r="HG15" s="1366" t="s">
        <v>524</v>
      </c>
      <c r="HH15" s="1367"/>
      <c r="HI15" s="1196">
        <f ca="1">参考3_排出量経年!W116</f>
        <v>0</v>
      </c>
      <c r="HJ15" s="910" t="s">
        <v>525</v>
      </c>
      <c r="HL15" s="908">
        <v>6</v>
      </c>
      <c r="HM15" s="1223" t="str">
        <f t="shared" ca="1" si="49"/>
        <v/>
      </c>
      <c r="HN15" s="1200" t="str">
        <f ca="1">IF(COUNTIF(HN$10:HN14,OFFSET(A1_原単位2027,5,HL15+2))&gt;=1,"",OFFSET(A1_原単位2027,5,HL15+2)&amp;"")</f>
        <v/>
      </c>
      <c r="HO15" s="1204" t="str">
        <f t="shared" ca="1" si="50"/>
        <v/>
      </c>
      <c r="HP15" s="1205" t="str">
        <f t="shared" ca="1" si="51"/>
        <v/>
      </c>
      <c r="HQ15" s="1223" t="str">
        <f t="shared" ca="1" si="52"/>
        <v/>
      </c>
      <c r="HR15" s="1200" t="str">
        <f ca="1">IF(COUNTIF(HR$10:HR14,OFFSET(A1_原単位2027,17,HL15+2))&gt;=1,"",OFFSET(A1_原単位2027,17,HL15+2)&amp;"")</f>
        <v/>
      </c>
      <c r="HS15" s="1212" t="str">
        <f t="shared" ca="1" si="53"/>
        <v/>
      </c>
      <c r="HT15" s="1213" t="str">
        <f t="shared" ca="1" si="54"/>
        <v/>
      </c>
      <c r="HU15" s="1223" t="str">
        <f t="shared" ca="1" si="55"/>
        <v/>
      </c>
      <c r="HV15" s="1200" t="str">
        <f ca="1">IF(COUNTIF(HV$10:HV14,OFFSET(A1_原単位2027,29,HL15+2))&gt;=1,"",OFFSET(A1_原単位2027,29,HL15+2)&amp;"")</f>
        <v/>
      </c>
      <c r="HW15" s="1212" t="str">
        <f t="shared" ca="1" si="56"/>
        <v/>
      </c>
      <c r="HX15" s="1213" t="str">
        <f t="shared" ca="1" si="57"/>
        <v/>
      </c>
      <c r="HY15" s="1223" t="str">
        <f t="shared" ca="1" si="58"/>
        <v/>
      </c>
      <c r="HZ15" s="1200" t="str">
        <f ca="1">IF(COUNTIF(HZ$10:HZ14,OFFSET(A1_原単位2027,41,HL15+2))&gt;=1,"",OFFSET(A1_原単位2027,41,HL15+2)&amp;"")</f>
        <v/>
      </c>
      <c r="IA15" s="1215" t="str">
        <f t="shared" ca="1" si="59"/>
        <v/>
      </c>
      <c r="IB15" s="1216" t="str">
        <f t="shared" ca="1" si="60"/>
        <v/>
      </c>
      <c r="IE15" s="882" t="str">
        <f t="shared" ca="1" si="61"/>
        <v/>
      </c>
      <c r="IF15" s="882" t="str">
        <f t="shared" ca="1" si="62"/>
        <v/>
      </c>
      <c r="IG15" s="882" t="str">
        <f t="shared" ca="1" si="63"/>
        <v/>
      </c>
      <c r="IH15" s="882" t="str">
        <f t="shared" ca="1" si="64"/>
        <v/>
      </c>
    </row>
    <row r="16" spans="1:242" s="889" customFormat="1" ht="20.100000000000001"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223" t="str">
        <f t="shared" ca="1" si="49"/>
        <v/>
      </c>
      <c r="HN16" s="1200" t="str">
        <f ca="1">IF(COUNTIF(HN$10:HN15,OFFSET(A1_原単位2027,5,HL16+2))&gt;=1,"",OFFSET(A1_原単位2027,5,HL16+2)&amp;"")</f>
        <v/>
      </c>
      <c r="HO16" s="1204" t="str">
        <f t="shared" ca="1" si="50"/>
        <v/>
      </c>
      <c r="HP16" s="1205" t="str">
        <f t="shared" ca="1" si="51"/>
        <v/>
      </c>
      <c r="HQ16" s="1223" t="str">
        <f t="shared" ca="1" si="52"/>
        <v/>
      </c>
      <c r="HR16" s="1200" t="str">
        <f ca="1">IF(COUNTIF(HR$10:HR15,OFFSET(A1_原単位2027,17,HL16+2))&gt;=1,"",OFFSET(A1_原単位2027,17,HL16+2)&amp;"")</f>
        <v/>
      </c>
      <c r="HS16" s="1212" t="str">
        <f t="shared" ca="1" si="53"/>
        <v/>
      </c>
      <c r="HT16" s="1213" t="str">
        <f t="shared" ca="1" si="54"/>
        <v/>
      </c>
      <c r="HU16" s="1223" t="str">
        <f t="shared" ca="1" si="55"/>
        <v/>
      </c>
      <c r="HV16" s="1200" t="str">
        <f ca="1">IF(COUNTIF(HV$10:HV15,OFFSET(A1_原単位2027,29,HL16+2))&gt;=1,"",OFFSET(A1_原単位2027,29,HL16+2)&amp;"")</f>
        <v/>
      </c>
      <c r="HW16" s="1212" t="str">
        <f t="shared" ca="1" si="56"/>
        <v/>
      </c>
      <c r="HX16" s="1213" t="str">
        <f t="shared" ca="1" si="57"/>
        <v/>
      </c>
      <c r="HY16" s="1223" t="str">
        <f t="shared" ca="1" si="58"/>
        <v/>
      </c>
      <c r="HZ16" s="1200" t="str">
        <f ca="1">IF(COUNTIF(HZ$10:HZ15,OFFSET(A1_原単位2027,41,HL16+2))&gt;=1,"",OFFSET(A1_原単位2027,41,HL16+2)&amp;"")</f>
        <v/>
      </c>
      <c r="IA16" s="1215" t="str">
        <f t="shared" ca="1" si="59"/>
        <v/>
      </c>
      <c r="IB16" s="1216" t="str">
        <f t="shared" ca="1" si="60"/>
        <v/>
      </c>
      <c r="IE16" s="882" t="str">
        <f t="shared" ca="1" si="61"/>
        <v/>
      </c>
      <c r="IF16" s="882" t="str">
        <f t="shared" ca="1" si="62"/>
        <v/>
      </c>
      <c r="IG16" s="882" t="str">
        <f t="shared" ca="1" si="63"/>
        <v/>
      </c>
      <c r="IH16" s="882" t="str">
        <f t="shared" ca="1" si="64"/>
        <v/>
      </c>
    </row>
    <row r="17" spans="2:242" s="889" customFormat="1" ht="20.100000000000001"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914">
        <f>K17+O17+S17+W17+AA17+AE17+AI17+AM17+AQ17+AU17+AY17+BC17+BG17+BK17+BO17+BS17+BW17+CA17+CE17+CI17+CM17+CQ17+CU17+CY17+DC17+DG17+DK17+DO17+DS17+DW17+EA17+EE17+EI17+EM17+EQ17+EU17+EY17+FC17+FG17+FK17+FO17+FS17+FW17+GA17+GE17+GI17+GM17+GQ17+GU17+GY17</f>
        <v>0</v>
      </c>
      <c r="HD17" s="916">
        <f t="shared" ref="HD17:HE32" si="66">L17+P17+T17+X17+AB17+AF17+AJ17+AN17+AR17+AV17+AZ17+BD17+BH17+BL17+BP17+BT17+BX17+CB17+CF17+CJ17+CN17+CR17+CV17+CZ17+DD17+DH17+DL17+DP17+DT17+DX17+EB17+EF17+EJ17+EN17+ER17+EV17+EZ17+FD17+FH17+FL17+FP17+FT17+FX17+GB17+GF17+GJ17+GN17+GR17+GV17+GZ17</f>
        <v>0</v>
      </c>
      <c r="HE17" s="916">
        <f t="shared" si="66"/>
        <v>0</v>
      </c>
      <c r="HF17" s="915"/>
      <c r="HG17" s="914">
        <f>SUM(SUMIFS(K17:HB17,$K$13:$HB$13,{"エネルギー管理指定工場等*","県域*"}))</f>
        <v>0</v>
      </c>
      <c r="HH17" s="916">
        <f>SUM(SUMIFS(L17:HC17,$K$13:$HB$13,{"エネルギー管理指定工場等*","県域*"}))</f>
        <v>0</v>
      </c>
      <c r="HI17" s="916">
        <f>SUM(SUMIFS(M17:HD17,$K$13:$HB$13,{"エネルギー管理指定工場等*","県域*"}))</f>
        <v>0</v>
      </c>
      <c r="HJ17" s="915"/>
      <c r="HL17" s="907">
        <v>8</v>
      </c>
      <c r="HM17" s="1223" t="str">
        <f t="shared" ca="1" si="49"/>
        <v/>
      </c>
      <c r="HN17" s="1200" t="str">
        <f ca="1">IF(COUNTIF(HN$10:HN16,OFFSET(A1_原単位2027,5,HL17+2))&gt;=1,"",OFFSET(A1_原単位2027,5,HL17+2)&amp;"")</f>
        <v/>
      </c>
      <c r="HO17" s="1204" t="str">
        <f t="shared" ca="1" si="50"/>
        <v/>
      </c>
      <c r="HP17" s="1205" t="str">
        <f t="shared" ca="1" si="51"/>
        <v/>
      </c>
      <c r="HQ17" s="1223" t="str">
        <f t="shared" ca="1" si="52"/>
        <v/>
      </c>
      <c r="HR17" s="1200" t="str">
        <f ca="1">IF(COUNTIF(HR$10:HR16,OFFSET(A1_原単位2027,17,HL17+2))&gt;=1,"",OFFSET(A1_原単位2027,17,HL17+2)&amp;"")</f>
        <v/>
      </c>
      <c r="HS17" s="1212" t="str">
        <f t="shared" ca="1" si="53"/>
        <v/>
      </c>
      <c r="HT17" s="1213" t="str">
        <f t="shared" ca="1" si="54"/>
        <v/>
      </c>
      <c r="HU17" s="1223" t="str">
        <f t="shared" ca="1" si="55"/>
        <v/>
      </c>
      <c r="HV17" s="1200" t="str">
        <f ca="1">IF(COUNTIF(HV$10:HV16,OFFSET(A1_原単位2027,29,HL17+2))&gt;=1,"",OFFSET(A1_原単位2027,29,HL17+2)&amp;"")</f>
        <v/>
      </c>
      <c r="HW17" s="1212" t="str">
        <f t="shared" ca="1" si="56"/>
        <v/>
      </c>
      <c r="HX17" s="1213" t="str">
        <f t="shared" ca="1" si="57"/>
        <v/>
      </c>
      <c r="HY17" s="1223" t="str">
        <f t="shared" ca="1" si="58"/>
        <v/>
      </c>
      <c r="HZ17" s="1200" t="str">
        <f ca="1">IF(COUNTIF(HZ$10:HZ16,OFFSET(A1_原単位2027,41,HL17+2))&gt;=1,"",OFFSET(A1_原単位2027,41,HL17+2)&amp;"")</f>
        <v/>
      </c>
      <c r="IA17" s="1215" t="str">
        <f t="shared" ca="1" si="59"/>
        <v/>
      </c>
      <c r="IB17" s="1216" t="str">
        <f t="shared" ca="1" si="60"/>
        <v/>
      </c>
      <c r="IE17" s="882" t="str">
        <f t="shared" ca="1" si="61"/>
        <v/>
      </c>
      <c r="IF17" s="882" t="str">
        <f t="shared" ca="1" si="62"/>
        <v/>
      </c>
      <c r="IG17" s="882" t="str">
        <f t="shared" ca="1" si="63"/>
        <v/>
      </c>
      <c r="IH17" s="882" t="str">
        <f t="shared" ca="1" si="64"/>
        <v/>
      </c>
    </row>
    <row r="18" spans="2:242" s="889" customFormat="1" ht="20.100000000000001"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918">
        <f t="shared" ref="HC18:HF81" si="67">K18+O18+S18+W18+AA18+AE18+AI18+AM18+AQ18+AU18+AY18+BC18+BG18+BK18+BO18+BS18+BW18+CA18+CE18+CI18+CM18+CQ18+CU18+CY18+DC18+DG18+DK18+DO18+DS18+DW18+EA18+EE18+EI18+EM18+EQ18+EU18+EY18+FC18+FG18+FK18+FO18+FS18+FW18+GA18+GE18+GI18+GM18+GQ18+GU18+GY18</f>
        <v>0</v>
      </c>
      <c r="HD18" s="921">
        <f t="shared" si="66"/>
        <v>0</v>
      </c>
      <c r="HE18" s="921">
        <f t="shared" si="66"/>
        <v>0</v>
      </c>
      <c r="HF18" s="920"/>
      <c r="HG18" s="918">
        <f>SUM(SUMIFS(K18:HB18,$K$13:$HB$13,{"エネルギー管理指定工場等*","県域*"}))</f>
        <v>0</v>
      </c>
      <c r="HH18" s="921">
        <f>SUM(SUMIFS(L18:HC18,$K$13:$HB$13,{"エネルギー管理指定工場等*","県域*"}))</f>
        <v>0</v>
      </c>
      <c r="HI18" s="921">
        <f>SUM(SUMIFS(M18:HD18,$K$13:$HB$13,{"エネルギー管理指定工場等*","県域*"}))</f>
        <v>0</v>
      </c>
      <c r="HJ18" s="920"/>
      <c r="HL18" s="908">
        <v>9</v>
      </c>
      <c r="HM18" s="1223" t="str">
        <f t="shared" ca="1" si="49"/>
        <v/>
      </c>
      <c r="HN18" s="1200" t="str">
        <f ca="1">IF(COUNTIF(HN$10:HN17,OFFSET(A1_原単位2027,5,HL18+2))&gt;=1,"",OFFSET(A1_原単位2027,5,HL18+2)&amp;"")</f>
        <v/>
      </c>
      <c r="HO18" s="1204" t="str">
        <f t="shared" ca="1" si="50"/>
        <v/>
      </c>
      <c r="HP18" s="1205" t="str">
        <f t="shared" ca="1" si="51"/>
        <v/>
      </c>
      <c r="HQ18" s="1223" t="str">
        <f t="shared" ca="1" si="52"/>
        <v/>
      </c>
      <c r="HR18" s="1200" t="str">
        <f ca="1">IF(COUNTIF(HR$10:HR17,OFFSET(A1_原単位2027,17,HL18+2))&gt;=1,"",OFFSET(A1_原単位2027,17,HL18+2)&amp;"")</f>
        <v/>
      </c>
      <c r="HS18" s="1212" t="str">
        <f t="shared" ca="1" si="53"/>
        <v/>
      </c>
      <c r="HT18" s="1213" t="str">
        <f t="shared" ca="1" si="54"/>
        <v/>
      </c>
      <c r="HU18" s="1223" t="str">
        <f t="shared" ca="1" si="55"/>
        <v/>
      </c>
      <c r="HV18" s="1200" t="str">
        <f ca="1">IF(COUNTIF(HV$10:HV17,OFFSET(A1_原単位2027,29,HL18+2))&gt;=1,"",OFFSET(A1_原単位2027,29,HL18+2)&amp;"")</f>
        <v/>
      </c>
      <c r="HW18" s="1212" t="str">
        <f t="shared" ca="1" si="56"/>
        <v/>
      </c>
      <c r="HX18" s="1213" t="str">
        <f t="shared" ca="1" si="57"/>
        <v/>
      </c>
      <c r="HY18" s="1223" t="str">
        <f t="shared" ca="1" si="58"/>
        <v/>
      </c>
      <c r="HZ18" s="1200" t="str">
        <f ca="1">IF(COUNTIF(HZ$10:HZ17,OFFSET(A1_原単位2027,41,HL18+2))&gt;=1,"",OFFSET(A1_原単位2027,41,HL18+2)&amp;"")</f>
        <v/>
      </c>
      <c r="IA18" s="1215" t="str">
        <f t="shared" ca="1" si="59"/>
        <v/>
      </c>
      <c r="IB18" s="1216" t="str">
        <f t="shared" ca="1" si="60"/>
        <v/>
      </c>
      <c r="IE18" s="882" t="str">
        <f t="shared" ca="1" si="61"/>
        <v/>
      </c>
      <c r="IF18" s="882" t="str">
        <f t="shared" ca="1" si="62"/>
        <v/>
      </c>
      <c r="IG18" s="882" t="str">
        <f t="shared" ca="1" si="63"/>
        <v/>
      </c>
      <c r="IH18" s="882" t="str">
        <f t="shared" ca="1" si="64"/>
        <v/>
      </c>
    </row>
    <row r="19" spans="2:242" s="889" customFormat="1" ht="20.100000000000001"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918">
        <f t="shared" si="67"/>
        <v>0</v>
      </c>
      <c r="HD19" s="921">
        <f t="shared" si="66"/>
        <v>0</v>
      </c>
      <c r="HE19" s="921">
        <f t="shared" si="66"/>
        <v>0</v>
      </c>
      <c r="HF19" s="920"/>
      <c r="HG19" s="918">
        <f>SUM(SUMIFS(K19:HB19,$K$13:$HB$13,{"エネルギー管理指定工場等*","県域*"}))</f>
        <v>0</v>
      </c>
      <c r="HH19" s="921">
        <f>SUM(SUMIFS(L19:HC19,$K$13:$HB$13,{"エネルギー管理指定工場等*","県域*"}))</f>
        <v>0</v>
      </c>
      <c r="HI19" s="921">
        <f>SUM(SUMIFS(M19:HD19,$K$13:$HB$13,{"エネルギー管理指定工場等*","県域*"}))</f>
        <v>0</v>
      </c>
      <c r="HJ19" s="920"/>
      <c r="HL19" s="907">
        <v>10</v>
      </c>
      <c r="HM19" s="1223" t="str">
        <f t="shared" ca="1" si="49"/>
        <v/>
      </c>
      <c r="HN19" s="1200" t="str">
        <f ca="1">IF(COUNTIF(HN$10:HN18,OFFSET(A1_原単位2027,5,HL19+2))&gt;=1,"",OFFSET(A1_原単位2027,5,HL19+2)&amp;"")</f>
        <v/>
      </c>
      <c r="HO19" s="1204" t="str">
        <f t="shared" ca="1" si="50"/>
        <v/>
      </c>
      <c r="HP19" s="1205" t="str">
        <f t="shared" ca="1" si="51"/>
        <v/>
      </c>
      <c r="HQ19" s="1223" t="str">
        <f t="shared" ca="1" si="52"/>
        <v/>
      </c>
      <c r="HR19" s="1200" t="str">
        <f ca="1">IF(COUNTIF(HR$10:HR18,OFFSET(A1_原単位2027,17,HL19+2))&gt;=1,"",OFFSET(A1_原単位2027,17,HL19+2)&amp;"")</f>
        <v/>
      </c>
      <c r="HS19" s="1212" t="str">
        <f t="shared" ca="1" si="53"/>
        <v/>
      </c>
      <c r="HT19" s="1213" t="str">
        <f t="shared" ca="1" si="54"/>
        <v/>
      </c>
      <c r="HU19" s="1223" t="str">
        <f t="shared" ca="1" si="55"/>
        <v/>
      </c>
      <c r="HV19" s="1200" t="str">
        <f ca="1">IF(COUNTIF(HV$10:HV18,OFFSET(A1_原単位2027,29,HL19+2))&gt;=1,"",OFFSET(A1_原単位2027,29,HL19+2)&amp;"")</f>
        <v/>
      </c>
      <c r="HW19" s="1212" t="str">
        <f t="shared" ca="1" si="56"/>
        <v/>
      </c>
      <c r="HX19" s="1213" t="str">
        <f t="shared" ca="1" si="57"/>
        <v/>
      </c>
      <c r="HY19" s="1223" t="str">
        <f t="shared" ca="1" si="58"/>
        <v/>
      </c>
      <c r="HZ19" s="1200" t="str">
        <f ca="1">IF(COUNTIF(HZ$10:HZ18,OFFSET(A1_原単位2027,41,HL19+2))&gt;=1,"",OFFSET(A1_原単位2027,41,HL19+2)&amp;"")</f>
        <v/>
      </c>
      <c r="IA19" s="1215" t="str">
        <f t="shared" ca="1" si="59"/>
        <v/>
      </c>
      <c r="IB19" s="1216" t="str">
        <f t="shared" ca="1" si="60"/>
        <v/>
      </c>
      <c r="IE19" s="882" t="str">
        <f t="shared" ca="1" si="61"/>
        <v/>
      </c>
      <c r="IF19" s="882" t="str">
        <f t="shared" ca="1" si="62"/>
        <v/>
      </c>
      <c r="IG19" s="882" t="str">
        <f t="shared" ca="1" si="63"/>
        <v/>
      </c>
      <c r="IH19" s="882" t="str">
        <f t="shared" ca="1" si="64"/>
        <v/>
      </c>
    </row>
    <row r="20" spans="2:242" s="889" customFormat="1" ht="20.100000000000001"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918">
        <f t="shared" si="67"/>
        <v>0</v>
      </c>
      <c r="HD20" s="921">
        <f t="shared" si="66"/>
        <v>0</v>
      </c>
      <c r="HE20" s="921">
        <f t="shared" si="66"/>
        <v>0</v>
      </c>
      <c r="HF20" s="920"/>
      <c r="HG20" s="918">
        <f>SUM(SUMIFS(K20:HB20,$K$13:$HB$13,{"エネルギー管理指定工場等*","県域*"}))</f>
        <v>0</v>
      </c>
      <c r="HH20" s="921">
        <f>SUM(SUMIFS(L20:HC20,$K$13:$HB$13,{"エネルギー管理指定工場等*","県域*"}))</f>
        <v>0</v>
      </c>
      <c r="HI20" s="921">
        <f>SUM(SUMIFS(M20:HD20,$K$13:$HB$13,{"エネルギー管理指定工場等*","県域*"}))</f>
        <v>0</v>
      </c>
      <c r="HJ20" s="920"/>
      <c r="HL20" s="908">
        <v>11</v>
      </c>
      <c r="HM20" s="1223" t="str">
        <f t="shared" ca="1" si="49"/>
        <v/>
      </c>
      <c r="HN20" s="1200" t="str">
        <f ca="1">IF(COUNTIF(HN$10:HN19,OFFSET(A1_原単位2027,5,HL20+2))&gt;=1,"",OFFSET(A1_原単位2027,5,HL20+2)&amp;"")</f>
        <v/>
      </c>
      <c r="HO20" s="1204" t="str">
        <f t="shared" ca="1" si="50"/>
        <v/>
      </c>
      <c r="HP20" s="1205" t="str">
        <f t="shared" ca="1" si="51"/>
        <v/>
      </c>
      <c r="HQ20" s="1223" t="str">
        <f t="shared" ca="1" si="52"/>
        <v/>
      </c>
      <c r="HR20" s="1200" t="str">
        <f ca="1">IF(COUNTIF(HR$10:HR19,OFFSET(A1_原単位2027,17,HL20+2))&gt;=1,"",OFFSET(A1_原単位2027,17,HL20+2)&amp;"")</f>
        <v/>
      </c>
      <c r="HS20" s="1212" t="str">
        <f t="shared" ca="1" si="53"/>
        <v/>
      </c>
      <c r="HT20" s="1213" t="str">
        <f t="shared" ca="1" si="54"/>
        <v/>
      </c>
      <c r="HU20" s="1223" t="str">
        <f t="shared" ca="1" si="55"/>
        <v/>
      </c>
      <c r="HV20" s="1200" t="str">
        <f ca="1">IF(COUNTIF(HV$10:HV19,OFFSET(A1_原単位2027,29,HL20+2))&gt;=1,"",OFFSET(A1_原単位2027,29,HL20+2)&amp;"")</f>
        <v/>
      </c>
      <c r="HW20" s="1212" t="str">
        <f t="shared" ca="1" si="56"/>
        <v/>
      </c>
      <c r="HX20" s="1213" t="str">
        <f t="shared" ca="1" si="57"/>
        <v/>
      </c>
      <c r="HY20" s="1223" t="str">
        <f t="shared" ca="1" si="58"/>
        <v/>
      </c>
      <c r="HZ20" s="1200" t="str">
        <f ca="1">IF(COUNTIF(HZ$10:HZ19,OFFSET(A1_原単位2027,41,HL20+2))&gt;=1,"",OFFSET(A1_原単位2027,41,HL20+2)&amp;"")</f>
        <v/>
      </c>
      <c r="IA20" s="1215" t="str">
        <f t="shared" ca="1" si="59"/>
        <v/>
      </c>
      <c r="IB20" s="1216" t="str">
        <f t="shared" ca="1" si="60"/>
        <v/>
      </c>
      <c r="IE20" s="882" t="str">
        <f t="shared" ca="1" si="61"/>
        <v/>
      </c>
      <c r="IF20" s="882" t="str">
        <f t="shared" ca="1" si="62"/>
        <v/>
      </c>
      <c r="IG20" s="882" t="str">
        <f t="shared" ca="1" si="63"/>
        <v/>
      </c>
      <c r="IH20" s="882" t="str">
        <f t="shared" ca="1" si="64"/>
        <v/>
      </c>
    </row>
    <row r="21" spans="2:242" s="889" customFormat="1" ht="20.100000000000001"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918">
        <f t="shared" si="67"/>
        <v>0</v>
      </c>
      <c r="HD21" s="921">
        <f t="shared" si="66"/>
        <v>0</v>
      </c>
      <c r="HE21" s="921">
        <f t="shared" si="66"/>
        <v>0</v>
      </c>
      <c r="HF21" s="920"/>
      <c r="HG21" s="918">
        <f>SUM(SUMIFS(K21:HB21,$K$13:$HB$13,{"エネルギー管理指定工場等*","県域*"}))</f>
        <v>0</v>
      </c>
      <c r="HH21" s="921">
        <f>SUM(SUMIFS(L21:HC21,$K$13:$HB$13,{"エネルギー管理指定工場等*","県域*"}))</f>
        <v>0</v>
      </c>
      <c r="HI21" s="921">
        <f>SUM(SUMIFS(M21:HD21,$K$13:$HB$13,{"エネルギー管理指定工場等*","県域*"}))</f>
        <v>0</v>
      </c>
      <c r="HJ21" s="920"/>
      <c r="HL21" s="907">
        <v>12</v>
      </c>
      <c r="HM21" s="1223" t="str">
        <f t="shared" ca="1" si="49"/>
        <v/>
      </c>
      <c r="HN21" s="1200" t="str">
        <f ca="1">IF(COUNTIF(HN$10:HN20,OFFSET(A1_原単位2027,5,HL21+2))&gt;=1,"",OFFSET(A1_原単位2027,5,HL21+2)&amp;"")</f>
        <v/>
      </c>
      <c r="HO21" s="1204" t="str">
        <f t="shared" ca="1" si="50"/>
        <v/>
      </c>
      <c r="HP21" s="1205" t="str">
        <f t="shared" ca="1" si="51"/>
        <v/>
      </c>
      <c r="HQ21" s="1223" t="str">
        <f t="shared" ca="1" si="52"/>
        <v/>
      </c>
      <c r="HR21" s="1200" t="str">
        <f ca="1">IF(COUNTIF(HR$10:HR20,OFFSET(A1_原単位2027,17,HL21+2))&gt;=1,"",OFFSET(A1_原単位2027,17,HL21+2)&amp;"")</f>
        <v/>
      </c>
      <c r="HS21" s="1212" t="str">
        <f t="shared" ca="1" si="53"/>
        <v/>
      </c>
      <c r="HT21" s="1213" t="str">
        <f t="shared" ca="1" si="54"/>
        <v/>
      </c>
      <c r="HU21" s="1223" t="str">
        <f t="shared" ca="1" si="55"/>
        <v/>
      </c>
      <c r="HV21" s="1200" t="str">
        <f ca="1">IF(COUNTIF(HV$10:HV20,OFFSET(A1_原単位2027,29,HL21+2))&gt;=1,"",OFFSET(A1_原単位2027,29,HL21+2)&amp;"")</f>
        <v/>
      </c>
      <c r="HW21" s="1212" t="str">
        <f t="shared" ca="1" si="56"/>
        <v/>
      </c>
      <c r="HX21" s="1213" t="str">
        <f t="shared" ca="1" si="57"/>
        <v/>
      </c>
      <c r="HY21" s="1223" t="str">
        <f t="shared" ca="1" si="58"/>
        <v/>
      </c>
      <c r="HZ21" s="1200" t="str">
        <f ca="1">IF(COUNTIF(HZ$10:HZ20,OFFSET(A1_原単位2027,41,HL21+2))&gt;=1,"",OFFSET(A1_原単位2027,41,HL21+2)&amp;"")</f>
        <v/>
      </c>
      <c r="IA21" s="1215" t="str">
        <f t="shared" ca="1" si="59"/>
        <v/>
      </c>
      <c r="IB21" s="1216" t="str">
        <f t="shared" ca="1" si="60"/>
        <v/>
      </c>
      <c r="IE21" s="882" t="str">
        <f t="shared" ca="1" si="61"/>
        <v/>
      </c>
      <c r="IF21" s="882" t="str">
        <f t="shared" ca="1" si="62"/>
        <v/>
      </c>
      <c r="IG21" s="882" t="str">
        <f t="shared" ca="1" si="63"/>
        <v/>
      </c>
      <c r="IH21" s="882" t="str">
        <f t="shared" ca="1" si="64"/>
        <v/>
      </c>
    </row>
    <row r="22" spans="2:242" s="889" customFormat="1" ht="20.100000000000001"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918">
        <f t="shared" si="67"/>
        <v>0</v>
      </c>
      <c r="HD22" s="921">
        <f t="shared" si="66"/>
        <v>0</v>
      </c>
      <c r="HE22" s="921">
        <f t="shared" si="66"/>
        <v>0</v>
      </c>
      <c r="HF22" s="920"/>
      <c r="HG22" s="918">
        <f>SUM(SUMIFS(K22:HB22,$K$13:$HB$13,{"エネルギー管理指定工場等*","県域*"}))</f>
        <v>0</v>
      </c>
      <c r="HH22" s="921">
        <f>SUM(SUMIFS(L22:HC22,$K$13:$HB$13,{"エネルギー管理指定工場等*","県域*"}))</f>
        <v>0</v>
      </c>
      <c r="HI22" s="921">
        <f>SUM(SUMIFS(M22:HD22,$K$13:$HB$13,{"エネルギー管理指定工場等*","県域*"}))</f>
        <v>0</v>
      </c>
      <c r="HJ22" s="920"/>
      <c r="HL22" s="908">
        <v>13</v>
      </c>
      <c r="HM22" s="1223" t="str">
        <f t="shared" ca="1" si="49"/>
        <v/>
      </c>
      <c r="HN22" s="1200" t="str">
        <f ca="1">IF(COUNTIF(HN$10:HN21,OFFSET(A1_原単位2027,5,HL22+2))&gt;=1,"",OFFSET(A1_原単位2027,5,HL22+2)&amp;"")</f>
        <v/>
      </c>
      <c r="HO22" s="1204" t="str">
        <f t="shared" ca="1" si="50"/>
        <v/>
      </c>
      <c r="HP22" s="1205" t="str">
        <f t="shared" ca="1" si="51"/>
        <v/>
      </c>
      <c r="HQ22" s="1223" t="str">
        <f t="shared" ca="1" si="52"/>
        <v/>
      </c>
      <c r="HR22" s="1200" t="str">
        <f ca="1">IF(COUNTIF(HR$10:HR21,OFFSET(A1_原単位2027,17,HL22+2))&gt;=1,"",OFFSET(A1_原単位2027,17,HL22+2)&amp;"")</f>
        <v/>
      </c>
      <c r="HS22" s="1212" t="str">
        <f t="shared" ca="1" si="53"/>
        <v/>
      </c>
      <c r="HT22" s="1213" t="str">
        <f t="shared" ca="1" si="54"/>
        <v/>
      </c>
      <c r="HU22" s="1223" t="str">
        <f t="shared" ca="1" si="55"/>
        <v/>
      </c>
      <c r="HV22" s="1200" t="str">
        <f ca="1">IF(COUNTIF(HV$10:HV21,OFFSET(A1_原単位2027,29,HL22+2))&gt;=1,"",OFFSET(A1_原単位2027,29,HL22+2)&amp;"")</f>
        <v/>
      </c>
      <c r="HW22" s="1212" t="str">
        <f t="shared" ca="1" si="56"/>
        <v/>
      </c>
      <c r="HX22" s="1213" t="str">
        <f t="shared" ca="1" si="57"/>
        <v/>
      </c>
      <c r="HY22" s="1223" t="str">
        <f t="shared" ca="1" si="58"/>
        <v/>
      </c>
      <c r="HZ22" s="1200" t="str">
        <f ca="1">IF(COUNTIF(HZ$10:HZ21,OFFSET(A1_原単位2027,41,HL22+2))&gt;=1,"",OFFSET(A1_原単位2027,41,HL22+2)&amp;"")</f>
        <v/>
      </c>
      <c r="IA22" s="1215" t="str">
        <f t="shared" ca="1" si="59"/>
        <v/>
      </c>
      <c r="IB22" s="1216" t="str">
        <f t="shared" ca="1" si="60"/>
        <v/>
      </c>
      <c r="IE22" s="882" t="str">
        <f t="shared" ca="1" si="61"/>
        <v/>
      </c>
      <c r="IF22" s="882" t="str">
        <f t="shared" ca="1" si="62"/>
        <v/>
      </c>
      <c r="IG22" s="882" t="str">
        <f t="shared" ca="1" si="63"/>
        <v/>
      </c>
      <c r="IH22" s="882" t="str">
        <f t="shared" ca="1" si="64"/>
        <v/>
      </c>
    </row>
    <row r="23" spans="2:242" s="889" customFormat="1" ht="20.100000000000001"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918">
        <f t="shared" si="67"/>
        <v>0</v>
      </c>
      <c r="HD23" s="921">
        <f t="shared" si="66"/>
        <v>0</v>
      </c>
      <c r="HE23" s="921">
        <f t="shared" si="66"/>
        <v>0</v>
      </c>
      <c r="HF23" s="920"/>
      <c r="HG23" s="918">
        <f>SUM(SUMIFS(K23:HB23,$K$13:$HB$13,{"エネルギー管理指定工場等*","県域*"}))</f>
        <v>0</v>
      </c>
      <c r="HH23" s="921">
        <f>SUM(SUMIFS(L23:HC23,$K$13:$HB$13,{"エネルギー管理指定工場等*","県域*"}))</f>
        <v>0</v>
      </c>
      <c r="HI23" s="921">
        <f>SUM(SUMIFS(M23:HD23,$K$13:$HB$13,{"エネルギー管理指定工場等*","県域*"}))</f>
        <v>0</v>
      </c>
      <c r="HJ23" s="920"/>
      <c r="HL23" s="907">
        <v>14</v>
      </c>
      <c r="HM23" s="1223" t="str">
        <f t="shared" ca="1" si="49"/>
        <v/>
      </c>
      <c r="HN23" s="1200" t="str">
        <f ca="1">IF(COUNTIF(HN$10:HN22,OFFSET(A1_原単位2027,5,HL23+2))&gt;=1,"",OFFSET(A1_原単位2027,5,HL23+2)&amp;"")</f>
        <v/>
      </c>
      <c r="HO23" s="1204" t="str">
        <f t="shared" ca="1" si="50"/>
        <v/>
      </c>
      <c r="HP23" s="1205" t="str">
        <f t="shared" ca="1" si="51"/>
        <v/>
      </c>
      <c r="HQ23" s="1223" t="str">
        <f t="shared" ca="1" si="52"/>
        <v/>
      </c>
      <c r="HR23" s="1200" t="str">
        <f ca="1">IF(COUNTIF(HR$10:HR22,OFFSET(A1_原単位2027,17,HL23+2))&gt;=1,"",OFFSET(A1_原単位2027,17,HL23+2)&amp;"")</f>
        <v/>
      </c>
      <c r="HS23" s="1212" t="str">
        <f t="shared" ca="1" si="53"/>
        <v/>
      </c>
      <c r="HT23" s="1213" t="str">
        <f t="shared" ca="1" si="54"/>
        <v/>
      </c>
      <c r="HU23" s="1223" t="str">
        <f t="shared" ca="1" si="55"/>
        <v/>
      </c>
      <c r="HV23" s="1200" t="str">
        <f ca="1">IF(COUNTIF(HV$10:HV22,OFFSET(A1_原単位2027,29,HL23+2))&gt;=1,"",OFFSET(A1_原単位2027,29,HL23+2)&amp;"")</f>
        <v/>
      </c>
      <c r="HW23" s="1212" t="str">
        <f t="shared" ca="1" si="56"/>
        <v/>
      </c>
      <c r="HX23" s="1213" t="str">
        <f t="shared" ca="1" si="57"/>
        <v/>
      </c>
      <c r="HY23" s="1223" t="str">
        <f t="shared" ca="1" si="58"/>
        <v/>
      </c>
      <c r="HZ23" s="1200" t="str">
        <f ca="1">IF(COUNTIF(HZ$10:HZ22,OFFSET(A1_原単位2027,41,HL23+2))&gt;=1,"",OFFSET(A1_原単位2027,41,HL23+2)&amp;"")</f>
        <v/>
      </c>
      <c r="IA23" s="1215" t="str">
        <f t="shared" ca="1" si="59"/>
        <v/>
      </c>
      <c r="IB23" s="1216" t="str">
        <f t="shared" ca="1" si="60"/>
        <v/>
      </c>
      <c r="IE23" s="882" t="str">
        <f t="shared" ca="1" si="61"/>
        <v/>
      </c>
      <c r="IF23" s="882" t="str">
        <f t="shared" ca="1" si="62"/>
        <v/>
      </c>
      <c r="IG23" s="882" t="str">
        <f t="shared" ca="1" si="63"/>
        <v/>
      </c>
      <c r="IH23" s="882" t="str">
        <f t="shared" ca="1" si="64"/>
        <v/>
      </c>
    </row>
    <row r="24" spans="2:242" s="889" customFormat="1" ht="20.100000000000001"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918">
        <f t="shared" si="67"/>
        <v>0</v>
      </c>
      <c r="HD24" s="921">
        <f t="shared" si="66"/>
        <v>0</v>
      </c>
      <c r="HE24" s="921">
        <f t="shared" si="66"/>
        <v>0</v>
      </c>
      <c r="HF24" s="920"/>
      <c r="HG24" s="918">
        <f>SUM(SUMIFS(K24:HB24,$K$13:$HB$13,{"エネルギー管理指定工場等*","県域*"}))</f>
        <v>0</v>
      </c>
      <c r="HH24" s="921">
        <f>SUM(SUMIFS(L24:HC24,$K$13:$HB$13,{"エネルギー管理指定工場等*","県域*"}))</f>
        <v>0</v>
      </c>
      <c r="HI24" s="921">
        <f>SUM(SUMIFS(M24:HD24,$K$13:$HB$13,{"エネルギー管理指定工場等*","県域*"}))</f>
        <v>0</v>
      </c>
      <c r="HJ24" s="920"/>
      <c r="HL24" s="907">
        <v>15</v>
      </c>
      <c r="HM24" s="1223" t="str">
        <f t="shared" ca="1" si="49"/>
        <v/>
      </c>
      <c r="HN24" s="1200" t="str">
        <f ca="1">IF(COUNTIF(HN$10:HN23,OFFSET(A1_原単位2027,5,HL24+2))&gt;=1,"",OFFSET(A1_原単位2027,5,HL24+2)&amp;"")</f>
        <v/>
      </c>
      <c r="HO24" s="1204" t="str">
        <f t="shared" ca="1" si="50"/>
        <v/>
      </c>
      <c r="HP24" s="1205" t="str">
        <f t="shared" ca="1" si="51"/>
        <v/>
      </c>
      <c r="HQ24" s="1223" t="str">
        <f t="shared" ca="1" si="52"/>
        <v/>
      </c>
      <c r="HR24" s="1200" t="str">
        <f ca="1">IF(COUNTIF(HR$10:HR23,OFFSET(A1_原単位2027,17,HL24+2))&gt;=1,"",OFFSET(A1_原単位2027,17,HL24+2)&amp;"")</f>
        <v/>
      </c>
      <c r="HS24" s="1212" t="str">
        <f t="shared" ca="1" si="53"/>
        <v/>
      </c>
      <c r="HT24" s="1213" t="str">
        <f t="shared" ca="1" si="54"/>
        <v/>
      </c>
      <c r="HU24" s="1223" t="str">
        <f t="shared" ca="1" si="55"/>
        <v/>
      </c>
      <c r="HV24" s="1200" t="str">
        <f ca="1">IF(COUNTIF(HV$10:HV23,OFFSET(A1_原単位2027,29,HL24+2))&gt;=1,"",OFFSET(A1_原単位2027,29,HL24+2)&amp;"")</f>
        <v/>
      </c>
      <c r="HW24" s="1212" t="str">
        <f t="shared" ca="1" si="56"/>
        <v/>
      </c>
      <c r="HX24" s="1213" t="str">
        <f t="shared" ca="1" si="57"/>
        <v/>
      </c>
      <c r="HY24" s="1223" t="str">
        <f t="shared" ca="1" si="58"/>
        <v/>
      </c>
      <c r="HZ24" s="1200" t="str">
        <f ca="1">IF(COUNTIF(HZ$10:HZ23,OFFSET(A1_原単位2027,41,HL24+2))&gt;=1,"",OFFSET(A1_原単位2027,41,HL24+2)&amp;"")</f>
        <v/>
      </c>
      <c r="IA24" s="1215" t="str">
        <f t="shared" ca="1" si="59"/>
        <v/>
      </c>
      <c r="IB24" s="1216" t="str">
        <f t="shared" ca="1" si="60"/>
        <v/>
      </c>
      <c r="IE24" s="882" t="str">
        <f t="shared" ca="1" si="61"/>
        <v/>
      </c>
      <c r="IF24" s="882" t="str">
        <f t="shared" ca="1" si="62"/>
        <v/>
      </c>
      <c r="IG24" s="882" t="str">
        <f t="shared" ca="1" si="63"/>
        <v/>
      </c>
      <c r="IH24" s="882" t="str">
        <f t="shared" ca="1" si="64"/>
        <v/>
      </c>
    </row>
    <row r="25" spans="2:242" s="889" customFormat="1" ht="20.100000000000001"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918">
        <f t="shared" si="67"/>
        <v>0</v>
      </c>
      <c r="HD25" s="921">
        <f t="shared" si="66"/>
        <v>0</v>
      </c>
      <c r="HE25" s="921">
        <f t="shared" si="66"/>
        <v>0</v>
      </c>
      <c r="HF25" s="920"/>
      <c r="HG25" s="918">
        <f>SUM(SUMIFS(K25:HB25,$K$13:$HB$13,{"エネルギー管理指定工場等*","県域*"}))</f>
        <v>0</v>
      </c>
      <c r="HH25" s="921">
        <f>SUM(SUMIFS(L25:HC25,$K$13:$HB$13,{"エネルギー管理指定工場等*","県域*"}))</f>
        <v>0</v>
      </c>
      <c r="HI25" s="921">
        <f>SUM(SUMIFS(M25:HD25,$K$13:$HB$13,{"エネルギー管理指定工場等*","県域*"}))</f>
        <v>0</v>
      </c>
      <c r="HJ25" s="920"/>
      <c r="HL25" s="908">
        <v>16</v>
      </c>
      <c r="HM25" s="1223" t="str">
        <f t="shared" ca="1" si="49"/>
        <v/>
      </c>
      <c r="HN25" s="1200" t="str">
        <f ca="1">IF(COUNTIF(HN$10:HN24,OFFSET(A1_原単位2027,5,HL25+2))&gt;=1,"",OFFSET(A1_原単位2027,5,HL25+2)&amp;"")</f>
        <v/>
      </c>
      <c r="HO25" s="1204" t="str">
        <f t="shared" ca="1" si="50"/>
        <v/>
      </c>
      <c r="HP25" s="1205" t="str">
        <f t="shared" ca="1" si="51"/>
        <v/>
      </c>
      <c r="HQ25" s="1223" t="str">
        <f t="shared" ca="1" si="52"/>
        <v/>
      </c>
      <c r="HR25" s="1200" t="str">
        <f ca="1">IF(COUNTIF(HR$10:HR24,OFFSET(A1_原単位2027,17,HL25+2))&gt;=1,"",OFFSET(A1_原単位2027,17,HL25+2)&amp;"")</f>
        <v/>
      </c>
      <c r="HS25" s="1212" t="str">
        <f t="shared" ca="1" si="53"/>
        <v/>
      </c>
      <c r="HT25" s="1213" t="str">
        <f t="shared" ca="1" si="54"/>
        <v/>
      </c>
      <c r="HU25" s="1223" t="str">
        <f t="shared" ca="1" si="55"/>
        <v/>
      </c>
      <c r="HV25" s="1200" t="str">
        <f ca="1">IF(COUNTIF(HV$10:HV24,OFFSET(A1_原単位2027,29,HL25+2))&gt;=1,"",OFFSET(A1_原単位2027,29,HL25+2)&amp;"")</f>
        <v/>
      </c>
      <c r="HW25" s="1212" t="str">
        <f t="shared" ca="1" si="56"/>
        <v/>
      </c>
      <c r="HX25" s="1213" t="str">
        <f t="shared" ca="1" si="57"/>
        <v/>
      </c>
      <c r="HY25" s="1223" t="str">
        <f t="shared" ca="1" si="58"/>
        <v/>
      </c>
      <c r="HZ25" s="1200" t="str">
        <f ca="1">IF(COUNTIF(HZ$10:HZ24,OFFSET(A1_原単位2027,41,HL25+2))&gt;=1,"",OFFSET(A1_原単位2027,41,HL25+2)&amp;"")</f>
        <v/>
      </c>
      <c r="IA25" s="1215" t="str">
        <f t="shared" ca="1" si="59"/>
        <v/>
      </c>
      <c r="IB25" s="1216" t="str">
        <f t="shared" ca="1" si="60"/>
        <v/>
      </c>
      <c r="IE25" s="882" t="str">
        <f t="shared" ca="1" si="61"/>
        <v/>
      </c>
      <c r="IF25" s="882" t="str">
        <f t="shared" ca="1" si="62"/>
        <v/>
      </c>
      <c r="IG25" s="882" t="str">
        <f t="shared" ca="1" si="63"/>
        <v/>
      </c>
      <c r="IH25" s="882" t="str">
        <f t="shared" ca="1" si="64"/>
        <v/>
      </c>
    </row>
    <row r="26" spans="2:242" s="889" customFormat="1" ht="20.100000000000001"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918">
        <f t="shared" si="67"/>
        <v>0</v>
      </c>
      <c r="HD26" s="921">
        <f t="shared" si="66"/>
        <v>0</v>
      </c>
      <c r="HE26" s="921">
        <f t="shared" si="66"/>
        <v>0</v>
      </c>
      <c r="HF26" s="920"/>
      <c r="HG26" s="918">
        <f>SUM(SUMIFS(K26:HB26,$K$13:$HB$13,{"エネルギー管理指定工場等*","県域*"}))</f>
        <v>0</v>
      </c>
      <c r="HH26" s="921">
        <f>SUM(SUMIFS(L26:HC26,$K$13:$HB$13,{"エネルギー管理指定工場等*","県域*"}))</f>
        <v>0</v>
      </c>
      <c r="HI26" s="921">
        <f>SUM(SUMIFS(M26:HD26,$K$13:$HB$13,{"エネルギー管理指定工場等*","県域*"}))</f>
        <v>0</v>
      </c>
      <c r="HJ26" s="920"/>
      <c r="HL26" s="907">
        <v>17</v>
      </c>
      <c r="HM26" s="1223" t="str">
        <f t="shared" ca="1" si="49"/>
        <v/>
      </c>
      <c r="HN26" s="1200" t="str">
        <f ca="1">IF(COUNTIF(HN$10:HN25,OFFSET(A1_原単位2027,5,HL26+2))&gt;=1,"",OFFSET(A1_原単位2027,5,HL26+2)&amp;"")</f>
        <v/>
      </c>
      <c r="HO26" s="1204" t="str">
        <f t="shared" ca="1" si="50"/>
        <v/>
      </c>
      <c r="HP26" s="1205" t="str">
        <f t="shared" ca="1" si="51"/>
        <v/>
      </c>
      <c r="HQ26" s="1223" t="str">
        <f t="shared" ca="1" si="52"/>
        <v/>
      </c>
      <c r="HR26" s="1200" t="str">
        <f ca="1">IF(COUNTIF(HR$10:HR25,OFFSET(A1_原単位2027,17,HL26+2))&gt;=1,"",OFFSET(A1_原単位2027,17,HL26+2)&amp;"")</f>
        <v/>
      </c>
      <c r="HS26" s="1212" t="str">
        <f t="shared" ca="1" si="53"/>
        <v/>
      </c>
      <c r="HT26" s="1213" t="str">
        <f t="shared" ca="1" si="54"/>
        <v/>
      </c>
      <c r="HU26" s="1223" t="str">
        <f t="shared" ca="1" si="55"/>
        <v/>
      </c>
      <c r="HV26" s="1200" t="str">
        <f ca="1">IF(COUNTIF(HV$10:HV25,OFFSET(A1_原単位2027,29,HL26+2))&gt;=1,"",OFFSET(A1_原単位2027,29,HL26+2)&amp;"")</f>
        <v/>
      </c>
      <c r="HW26" s="1212" t="str">
        <f t="shared" ca="1" si="56"/>
        <v/>
      </c>
      <c r="HX26" s="1213" t="str">
        <f t="shared" ca="1" si="57"/>
        <v/>
      </c>
      <c r="HY26" s="1223" t="str">
        <f t="shared" ca="1" si="58"/>
        <v/>
      </c>
      <c r="HZ26" s="1200" t="str">
        <f ca="1">IF(COUNTIF(HZ$10:HZ25,OFFSET(A1_原単位2027,41,HL26+2))&gt;=1,"",OFFSET(A1_原単位2027,41,HL26+2)&amp;"")</f>
        <v/>
      </c>
      <c r="IA26" s="1215" t="str">
        <f t="shared" ca="1" si="59"/>
        <v/>
      </c>
      <c r="IB26" s="1216" t="str">
        <f t="shared" ca="1" si="60"/>
        <v/>
      </c>
      <c r="IE26" s="882" t="str">
        <f t="shared" ca="1" si="61"/>
        <v/>
      </c>
      <c r="IF26" s="882" t="str">
        <f t="shared" ca="1" si="62"/>
        <v/>
      </c>
      <c r="IG26" s="882" t="str">
        <f t="shared" ca="1" si="63"/>
        <v/>
      </c>
      <c r="IH26" s="882" t="str">
        <f t="shared" ca="1" si="64"/>
        <v/>
      </c>
    </row>
    <row r="27" spans="2:242" s="889" customFormat="1" ht="20.100000000000001"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918">
        <f t="shared" si="67"/>
        <v>0</v>
      </c>
      <c r="HD27" s="921">
        <f t="shared" si="66"/>
        <v>0</v>
      </c>
      <c r="HE27" s="921">
        <f t="shared" si="66"/>
        <v>0</v>
      </c>
      <c r="HF27" s="920"/>
      <c r="HG27" s="918">
        <f>SUM(SUMIFS(K27:HB27,$K$13:$HB$13,{"エネルギー管理指定工場等*","県域*"}))</f>
        <v>0</v>
      </c>
      <c r="HH27" s="921">
        <f>SUM(SUMIFS(L27:HC27,$K$13:$HB$13,{"エネルギー管理指定工場等*","県域*"}))</f>
        <v>0</v>
      </c>
      <c r="HI27" s="921">
        <f>SUM(SUMIFS(M27:HD27,$K$13:$HB$13,{"エネルギー管理指定工場等*","県域*"}))</f>
        <v>0</v>
      </c>
      <c r="HJ27" s="920"/>
      <c r="HL27" s="908">
        <v>18</v>
      </c>
      <c r="HM27" s="1223" t="str">
        <f t="shared" ca="1" si="49"/>
        <v/>
      </c>
      <c r="HN27" s="1200" t="str">
        <f ca="1">IF(COUNTIF(HN$10:HN26,OFFSET(A1_原単位2027,5,HL27+2))&gt;=1,"",OFFSET(A1_原単位2027,5,HL27+2)&amp;"")</f>
        <v/>
      </c>
      <c r="HO27" s="1204" t="str">
        <f t="shared" ca="1" si="50"/>
        <v/>
      </c>
      <c r="HP27" s="1205" t="str">
        <f t="shared" ca="1" si="51"/>
        <v/>
      </c>
      <c r="HQ27" s="1223" t="str">
        <f t="shared" ca="1" si="52"/>
        <v/>
      </c>
      <c r="HR27" s="1200" t="str">
        <f ca="1">IF(COUNTIF(HR$10:HR26,OFFSET(A1_原単位2027,17,HL27+2))&gt;=1,"",OFFSET(A1_原単位2027,17,HL27+2)&amp;"")</f>
        <v/>
      </c>
      <c r="HS27" s="1212" t="str">
        <f t="shared" ca="1" si="53"/>
        <v/>
      </c>
      <c r="HT27" s="1213" t="str">
        <f t="shared" ca="1" si="54"/>
        <v/>
      </c>
      <c r="HU27" s="1223" t="str">
        <f t="shared" ca="1" si="55"/>
        <v/>
      </c>
      <c r="HV27" s="1200" t="str">
        <f ca="1">IF(COUNTIF(HV$10:HV26,OFFSET(A1_原単位2027,29,HL27+2))&gt;=1,"",OFFSET(A1_原単位2027,29,HL27+2)&amp;"")</f>
        <v/>
      </c>
      <c r="HW27" s="1212" t="str">
        <f t="shared" ca="1" si="56"/>
        <v/>
      </c>
      <c r="HX27" s="1213" t="str">
        <f t="shared" ca="1" si="57"/>
        <v/>
      </c>
      <c r="HY27" s="1223" t="str">
        <f t="shared" ca="1" si="58"/>
        <v/>
      </c>
      <c r="HZ27" s="1200" t="str">
        <f ca="1">IF(COUNTIF(HZ$10:HZ26,OFFSET(A1_原単位2027,41,HL27+2))&gt;=1,"",OFFSET(A1_原単位2027,41,HL27+2)&amp;"")</f>
        <v/>
      </c>
      <c r="IA27" s="1215" t="str">
        <f t="shared" ca="1" si="59"/>
        <v/>
      </c>
      <c r="IB27" s="1216" t="str">
        <f t="shared" ca="1" si="60"/>
        <v/>
      </c>
      <c r="IE27" s="882" t="str">
        <f t="shared" ca="1" si="61"/>
        <v/>
      </c>
      <c r="IF27" s="882" t="str">
        <f t="shared" ca="1" si="62"/>
        <v/>
      </c>
      <c r="IG27" s="882" t="str">
        <f t="shared" ca="1" si="63"/>
        <v/>
      </c>
      <c r="IH27" s="882" t="str">
        <f t="shared" ca="1" si="64"/>
        <v/>
      </c>
    </row>
    <row r="28" spans="2:242" s="889" customFormat="1" ht="20.100000000000001"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918">
        <f t="shared" si="67"/>
        <v>0</v>
      </c>
      <c r="HD28" s="921">
        <f t="shared" si="66"/>
        <v>0</v>
      </c>
      <c r="HE28" s="921">
        <f t="shared" si="66"/>
        <v>0</v>
      </c>
      <c r="HF28" s="920"/>
      <c r="HG28" s="918">
        <f>SUM(SUMIFS(K28:HB28,$K$13:$HB$13,{"エネルギー管理指定工場等*","県域*"}))</f>
        <v>0</v>
      </c>
      <c r="HH28" s="921">
        <f>SUM(SUMIFS(L28:HC28,$K$13:$HB$13,{"エネルギー管理指定工場等*","県域*"}))</f>
        <v>0</v>
      </c>
      <c r="HI28" s="921">
        <f>SUM(SUMIFS(M28:HD28,$K$13:$HB$13,{"エネルギー管理指定工場等*","県域*"}))</f>
        <v>0</v>
      </c>
      <c r="HJ28" s="920"/>
      <c r="HL28" s="907">
        <v>19</v>
      </c>
      <c r="HM28" s="1223" t="str">
        <f t="shared" ca="1" si="49"/>
        <v/>
      </c>
      <c r="HN28" s="1200" t="str">
        <f ca="1">IF(COUNTIF(HN$10:HN27,OFFSET(A1_原単位2027,5,HL28+2))&gt;=1,"",OFFSET(A1_原単位2027,5,HL28+2)&amp;"")</f>
        <v/>
      </c>
      <c r="HO28" s="1204" t="str">
        <f t="shared" ca="1" si="50"/>
        <v/>
      </c>
      <c r="HP28" s="1205" t="str">
        <f t="shared" ca="1" si="51"/>
        <v/>
      </c>
      <c r="HQ28" s="1223" t="str">
        <f t="shared" ca="1" si="52"/>
        <v/>
      </c>
      <c r="HR28" s="1200" t="str">
        <f ca="1">IF(COUNTIF(HR$10:HR27,OFFSET(A1_原単位2027,17,HL28+2))&gt;=1,"",OFFSET(A1_原単位2027,17,HL28+2)&amp;"")</f>
        <v/>
      </c>
      <c r="HS28" s="1212" t="str">
        <f t="shared" ca="1" si="53"/>
        <v/>
      </c>
      <c r="HT28" s="1213" t="str">
        <f t="shared" ca="1" si="54"/>
        <v/>
      </c>
      <c r="HU28" s="1223" t="str">
        <f t="shared" ca="1" si="55"/>
        <v/>
      </c>
      <c r="HV28" s="1200" t="str">
        <f ca="1">IF(COUNTIF(HV$10:HV27,OFFSET(A1_原単位2027,29,HL28+2))&gt;=1,"",OFFSET(A1_原単位2027,29,HL28+2)&amp;"")</f>
        <v/>
      </c>
      <c r="HW28" s="1212" t="str">
        <f t="shared" ca="1" si="56"/>
        <v/>
      </c>
      <c r="HX28" s="1213" t="str">
        <f t="shared" ca="1" si="57"/>
        <v/>
      </c>
      <c r="HY28" s="1223" t="str">
        <f t="shared" ca="1" si="58"/>
        <v/>
      </c>
      <c r="HZ28" s="1200" t="str">
        <f ca="1">IF(COUNTIF(HZ$10:HZ27,OFFSET(A1_原単位2027,41,HL28+2))&gt;=1,"",OFFSET(A1_原単位2027,41,HL28+2)&amp;"")</f>
        <v/>
      </c>
      <c r="IA28" s="1215" t="str">
        <f t="shared" ca="1" si="59"/>
        <v/>
      </c>
      <c r="IB28" s="1216" t="str">
        <f t="shared" ca="1" si="60"/>
        <v/>
      </c>
      <c r="IE28" s="882" t="str">
        <f t="shared" ca="1" si="61"/>
        <v/>
      </c>
      <c r="IF28" s="882" t="str">
        <f t="shared" ca="1" si="62"/>
        <v/>
      </c>
      <c r="IG28" s="882" t="str">
        <f t="shared" ca="1" si="63"/>
        <v/>
      </c>
      <c r="IH28" s="882" t="str">
        <f t="shared" ca="1" si="64"/>
        <v/>
      </c>
    </row>
    <row r="29" spans="2:242" s="889" customFormat="1" ht="20.100000000000001"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918">
        <f t="shared" si="67"/>
        <v>0</v>
      </c>
      <c r="HD29" s="921">
        <f t="shared" si="66"/>
        <v>0</v>
      </c>
      <c r="HE29" s="921">
        <f t="shared" si="66"/>
        <v>0</v>
      </c>
      <c r="HF29" s="920"/>
      <c r="HG29" s="918">
        <f>SUM(SUMIFS(K29:HB29,$K$13:$HB$13,{"エネルギー管理指定工場等*","県域*"}))</f>
        <v>0</v>
      </c>
      <c r="HH29" s="921">
        <f>SUM(SUMIFS(L29:HC29,$K$13:$HB$13,{"エネルギー管理指定工場等*","県域*"}))</f>
        <v>0</v>
      </c>
      <c r="HI29" s="921">
        <f>SUM(SUMIFS(M29:HD29,$K$13:$HB$13,{"エネルギー管理指定工場等*","県域*"}))</f>
        <v>0</v>
      </c>
      <c r="HJ29" s="920"/>
      <c r="HL29" s="908">
        <v>20</v>
      </c>
      <c r="HM29" s="1223" t="str">
        <f t="shared" ca="1" si="49"/>
        <v/>
      </c>
      <c r="HN29" s="1200" t="str">
        <f ca="1">IF(COUNTIF(HN$10:HN28,OFFSET(A1_原単位2027,5,HL29+2))&gt;=1,"",OFFSET(A1_原単位2027,5,HL29+2)&amp;"")</f>
        <v/>
      </c>
      <c r="HO29" s="1204" t="str">
        <f t="shared" ca="1" si="50"/>
        <v/>
      </c>
      <c r="HP29" s="1205" t="str">
        <f t="shared" ca="1" si="51"/>
        <v/>
      </c>
      <c r="HQ29" s="1223" t="str">
        <f t="shared" ca="1" si="52"/>
        <v/>
      </c>
      <c r="HR29" s="1200" t="str">
        <f ca="1">IF(COUNTIF(HR$10:HR28,OFFSET(A1_原単位2027,17,HL29+2))&gt;=1,"",OFFSET(A1_原単位2027,17,HL29+2)&amp;"")</f>
        <v/>
      </c>
      <c r="HS29" s="1212" t="str">
        <f t="shared" ca="1" si="53"/>
        <v/>
      </c>
      <c r="HT29" s="1213" t="str">
        <f t="shared" ca="1" si="54"/>
        <v/>
      </c>
      <c r="HU29" s="1223" t="str">
        <f t="shared" ca="1" si="55"/>
        <v/>
      </c>
      <c r="HV29" s="1200" t="str">
        <f ca="1">IF(COUNTIF(HV$10:HV28,OFFSET(A1_原単位2027,29,HL29+2))&gt;=1,"",OFFSET(A1_原単位2027,29,HL29+2)&amp;"")</f>
        <v/>
      </c>
      <c r="HW29" s="1212" t="str">
        <f t="shared" ca="1" si="56"/>
        <v/>
      </c>
      <c r="HX29" s="1213" t="str">
        <f t="shared" ca="1" si="57"/>
        <v/>
      </c>
      <c r="HY29" s="1223" t="str">
        <f t="shared" ca="1" si="58"/>
        <v/>
      </c>
      <c r="HZ29" s="1200" t="str">
        <f ca="1">IF(COUNTIF(HZ$10:HZ28,OFFSET(A1_原単位2027,41,HL29+2))&gt;=1,"",OFFSET(A1_原単位2027,41,HL29+2)&amp;"")</f>
        <v/>
      </c>
      <c r="IA29" s="1215" t="str">
        <f t="shared" ca="1" si="59"/>
        <v/>
      </c>
      <c r="IB29" s="1216" t="str">
        <f t="shared" ca="1" si="60"/>
        <v/>
      </c>
      <c r="IE29" s="882" t="str">
        <f t="shared" ca="1" si="61"/>
        <v/>
      </c>
      <c r="IF29" s="882" t="str">
        <f t="shared" ca="1" si="62"/>
        <v/>
      </c>
      <c r="IG29" s="882" t="str">
        <f t="shared" ca="1" si="63"/>
        <v/>
      </c>
      <c r="IH29" s="882" t="str">
        <f t="shared" ca="1" si="64"/>
        <v/>
      </c>
    </row>
    <row r="30" spans="2:242" s="889" customFormat="1" ht="20.100000000000001"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918">
        <f t="shared" si="67"/>
        <v>0</v>
      </c>
      <c r="HD30" s="921">
        <f t="shared" si="66"/>
        <v>0</v>
      </c>
      <c r="HE30" s="921">
        <f t="shared" si="66"/>
        <v>0</v>
      </c>
      <c r="HF30" s="920"/>
      <c r="HG30" s="918">
        <f>SUM(SUMIFS(K30:HB30,$K$13:$HB$13,{"エネルギー管理指定工場等*","県域*"}))</f>
        <v>0</v>
      </c>
      <c r="HH30" s="921">
        <f>SUM(SUMIFS(L30:HC30,$K$13:$HB$13,{"エネルギー管理指定工場等*","県域*"}))</f>
        <v>0</v>
      </c>
      <c r="HI30" s="921">
        <f>SUM(SUMIFS(M30:HD30,$K$13:$HB$13,{"エネルギー管理指定工場等*","県域*"}))</f>
        <v>0</v>
      </c>
      <c r="HJ30" s="920"/>
      <c r="HL30" s="907">
        <v>21</v>
      </c>
      <c r="HM30" s="1223" t="str">
        <f t="shared" ca="1" si="49"/>
        <v/>
      </c>
      <c r="HN30" s="1200" t="str">
        <f ca="1">IF(COUNTIF(HN$10:HN29,OFFSET(A1_原単位2027,5,HL30+2))&gt;=1,"",OFFSET(A1_原単位2027,5,HL30+2)&amp;"")</f>
        <v/>
      </c>
      <c r="HO30" s="1204" t="str">
        <f t="shared" ca="1" si="50"/>
        <v/>
      </c>
      <c r="HP30" s="1205" t="str">
        <f t="shared" ca="1" si="51"/>
        <v/>
      </c>
      <c r="HQ30" s="1223" t="str">
        <f t="shared" ca="1" si="52"/>
        <v/>
      </c>
      <c r="HR30" s="1200" t="str">
        <f ca="1">IF(COUNTIF(HR$10:HR29,OFFSET(A1_原単位2027,17,HL30+2))&gt;=1,"",OFFSET(A1_原単位2027,17,HL30+2)&amp;"")</f>
        <v/>
      </c>
      <c r="HS30" s="1212" t="str">
        <f t="shared" ca="1" si="53"/>
        <v/>
      </c>
      <c r="HT30" s="1213" t="str">
        <f t="shared" ca="1" si="54"/>
        <v/>
      </c>
      <c r="HU30" s="1223" t="str">
        <f t="shared" ca="1" si="55"/>
        <v/>
      </c>
      <c r="HV30" s="1200" t="str">
        <f ca="1">IF(COUNTIF(HV$10:HV29,OFFSET(A1_原単位2027,29,HL30+2))&gt;=1,"",OFFSET(A1_原単位2027,29,HL30+2)&amp;"")</f>
        <v/>
      </c>
      <c r="HW30" s="1212" t="str">
        <f t="shared" ca="1" si="56"/>
        <v/>
      </c>
      <c r="HX30" s="1213" t="str">
        <f t="shared" ca="1" si="57"/>
        <v/>
      </c>
      <c r="HY30" s="1223" t="str">
        <f t="shared" ca="1" si="58"/>
        <v/>
      </c>
      <c r="HZ30" s="1200" t="str">
        <f ca="1">IF(COUNTIF(HZ$10:HZ29,OFFSET(A1_原単位2027,41,HL30+2))&gt;=1,"",OFFSET(A1_原単位2027,41,HL30+2)&amp;"")</f>
        <v/>
      </c>
      <c r="IA30" s="1215" t="str">
        <f t="shared" ca="1" si="59"/>
        <v/>
      </c>
      <c r="IB30" s="1216" t="str">
        <f t="shared" ca="1" si="60"/>
        <v/>
      </c>
      <c r="IE30" s="882" t="str">
        <f t="shared" ca="1" si="61"/>
        <v/>
      </c>
      <c r="IF30" s="882" t="str">
        <f t="shared" ca="1" si="62"/>
        <v/>
      </c>
      <c r="IG30" s="882" t="str">
        <f t="shared" ca="1" si="63"/>
        <v/>
      </c>
      <c r="IH30" s="882" t="str">
        <f t="shared" ca="1" si="64"/>
        <v/>
      </c>
    </row>
    <row r="31" spans="2:242" s="889" customFormat="1" ht="20.100000000000001"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918">
        <f t="shared" si="67"/>
        <v>0</v>
      </c>
      <c r="HD31" s="921">
        <f t="shared" si="66"/>
        <v>0</v>
      </c>
      <c r="HE31" s="921">
        <f t="shared" si="66"/>
        <v>0</v>
      </c>
      <c r="HF31" s="920"/>
      <c r="HG31" s="918">
        <f>SUM(SUMIFS(K31:HB31,$K$13:$HB$13,{"エネルギー管理指定工場等*","県域*"}))</f>
        <v>0</v>
      </c>
      <c r="HH31" s="921">
        <f>SUM(SUMIFS(L31:HC31,$K$13:$HB$13,{"エネルギー管理指定工場等*","県域*"}))</f>
        <v>0</v>
      </c>
      <c r="HI31" s="921">
        <f>SUM(SUMIFS(M31:HD31,$K$13:$HB$13,{"エネルギー管理指定工場等*","県域*"}))</f>
        <v>0</v>
      </c>
      <c r="HJ31" s="920"/>
      <c r="HL31" s="907">
        <v>22</v>
      </c>
      <c r="HM31" s="1223" t="str">
        <f t="shared" ca="1" si="49"/>
        <v/>
      </c>
      <c r="HN31" s="1200" t="str">
        <f ca="1">IF(COUNTIF(HN$10:HN30,OFFSET(A1_原単位2027,5,HL31+2))&gt;=1,"",OFFSET(A1_原単位2027,5,HL31+2)&amp;"")</f>
        <v/>
      </c>
      <c r="HO31" s="1204" t="str">
        <f t="shared" ca="1" si="50"/>
        <v/>
      </c>
      <c r="HP31" s="1205" t="str">
        <f t="shared" ca="1" si="51"/>
        <v/>
      </c>
      <c r="HQ31" s="1223" t="str">
        <f t="shared" ca="1" si="52"/>
        <v/>
      </c>
      <c r="HR31" s="1200" t="str">
        <f ca="1">IF(COUNTIF(HR$10:HR30,OFFSET(A1_原単位2027,17,HL31+2))&gt;=1,"",OFFSET(A1_原単位2027,17,HL31+2)&amp;"")</f>
        <v/>
      </c>
      <c r="HS31" s="1212" t="str">
        <f t="shared" ca="1" si="53"/>
        <v/>
      </c>
      <c r="HT31" s="1213" t="str">
        <f t="shared" ca="1" si="54"/>
        <v/>
      </c>
      <c r="HU31" s="1223" t="str">
        <f t="shared" ca="1" si="55"/>
        <v/>
      </c>
      <c r="HV31" s="1200" t="str">
        <f ca="1">IF(COUNTIF(HV$10:HV30,OFFSET(A1_原単位2027,29,HL31+2))&gt;=1,"",OFFSET(A1_原単位2027,29,HL31+2)&amp;"")</f>
        <v/>
      </c>
      <c r="HW31" s="1212" t="str">
        <f t="shared" ca="1" si="56"/>
        <v/>
      </c>
      <c r="HX31" s="1213" t="str">
        <f t="shared" ca="1" si="57"/>
        <v/>
      </c>
      <c r="HY31" s="1223" t="str">
        <f t="shared" ca="1" si="58"/>
        <v/>
      </c>
      <c r="HZ31" s="1200" t="str">
        <f ca="1">IF(COUNTIF(HZ$10:HZ30,OFFSET(A1_原単位2027,41,HL31+2))&gt;=1,"",OFFSET(A1_原単位2027,41,HL31+2)&amp;"")</f>
        <v/>
      </c>
      <c r="IA31" s="1215" t="str">
        <f t="shared" ca="1" si="59"/>
        <v/>
      </c>
      <c r="IB31" s="1216" t="str">
        <f t="shared" ca="1" si="60"/>
        <v/>
      </c>
      <c r="IE31" s="882" t="str">
        <f t="shared" ca="1" si="61"/>
        <v/>
      </c>
      <c r="IF31" s="882" t="str">
        <f t="shared" ca="1" si="62"/>
        <v/>
      </c>
      <c r="IG31" s="882" t="str">
        <f t="shared" ca="1" si="63"/>
        <v/>
      </c>
      <c r="IH31" s="882" t="str">
        <f t="shared" ca="1" si="64"/>
        <v/>
      </c>
    </row>
    <row r="32" spans="2:242" s="889" customFormat="1" ht="20.100000000000001"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918">
        <f t="shared" si="67"/>
        <v>0</v>
      </c>
      <c r="HD32" s="921">
        <f t="shared" si="66"/>
        <v>0</v>
      </c>
      <c r="HE32" s="921">
        <f t="shared" si="66"/>
        <v>0</v>
      </c>
      <c r="HF32" s="920"/>
      <c r="HG32" s="918">
        <f>SUM(SUMIFS(K32:HB32,$K$13:$HB$13,{"エネルギー管理指定工場等*","県域*"}))</f>
        <v>0</v>
      </c>
      <c r="HH32" s="921">
        <f>SUM(SUMIFS(L32:HC32,$K$13:$HB$13,{"エネルギー管理指定工場等*","県域*"}))</f>
        <v>0</v>
      </c>
      <c r="HI32" s="921">
        <f>SUM(SUMIFS(M32:HD32,$K$13:$HB$13,{"エネルギー管理指定工場等*","県域*"}))</f>
        <v>0</v>
      </c>
      <c r="HJ32" s="920"/>
      <c r="HL32" s="908">
        <v>23</v>
      </c>
      <c r="HM32" s="1223" t="str">
        <f t="shared" ca="1" si="49"/>
        <v/>
      </c>
      <c r="HN32" s="1200" t="str">
        <f ca="1">IF(COUNTIF(HN$10:HN31,OFFSET(A1_原単位2027,5,HL32+2))&gt;=1,"",OFFSET(A1_原単位2027,5,HL32+2)&amp;"")</f>
        <v/>
      </c>
      <c r="HO32" s="1204" t="str">
        <f t="shared" ca="1" si="50"/>
        <v/>
      </c>
      <c r="HP32" s="1205" t="str">
        <f t="shared" ca="1" si="51"/>
        <v/>
      </c>
      <c r="HQ32" s="1223" t="str">
        <f t="shared" ca="1" si="52"/>
        <v/>
      </c>
      <c r="HR32" s="1200" t="str">
        <f ca="1">IF(COUNTIF(HR$10:HR31,OFFSET(A1_原単位2027,17,HL32+2))&gt;=1,"",OFFSET(A1_原単位2027,17,HL32+2)&amp;"")</f>
        <v/>
      </c>
      <c r="HS32" s="1212" t="str">
        <f t="shared" ca="1" si="53"/>
        <v/>
      </c>
      <c r="HT32" s="1213" t="str">
        <f t="shared" ca="1" si="54"/>
        <v/>
      </c>
      <c r="HU32" s="1223" t="str">
        <f t="shared" ca="1" si="55"/>
        <v/>
      </c>
      <c r="HV32" s="1200" t="str">
        <f ca="1">IF(COUNTIF(HV$10:HV31,OFFSET(A1_原単位2027,29,HL32+2))&gt;=1,"",OFFSET(A1_原単位2027,29,HL32+2)&amp;"")</f>
        <v/>
      </c>
      <c r="HW32" s="1212" t="str">
        <f t="shared" ca="1" si="56"/>
        <v/>
      </c>
      <c r="HX32" s="1213" t="str">
        <f t="shared" ca="1" si="57"/>
        <v/>
      </c>
      <c r="HY32" s="1223" t="str">
        <f t="shared" ca="1" si="58"/>
        <v/>
      </c>
      <c r="HZ32" s="1200" t="str">
        <f ca="1">IF(COUNTIF(HZ$10:HZ31,OFFSET(A1_原単位2027,41,HL32+2))&gt;=1,"",OFFSET(A1_原単位2027,41,HL32+2)&amp;"")</f>
        <v/>
      </c>
      <c r="IA32" s="1215" t="str">
        <f t="shared" ca="1" si="59"/>
        <v/>
      </c>
      <c r="IB32" s="1216" t="str">
        <f t="shared" ca="1" si="60"/>
        <v/>
      </c>
      <c r="IE32" s="882" t="str">
        <f t="shared" ca="1" si="61"/>
        <v/>
      </c>
      <c r="IF32" s="882" t="str">
        <f t="shared" ca="1" si="62"/>
        <v/>
      </c>
      <c r="IG32" s="882" t="str">
        <f t="shared" ca="1" si="63"/>
        <v/>
      </c>
      <c r="IH32" s="882" t="str">
        <f t="shared" ca="1" si="64"/>
        <v/>
      </c>
    </row>
    <row r="33" spans="2:242" s="889" customFormat="1" ht="20.100000000000001"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918">
        <f t="shared" si="67"/>
        <v>0</v>
      </c>
      <c r="HD33" s="921">
        <f t="shared" si="67"/>
        <v>0</v>
      </c>
      <c r="HE33" s="921">
        <f t="shared" si="67"/>
        <v>0</v>
      </c>
      <c r="HF33" s="920"/>
      <c r="HG33" s="918">
        <f>SUM(SUMIFS(K33:HB33,$K$13:$HB$13,{"エネルギー管理指定工場等*","県域*"}))</f>
        <v>0</v>
      </c>
      <c r="HH33" s="921">
        <f>SUM(SUMIFS(L33:HC33,$K$13:$HB$13,{"エネルギー管理指定工場等*","県域*"}))</f>
        <v>0</v>
      </c>
      <c r="HI33" s="921">
        <f>SUM(SUMIFS(M33:HD33,$K$13:$HB$13,{"エネルギー管理指定工場等*","県域*"}))</f>
        <v>0</v>
      </c>
      <c r="HJ33" s="920"/>
      <c r="HL33" s="907">
        <v>24</v>
      </c>
      <c r="HM33" s="1223" t="str">
        <f t="shared" ca="1" si="49"/>
        <v/>
      </c>
      <c r="HN33" s="1200" t="str">
        <f ca="1">IF(COUNTIF(HN$10:HN32,OFFSET(A1_原単位2027,5,HL33+2))&gt;=1,"",OFFSET(A1_原単位2027,5,HL33+2)&amp;"")</f>
        <v/>
      </c>
      <c r="HO33" s="1204" t="str">
        <f t="shared" ca="1" si="50"/>
        <v/>
      </c>
      <c r="HP33" s="1205" t="str">
        <f t="shared" ca="1" si="51"/>
        <v/>
      </c>
      <c r="HQ33" s="1223" t="str">
        <f t="shared" ca="1" si="52"/>
        <v/>
      </c>
      <c r="HR33" s="1200" t="str">
        <f ca="1">IF(COUNTIF(HR$10:HR32,OFFSET(A1_原単位2027,17,HL33+2))&gt;=1,"",OFFSET(A1_原単位2027,17,HL33+2)&amp;"")</f>
        <v/>
      </c>
      <c r="HS33" s="1212" t="str">
        <f t="shared" ca="1" si="53"/>
        <v/>
      </c>
      <c r="HT33" s="1213" t="str">
        <f t="shared" ca="1" si="54"/>
        <v/>
      </c>
      <c r="HU33" s="1223" t="str">
        <f t="shared" ca="1" si="55"/>
        <v/>
      </c>
      <c r="HV33" s="1200" t="str">
        <f ca="1">IF(COUNTIF(HV$10:HV32,OFFSET(A1_原単位2027,29,HL33+2))&gt;=1,"",OFFSET(A1_原単位2027,29,HL33+2)&amp;"")</f>
        <v/>
      </c>
      <c r="HW33" s="1212" t="str">
        <f t="shared" ca="1" si="56"/>
        <v/>
      </c>
      <c r="HX33" s="1213" t="str">
        <f t="shared" ca="1" si="57"/>
        <v/>
      </c>
      <c r="HY33" s="1223" t="str">
        <f t="shared" ca="1" si="58"/>
        <v/>
      </c>
      <c r="HZ33" s="1200" t="str">
        <f ca="1">IF(COUNTIF(HZ$10:HZ32,OFFSET(A1_原単位2027,41,HL33+2))&gt;=1,"",OFFSET(A1_原単位2027,41,HL33+2)&amp;"")</f>
        <v/>
      </c>
      <c r="IA33" s="1215" t="str">
        <f t="shared" ca="1" si="59"/>
        <v/>
      </c>
      <c r="IB33" s="1216" t="str">
        <f t="shared" ca="1" si="60"/>
        <v/>
      </c>
      <c r="IE33" s="882" t="str">
        <f t="shared" ca="1" si="61"/>
        <v/>
      </c>
      <c r="IF33" s="882" t="str">
        <f t="shared" ca="1" si="62"/>
        <v/>
      </c>
      <c r="IG33" s="882" t="str">
        <f t="shared" ca="1" si="63"/>
        <v/>
      </c>
      <c r="IH33" s="882" t="str">
        <f t="shared" ca="1" si="64"/>
        <v/>
      </c>
    </row>
    <row r="34" spans="2:242" s="889" customFormat="1" ht="20.100000000000001"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918">
        <f t="shared" si="67"/>
        <v>0</v>
      </c>
      <c r="HD34" s="921">
        <f t="shared" si="67"/>
        <v>0</v>
      </c>
      <c r="HE34" s="921">
        <f t="shared" si="67"/>
        <v>0</v>
      </c>
      <c r="HF34" s="920"/>
      <c r="HG34" s="918">
        <f>SUM(SUMIFS(K34:HB34,$K$13:$HB$13,{"エネルギー管理指定工場等*","県域*"}))</f>
        <v>0</v>
      </c>
      <c r="HH34" s="921">
        <f>SUM(SUMIFS(L34:HC34,$K$13:$HB$13,{"エネルギー管理指定工場等*","県域*"}))</f>
        <v>0</v>
      </c>
      <c r="HI34" s="921">
        <f>SUM(SUMIFS(M34:HD34,$K$13:$HB$13,{"エネルギー管理指定工場等*","県域*"}))</f>
        <v>0</v>
      </c>
      <c r="HJ34" s="920"/>
      <c r="HL34" s="908">
        <v>25</v>
      </c>
      <c r="HM34" s="1223" t="str">
        <f t="shared" ca="1" si="49"/>
        <v/>
      </c>
      <c r="HN34" s="1200" t="str">
        <f ca="1">IF(COUNTIF(HN$10:HN33,OFFSET(A1_原単位2027,5,HL34+2))&gt;=1,"",OFFSET(A1_原単位2027,5,HL34+2)&amp;"")</f>
        <v/>
      </c>
      <c r="HO34" s="1204" t="str">
        <f t="shared" ca="1" si="50"/>
        <v/>
      </c>
      <c r="HP34" s="1205" t="str">
        <f t="shared" ca="1" si="51"/>
        <v/>
      </c>
      <c r="HQ34" s="1223" t="str">
        <f t="shared" ca="1" si="52"/>
        <v/>
      </c>
      <c r="HR34" s="1200" t="str">
        <f ca="1">IF(COUNTIF(HR$10:HR33,OFFSET(A1_原単位2027,17,HL34+2))&gt;=1,"",OFFSET(A1_原単位2027,17,HL34+2)&amp;"")</f>
        <v/>
      </c>
      <c r="HS34" s="1212" t="str">
        <f t="shared" ca="1" si="53"/>
        <v/>
      </c>
      <c r="HT34" s="1213" t="str">
        <f t="shared" ca="1" si="54"/>
        <v/>
      </c>
      <c r="HU34" s="1223" t="str">
        <f t="shared" ca="1" si="55"/>
        <v/>
      </c>
      <c r="HV34" s="1200" t="str">
        <f ca="1">IF(COUNTIF(HV$10:HV33,OFFSET(A1_原単位2027,29,HL34+2))&gt;=1,"",OFFSET(A1_原単位2027,29,HL34+2)&amp;"")</f>
        <v/>
      </c>
      <c r="HW34" s="1212" t="str">
        <f t="shared" ca="1" si="56"/>
        <v/>
      </c>
      <c r="HX34" s="1213" t="str">
        <f t="shared" ca="1" si="57"/>
        <v/>
      </c>
      <c r="HY34" s="1223" t="str">
        <f t="shared" ca="1" si="58"/>
        <v/>
      </c>
      <c r="HZ34" s="1200" t="str">
        <f ca="1">IF(COUNTIF(HZ$10:HZ33,OFFSET(A1_原単位2027,41,HL34+2))&gt;=1,"",OFFSET(A1_原単位2027,41,HL34+2)&amp;"")</f>
        <v/>
      </c>
      <c r="IA34" s="1215" t="str">
        <f t="shared" ca="1" si="59"/>
        <v/>
      </c>
      <c r="IB34" s="1216" t="str">
        <f t="shared" ca="1" si="60"/>
        <v/>
      </c>
      <c r="IE34" s="882" t="str">
        <f t="shared" ca="1" si="61"/>
        <v/>
      </c>
      <c r="IF34" s="882" t="str">
        <f t="shared" ca="1" si="62"/>
        <v/>
      </c>
      <c r="IG34" s="882" t="str">
        <f t="shared" ca="1" si="63"/>
        <v/>
      </c>
      <c r="IH34" s="882" t="str">
        <f t="shared" ca="1" si="64"/>
        <v/>
      </c>
    </row>
    <row r="35" spans="2:242" s="889" customFormat="1" ht="20.100000000000001"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918">
        <f t="shared" si="67"/>
        <v>0</v>
      </c>
      <c r="HD35" s="921">
        <f t="shared" si="67"/>
        <v>0</v>
      </c>
      <c r="HE35" s="921">
        <f t="shared" si="67"/>
        <v>0</v>
      </c>
      <c r="HF35" s="920"/>
      <c r="HG35" s="918">
        <f>SUM(SUMIFS(K35:HB35,$K$13:$HB$13,{"エネルギー管理指定工場等*","県域*"}))</f>
        <v>0</v>
      </c>
      <c r="HH35" s="921">
        <f>SUM(SUMIFS(L35:HC35,$K$13:$HB$13,{"エネルギー管理指定工場等*","県域*"}))</f>
        <v>0</v>
      </c>
      <c r="HI35" s="921">
        <f>SUM(SUMIFS(M35:HD35,$K$13:$HB$13,{"エネルギー管理指定工場等*","県域*"}))</f>
        <v>0</v>
      </c>
      <c r="HJ35" s="920"/>
      <c r="HL35" s="907">
        <v>26</v>
      </c>
      <c r="HM35" s="1223" t="str">
        <f t="shared" ca="1" si="49"/>
        <v/>
      </c>
      <c r="HN35" s="1200" t="str">
        <f ca="1">IF(COUNTIF(HN$10:HN34,OFFSET(A1_原単位2027,5,HL35+2))&gt;=1,"",OFFSET(A1_原単位2027,5,HL35+2)&amp;"")</f>
        <v/>
      </c>
      <c r="HO35" s="1204" t="str">
        <f t="shared" ca="1" si="50"/>
        <v/>
      </c>
      <c r="HP35" s="1205" t="str">
        <f t="shared" ca="1" si="51"/>
        <v/>
      </c>
      <c r="HQ35" s="1223" t="str">
        <f t="shared" ca="1" si="52"/>
        <v/>
      </c>
      <c r="HR35" s="1200" t="str">
        <f ca="1">IF(COUNTIF(HR$10:HR34,OFFSET(A1_原単位2027,17,HL35+2))&gt;=1,"",OFFSET(A1_原単位2027,17,HL35+2)&amp;"")</f>
        <v/>
      </c>
      <c r="HS35" s="1212" t="str">
        <f t="shared" ca="1" si="53"/>
        <v/>
      </c>
      <c r="HT35" s="1213" t="str">
        <f t="shared" ca="1" si="54"/>
        <v/>
      </c>
      <c r="HU35" s="1223" t="str">
        <f t="shared" ca="1" si="55"/>
        <v/>
      </c>
      <c r="HV35" s="1200" t="str">
        <f ca="1">IF(COUNTIF(HV$10:HV34,OFFSET(A1_原単位2027,29,HL35+2))&gt;=1,"",OFFSET(A1_原単位2027,29,HL35+2)&amp;"")</f>
        <v/>
      </c>
      <c r="HW35" s="1212" t="str">
        <f t="shared" ca="1" si="56"/>
        <v/>
      </c>
      <c r="HX35" s="1213" t="str">
        <f t="shared" ca="1" si="57"/>
        <v/>
      </c>
      <c r="HY35" s="1223" t="str">
        <f t="shared" ca="1" si="58"/>
        <v/>
      </c>
      <c r="HZ35" s="1200" t="str">
        <f ca="1">IF(COUNTIF(HZ$10:HZ34,OFFSET(A1_原単位2027,41,HL35+2))&gt;=1,"",OFFSET(A1_原単位2027,41,HL35+2)&amp;"")</f>
        <v/>
      </c>
      <c r="IA35" s="1215" t="str">
        <f t="shared" ca="1" si="59"/>
        <v/>
      </c>
      <c r="IB35" s="1216" t="str">
        <f t="shared" ca="1" si="60"/>
        <v/>
      </c>
      <c r="IE35" s="882" t="str">
        <f t="shared" ca="1" si="61"/>
        <v/>
      </c>
      <c r="IF35" s="882" t="str">
        <f t="shared" ca="1" si="62"/>
        <v/>
      </c>
      <c r="IG35" s="882" t="str">
        <f t="shared" ca="1" si="63"/>
        <v/>
      </c>
      <c r="IH35" s="882" t="str">
        <f t="shared" ca="1" si="64"/>
        <v/>
      </c>
    </row>
    <row r="36" spans="2:242" s="889" customFormat="1" ht="20.100000000000001"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918">
        <f t="shared" si="67"/>
        <v>0</v>
      </c>
      <c r="HD36" s="921">
        <f t="shared" si="67"/>
        <v>0</v>
      </c>
      <c r="HE36" s="921">
        <f t="shared" si="67"/>
        <v>0</v>
      </c>
      <c r="HF36" s="920"/>
      <c r="HG36" s="918">
        <f>SUM(SUMIFS(K36:HB36,$K$13:$HB$13,{"エネルギー管理指定工場等*","県域*"}))</f>
        <v>0</v>
      </c>
      <c r="HH36" s="921">
        <f>SUM(SUMIFS(L36:HC36,$K$13:$HB$13,{"エネルギー管理指定工場等*","県域*"}))</f>
        <v>0</v>
      </c>
      <c r="HI36" s="921">
        <f>SUM(SUMIFS(M36:HD36,$K$13:$HB$13,{"エネルギー管理指定工場等*","県域*"}))</f>
        <v>0</v>
      </c>
      <c r="HJ36" s="920"/>
      <c r="HL36" s="908">
        <v>27</v>
      </c>
      <c r="HM36" s="1223" t="str">
        <f t="shared" ca="1" si="49"/>
        <v/>
      </c>
      <c r="HN36" s="1200" t="str">
        <f ca="1">IF(COUNTIF(HN$10:HN35,OFFSET(A1_原単位2027,5,HL36+2))&gt;=1,"",OFFSET(A1_原単位2027,5,HL36+2)&amp;"")</f>
        <v/>
      </c>
      <c r="HO36" s="1204" t="str">
        <f t="shared" ca="1" si="50"/>
        <v/>
      </c>
      <c r="HP36" s="1205" t="str">
        <f t="shared" ca="1" si="51"/>
        <v/>
      </c>
      <c r="HQ36" s="1223" t="str">
        <f t="shared" ca="1" si="52"/>
        <v/>
      </c>
      <c r="HR36" s="1200" t="str">
        <f ca="1">IF(COUNTIF(HR$10:HR35,OFFSET(A1_原単位2027,17,HL36+2))&gt;=1,"",OFFSET(A1_原単位2027,17,HL36+2)&amp;"")</f>
        <v/>
      </c>
      <c r="HS36" s="1212" t="str">
        <f t="shared" ca="1" si="53"/>
        <v/>
      </c>
      <c r="HT36" s="1213" t="str">
        <f t="shared" ca="1" si="54"/>
        <v/>
      </c>
      <c r="HU36" s="1223" t="str">
        <f t="shared" ca="1" si="55"/>
        <v/>
      </c>
      <c r="HV36" s="1200" t="str">
        <f ca="1">IF(COUNTIF(HV$10:HV35,OFFSET(A1_原単位2027,29,HL36+2))&gt;=1,"",OFFSET(A1_原単位2027,29,HL36+2)&amp;"")</f>
        <v/>
      </c>
      <c r="HW36" s="1212" t="str">
        <f t="shared" ca="1" si="56"/>
        <v/>
      </c>
      <c r="HX36" s="1213" t="str">
        <f t="shared" ca="1" si="57"/>
        <v/>
      </c>
      <c r="HY36" s="1223" t="str">
        <f t="shared" ca="1" si="58"/>
        <v/>
      </c>
      <c r="HZ36" s="1200" t="str">
        <f ca="1">IF(COUNTIF(HZ$10:HZ35,OFFSET(A1_原単位2027,41,HL36+2))&gt;=1,"",OFFSET(A1_原単位2027,41,HL36+2)&amp;"")</f>
        <v/>
      </c>
      <c r="IA36" s="1215" t="str">
        <f t="shared" ca="1" si="59"/>
        <v/>
      </c>
      <c r="IB36" s="1216" t="str">
        <f t="shared" ca="1" si="60"/>
        <v/>
      </c>
      <c r="IE36" s="882" t="str">
        <f t="shared" ca="1" si="61"/>
        <v/>
      </c>
      <c r="IF36" s="882" t="str">
        <f t="shared" ca="1" si="62"/>
        <v/>
      </c>
      <c r="IG36" s="882" t="str">
        <f t="shared" ca="1" si="63"/>
        <v/>
      </c>
      <c r="IH36" s="882" t="str">
        <f t="shared" ca="1" si="64"/>
        <v/>
      </c>
    </row>
    <row r="37" spans="2:242" s="889" customFormat="1" ht="20.100000000000001"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918">
        <f t="shared" si="67"/>
        <v>0</v>
      </c>
      <c r="HD37" s="921">
        <f t="shared" si="67"/>
        <v>0</v>
      </c>
      <c r="HE37" s="921">
        <f t="shared" si="67"/>
        <v>0</v>
      </c>
      <c r="HF37" s="920"/>
      <c r="HG37" s="918">
        <f>SUM(SUMIFS(K37:HB37,$K$13:$HB$13,{"エネルギー管理指定工場等*","県域*"}))</f>
        <v>0</v>
      </c>
      <c r="HH37" s="921">
        <f>SUM(SUMIFS(L37:HC37,$K$13:$HB$13,{"エネルギー管理指定工場等*","県域*"}))</f>
        <v>0</v>
      </c>
      <c r="HI37" s="921">
        <f>SUM(SUMIFS(M37:HD37,$K$13:$HB$13,{"エネルギー管理指定工場等*","県域*"}))</f>
        <v>0</v>
      </c>
      <c r="HJ37" s="920"/>
      <c r="HL37" s="907">
        <v>28</v>
      </c>
      <c r="HM37" s="1223" t="str">
        <f t="shared" ca="1" si="49"/>
        <v/>
      </c>
      <c r="HN37" s="1200" t="str">
        <f ca="1">IF(COUNTIF(HN$10:HN36,OFFSET(A1_原単位2027,5,HL37+2))&gt;=1,"",OFFSET(A1_原単位2027,5,HL37+2)&amp;"")</f>
        <v/>
      </c>
      <c r="HO37" s="1204" t="str">
        <f t="shared" ca="1" si="50"/>
        <v/>
      </c>
      <c r="HP37" s="1205" t="str">
        <f t="shared" ca="1" si="51"/>
        <v/>
      </c>
      <c r="HQ37" s="1223" t="str">
        <f t="shared" ca="1" si="52"/>
        <v/>
      </c>
      <c r="HR37" s="1200" t="str">
        <f ca="1">IF(COUNTIF(HR$10:HR36,OFFSET(A1_原単位2027,17,HL37+2))&gt;=1,"",OFFSET(A1_原単位2027,17,HL37+2)&amp;"")</f>
        <v/>
      </c>
      <c r="HS37" s="1212" t="str">
        <f t="shared" ca="1" si="53"/>
        <v/>
      </c>
      <c r="HT37" s="1213" t="str">
        <f t="shared" ca="1" si="54"/>
        <v/>
      </c>
      <c r="HU37" s="1223" t="str">
        <f t="shared" ca="1" si="55"/>
        <v/>
      </c>
      <c r="HV37" s="1200" t="str">
        <f ca="1">IF(COUNTIF(HV$10:HV36,OFFSET(A1_原単位2027,29,HL37+2))&gt;=1,"",OFFSET(A1_原単位2027,29,HL37+2)&amp;"")</f>
        <v/>
      </c>
      <c r="HW37" s="1212" t="str">
        <f t="shared" ca="1" si="56"/>
        <v/>
      </c>
      <c r="HX37" s="1213" t="str">
        <f t="shared" ca="1" si="57"/>
        <v/>
      </c>
      <c r="HY37" s="1223" t="str">
        <f t="shared" ca="1" si="58"/>
        <v/>
      </c>
      <c r="HZ37" s="1200" t="str">
        <f ca="1">IF(COUNTIF(HZ$10:HZ36,OFFSET(A1_原単位2027,41,HL37+2))&gt;=1,"",OFFSET(A1_原単位2027,41,HL37+2)&amp;"")</f>
        <v/>
      </c>
      <c r="IA37" s="1215" t="str">
        <f t="shared" ca="1" si="59"/>
        <v/>
      </c>
      <c r="IB37" s="1216" t="str">
        <f t="shared" ca="1" si="60"/>
        <v/>
      </c>
      <c r="IE37" s="882" t="str">
        <f t="shared" ca="1" si="61"/>
        <v/>
      </c>
      <c r="IF37" s="882" t="str">
        <f t="shared" ca="1" si="62"/>
        <v/>
      </c>
      <c r="IG37" s="882" t="str">
        <f t="shared" ca="1" si="63"/>
        <v/>
      </c>
      <c r="IH37" s="882" t="str">
        <f t="shared" ca="1" si="64"/>
        <v/>
      </c>
    </row>
    <row r="38" spans="2:242" s="889" customFormat="1" ht="20.100000000000001"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918">
        <f t="shared" si="67"/>
        <v>0</v>
      </c>
      <c r="HD38" s="921">
        <f t="shared" si="67"/>
        <v>0</v>
      </c>
      <c r="HE38" s="921">
        <f t="shared" si="67"/>
        <v>0</v>
      </c>
      <c r="HF38" s="920"/>
      <c r="HG38" s="918">
        <f>SUM(SUMIFS(K38:HB38,$K$13:$HB$13,{"エネルギー管理指定工場等*","県域*"}))</f>
        <v>0</v>
      </c>
      <c r="HH38" s="921">
        <f>SUM(SUMIFS(L38:HC38,$K$13:$HB$13,{"エネルギー管理指定工場等*","県域*"}))</f>
        <v>0</v>
      </c>
      <c r="HI38" s="921">
        <f>SUM(SUMIFS(M38:HD38,$K$13:$HB$13,{"エネルギー管理指定工場等*","県域*"}))</f>
        <v>0</v>
      </c>
      <c r="HJ38" s="920"/>
      <c r="HL38" s="907">
        <v>29</v>
      </c>
      <c r="HM38" s="1223" t="str">
        <f t="shared" ca="1" si="49"/>
        <v/>
      </c>
      <c r="HN38" s="1200" t="str">
        <f ca="1">IF(COUNTIF(HN$10:HN37,OFFSET(A1_原単位2027,5,HL38+2))&gt;=1,"",OFFSET(A1_原単位2027,5,HL38+2)&amp;"")</f>
        <v/>
      </c>
      <c r="HO38" s="1204" t="str">
        <f t="shared" ca="1" si="50"/>
        <v/>
      </c>
      <c r="HP38" s="1205" t="str">
        <f t="shared" ca="1" si="51"/>
        <v/>
      </c>
      <c r="HQ38" s="1223" t="str">
        <f t="shared" ca="1" si="52"/>
        <v/>
      </c>
      <c r="HR38" s="1200" t="str">
        <f ca="1">IF(COUNTIF(HR$10:HR37,OFFSET(A1_原単位2027,17,HL38+2))&gt;=1,"",OFFSET(A1_原単位2027,17,HL38+2)&amp;"")</f>
        <v/>
      </c>
      <c r="HS38" s="1212" t="str">
        <f t="shared" ca="1" si="53"/>
        <v/>
      </c>
      <c r="HT38" s="1213" t="str">
        <f t="shared" ca="1" si="54"/>
        <v/>
      </c>
      <c r="HU38" s="1223" t="str">
        <f t="shared" ca="1" si="55"/>
        <v/>
      </c>
      <c r="HV38" s="1200" t="str">
        <f ca="1">IF(COUNTIF(HV$10:HV37,OFFSET(A1_原単位2027,29,HL38+2))&gt;=1,"",OFFSET(A1_原単位2027,29,HL38+2)&amp;"")</f>
        <v/>
      </c>
      <c r="HW38" s="1212" t="str">
        <f t="shared" ca="1" si="56"/>
        <v/>
      </c>
      <c r="HX38" s="1213" t="str">
        <f t="shared" ca="1" si="57"/>
        <v/>
      </c>
      <c r="HY38" s="1223" t="str">
        <f t="shared" ca="1" si="58"/>
        <v/>
      </c>
      <c r="HZ38" s="1200" t="str">
        <f ca="1">IF(COUNTIF(HZ$10:HZ37,OFFSET(A1_原単位2027,41,HL38+2))&gt;=1,"",OFFSET(A1_原単位2027,41,HL38+2)&amp;"")</f>
        <v/>
      </c>
      <c r="IA38" s="1215" t="str">
        <f t="shared" ca="1" si="59"/>
        <v/>
      </c>
      <c r="IB38" s="1216" t="str">
        <f t="shared" ca="1" si="60"/>
        <v/>
      </c>
      <c r="IE38" s="882" t="str">
        <f t="shared" ca="1" si="61"/>
        <v/>
      </c>
      <c r="IF38" s="882" t="str">
        <f t="shared" ca="1" si="62"/>
        <v/>
      </c>
      <c r="IG38" s="882" t="str">
        <f t="shared" ca="1" si="63"/>
        <v/>
      </c>
      <c r="IH38" s="882" t="str">
        <f t="shared" ca="1" si="64"/>
        <v/>
      </c>
    </row>
    <row r="39" spans="2:242" s="889" customFormat="1" ht="20.100000000000001"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918">
        <f t="shared" si="67"/>
        <v>0</v>
      </c>
      <c r="HD39" s="921">
        <f t="shared" si="67"/>
        <v>0</v>
      </c>
      <c r="HE39" s="921">
        <f t="shared" si="67"/>
        <v>0</v>
      </c>
      <c r="HF39" s="920"/>
      <c r="HG39" s="918">
        <f>SUM(SUMIFS(K39:HB39,$K$13:$HB$13,{"エネルギー管理指定工場等*","県域*"}))</f>
        <v>0</v>
      </c>
      <c r="HH39" s="921">
        <f>SUM(SUMIFS(L39:HC39,$K$13:$HB$13,{"エネルギー管理指定工場等*","県域*"}))</f>
        <v>0</v>
      </c>
      <c r="HI39" s="921">
        <f>SUM(SUMIFS(M39:HD39,$K$13:$HB$13,{"エネルギー管理指定工場等*","県域*"}))</f>
        <v>0</v>
      </c>
      <c r="HJ39" s="920"/>
      <c r="HL39" s="908">
        <v>30</v>
      </c>
      <c r="HM39" s="1223" t="str">
        <f t="shared" ca="1" si="49"/>
        <v/>
      </c>
      <c r="HN39" s="1200" t="str">
        <f ca="1">IF(COUNTIF(HN$10:HN38,OFFSET(A1_原単位2027,5,HL39+2))&gt;=1,"",OFFSET(A1_原単位2027,5,HL39+2)&amp;"")</f>
        <v/>
      </c>
      <c r="HO39" s="1204" t="str">
        <f t="shared" ca="1" si="50"/>
        <v/>
      </c>
      <c r="HP39" s="1205" t="str">
        <f t="shared" ca="1" si="51"/>
        <v/>
      </c>
      <c r="HQ39" s="1223" t="str">
        <f t="shared" ca="1" si="52"/>
        <v/>
      </c>
      <c r="HR39" s="1200" t="str">
        <f ca="1">IF(COUNTIF(HR$10:HR38,OFFSET(A1_原単位2027,17,HL39+2))&gt;=1,"",OFFSET(A1_原単位2027,17,HL39+2)&amp;"")</f>
        <v/>
      </c>
      <c r="HS39" s="1212" t="str">
        <f t="shared" ca="1" si="53"/>
        <v/>
      </c>
      <c r="HT39" s="1213" t="str">
        <f t="shared" ca="1" si="54"/>
        <v/>
      </c>
      <c r="HU39" s="1223" t="str">
        <f t="shared" ca="1" si="55"/>
        <v/>
      </c>
      <c r="HV39" s="1200" t="str">
        <f ca="1">IF(COUNTIF(HV$10:HV38,OFFSET(A1_原単位2027,29,HL39+2))&gt;=1,"",OFFSET(A1_原単位2027,29,HL39+2)&amp;"")</f>
        <v/>
      </c>
      <c r="HW39" s="1212" t="str">
        <f t="shared" ca="1" si="56"/>
        <v/>
      </c>
      <c r="HX39" s="1213" t="str">
        <f t="shared" ca="1" si="57"/>
        <v/>
      </c>
      <c r="HY39" s="1223" t="str">
        <f t="shared" ca="1" si="58"/>
        <v/>
      </c>
      <c r="HZ39" s="1200" t="str">
        <f ca="1">IF(COUNTIF(HZ$10:HZ38,OFFSET(A1_原単位2027,41,HL39+2))&gt;=1,"",OFFSET(A1_原単位2027,41,HL39+2)&amp;"")</f>
        <v/>
      </c>
      <c r="IA39" s="1215" t="str">
        <f t="shared" ca="1" si="59"/>
        <v/>
      </c>
      <c r="IB39" s="1216" t="str">
        <f t="shared" ca="1" si="60"/>
        <v/>
      </c>
      <c r="IE39" s="882" t="str">
        <f t="shared" ca="1" si="61"/>
        <v/>
      </c>
      <c r="IF39" s="882" t="str">
        <f t="shared" ca="1" si="62"/>
        <v/>
      </c>
      <c r="IG39" s="882" t="str">
        <f t="shared" ca="1" si="63"/>
        <v/>
      </c>
      <c r="IH39" s="882" t="str">
        <f t="shared" ca="1" si="64"/>
        <v/>
      </c>
    </row>
    <row r="40" spans="2:242" s="889" customFormat="1" ht="20.100000000000001"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918">
        <f t="shared" si="67"/>
        <v>0</v>
      </c>
      <c r="HD40" s="921">
        <f t="shared" si="67"/>
        <v>0</v>
      </c>
      <c r="HE40" s="921">
        <f t="shared" si="67"/>
        <v>0</v>
      </c>
      <c r="HF40" s="920"/>
      <c r="HG40" s="918">
        <f>SUM(SUMIFS(K40:HB40,$K$13:$HB$13,{"エネルギー管理指定工場等*","県域*"}))</f>
        <v>0</v>
      </c>
      <c r="HH40" s="921">
        <f>SUM(SUMIFS(L40:HC40,$K$13:$HB$13,{"エネルギー管理指定工場等*","県域*"}))</f>
        <v>0</v>
      </c>
      <c r="HI40" s="921">
        <f>SUM(SUMIFS(M40:HD40,$K$13:$HB$13,{"エネルギー管理指定工場等*","県域*"}))</f>
        <v>0</v>
      </c>
      <c r="HJ40" s="920"/>
      <c r="HL40" s="907">
        <v>31</v>
      </c>
      <c r="HM40" s="1223" t="str">
        <f t="shared" ca="1" si="49"/>
        <v/>
      </c>
      <c r="HN40" s="1200" t="str">
        <f ca="1">IF(COUNTIF(HN$10:HN39,OFFSET(A1_原単位2027,5,HL40+2))&gt;=1,"",OFFSET(A1_原単位2027,5,HL40+2)&amp;"")</f>
        <v/>
      </c>
      <c r="HO40" s="1204" t="str">
        <f t="shared" ca="1" si="50"/>
        <v/>
      </c>
      <c r="HP40" s="1205" t="str">
        <f t="shared" ca="1" si="51"/>
        <v/>
      </c>
      <c r="HQ40" s="1223" t="str">
        <f t="shared" ca="1" si="52"/>
        <v/>
      </c>
      <c r="HR40" s="1200" t="str">
        <f ca="1">IF(COUNTIF(HR$10:HR39,OFFSET(A1_原単位2027,17,HL40+2))&gt;=1,"",OFFSET(A1_原単位2027,17,HL40+2)&amp;"")</f>
        <v/>
      </c>
      <c r="HS40" s="1212" t="str">
        <f t="shared" ca="1" si="53"/>
        <v/>
      </c>
      <c r="HT40" s="1213" t="str">
        <f t="shared" ca="1" si="54"/>
        <v/>
      </c>
      <c r="HU40" s="1223" t="str">
        <f t="shared" ca="1" si="55"/>
        <v/>
      </c>
      <c r="HV40" s="1200" t="str">
        <f ca="1">IF(COUNTIF(HV$10:HV39,OFFSET(A1_原単位2027,29,HL40+2))&gt;=1,"",OFFSET(A1_原単位2027,29,HL40+2)&amp;"")</f>
        <v/>
      </c>
      <c r="HW40" s="1212" t="str">
        <f t="shared" ca="1" si="56"/>
        <v/>
      </c>
      <c r="HX40" s="1213" t="str">
        <f t="shared" ca="1" si="57"/>
        <v/>
      </c>
      <c r="HY40" s="1223" t="str">
        <f t="shared" ca="1" si="58"/>
        <v/>
      </c>
      <c r="HZ40" s="1200" t="str">
        <f ca="1">IF(COUNTIF(HZ$10:HZ39,OFFSET(A1_原単位2027,41,HL40+2))&gt;=1,"",OFFSET(A1_原単位2027,41,HL40+2)&amp;"")</f>
        <v/>
      </c>
      <c r="IA40" s="1215" t="str">
        <f t="shared" ca="1" si="59"/>
        <v/>
      </c>
      <c r="IB40" s="1216" t="str">
        <f t="shared" ca="1" si="60"/>
        <v/>
      </c>
      <c r="IE40" s="882" t="str">
        <f t="shared" ca="1" si="61"/>
        <v/>
      </c>
      <c r="IF40" s="882" t="str">
        <f t="shared" ca="1" si="62"/>
        <v/>
      </c>
      <c r="IG40" s="882" t="str">
        <f t="shared" ca="1" si="63"/>
        <v/>
      </c>
      <c r="IH40" s="882" t="str">
        <f t="shared" ca="1" si="64"/>
        <v/>
      </c>
    </row>
    <row r="41" spans="2:242" s="889" customFormat="1" ht="20.100000000000001"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918">
        <f t="shared" si="67"/>
        <v>0</v>
      </c>
      <c r="HD41" s="921">
        <f t="shared" si="67"/>
        <v>0</v>
      </c>
      <c r="HE41" s="921">
        <f t="shared" si="67"/>
        <v>0</v>
      </c>
      <c r="HF41" s="920"/>
      <c r="HG41" s="918">
        <f>SUM(SUMIFS(K41:HB41,$K$13:$HB$13,{"エネルギー管理指定工場等*","県域*"}))</f>
        <v>0</v>
      </c>
      <c r="HH41" s="921">
        <f>SUM(SUMIFS(L41:HC41,$K$13:$HB$13,{"エネルギー管理指定工場等*","県域*"}))</f>
        <v>0</v>
      </c>
      <c r="HI41" s="921">
        <f>SUM(SUMIFS(M41:HD41,$K$13:$HB$13,{"エネルギー管理指定工場等*","県域*"}))</f>
        <v>0</v>
      </c>
      <c r="HJ41" s="920"/>
      <c r="HL41" s="908">
        <v>32</v>
      </c>
      <c r="HM41" s="1223" t="str">
        <f t="shared" ca="1" si="49"/>
        <v/>
      </c>
      <c r="HN41" s="1200" t="str">
        <f ca="1">IF(COUNTIF(HN$10:HN40,OFFSET(A1_原単位2027,5,HL41+2))&gt;=1,"",OFFSET(A1_原単位2027,5,HL41+2)&amp;"")</f>
        <v/>
      </c>
      <c r="HO41" s="1204" t="str">
        <f t="shared" ca="1" si="50"/>
        <v/>
      </c>
      <c r="HP41" s="1205" t="str">
        <f t="shared" ca="1" si="51"/>
        <v/>
      </c>
      <c r="HQ41" s="1223" t="str">
        <f t="shared" ca="1" si="52"/>
        <v/>
      </c>
      <c r="HR41" s="1200" t="str">
        <f ca="1">IF(COUNTIF(HR$10:HR40,OFFSET(A1_原単位2027,17,HL41+2))&gt;=1,"",OFFSET(A1_原単位2027,17,HL41+2)&amp;"")</f>
        <v/>
      </c>
      <c r="HS41" s="1212" t="str">
        <f t="shared" ca="1" si="53"/>
        <v/>
      </c>
      <c r="HT41" s="1213" t="str">
        <f t="shared" ca="1" si="54"/>
        <v/>
      </c>
      <c r="HU41" s="1223" t="str">
        <f t="shared" ca="1" si="55"/>
        <v/>
      </c>
      <c r="HV41" s="1200" t="str">
        <f ca="1">IF(COUNTIF(HV$10:HV40,OFFSET(A1_原単位2027,29,HL41+2))&gt;=1,"",OFFSET(A1_原単位2027,29,HL41+2)&amp;"")</f>
        <v/>
      </c>
      <c r="HW41" s="1212" t="str">
        <f t="shared" ca="1" si="56"/>
        <v/>
      </c>
      <c r="HX41" s="1213" t="str">
        <f t="shared" ca="1" si="57"/>
        <v/>
      </c>
      <c r="HY41" s="1223" t="str">
        <f t="shared" ca="1" si="58"/>
        <v/>
      </c>
      <c r="HZ41" s="1200" t="str">
        <f ca="1">IF(COUNTIF(HZ$10:HZ40,OFFSET(A1_原単位2027,41,HL41+2))&gt;=1,"",OFFSET(A1_原単位2027,41,HL41+2)&amp;"")</f>
        <v/>
      </c>
      <c r="IA41" s="1215" t="str">
        <f t="shared" ca="1" si="59"/>
        <v/>
      </c>
      <c r="IB41" s="1216" t="str">
        <f t="shared" ca="1" si="60"/>
        <v/>
      </c>
      <c r="IE41" s="882" t="str">
        <f t="shared" ca="1" si="61"/>
        <v/>
      </c>
      <c r="IF41" s="882" t="str">
        <f t="shared" ca="1" si="62"/>
        <v/>
      </c>
      <c r="IG41" s="882" t="str">
        <f t="shared" ca="1" si="63"/>
        <v/>
      </c>
      <c r="IH41" s="882" t="str">
        <f t="shared" ca="1" si="64"/>
        <v/>
      </c>
    </row>
    <row r="42" spans="2:242" s="889" customFormat="1" ht="20.100000000000001"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918">
        <f t="shared" si="67"/>
        <v>0</v>
      </c>
      <c r="HD42" s="921">
        <f t="shared" si="67"/>
        <v>0</v>
      </c>
      <c r="HE42" s="921">
        <f t="shared" si="67"/>
        <v>0</v>
      </c>
      <c r="HF42" s="920"/>
      <c r="HG42" s="918">
        <f>SUM(SUMIFS(K42:HB42,$K$13:$HB$13,{"エネルギー管理指定工場等*","県域*"}))</f>
        <v>0</v>
      </c>
      <c r="HH42" s="921">
        <f>SUM(SUMIFS(L42:HC42,$K$13:$HB$13,{"エネルギー管理指定工場等*","県域*"}))</f>
        <v>0</v>
      </c>
      <c r="HI42" s="921">
        <f>SUM(SUMIFS(M42:HD42,$K$13:$HB$13,{"エネルギー管理指定工場等*","県域*"}))</f>
        <v>0</v>
      </c>
      <c r="HJ42" s="920"/>
      <c r="HL42" s="907">
        <v>33</v>
      </c>
      <c r="HM42" s="1223" t="str">
        <f t="shared" ref="HM42:HM59" ca="1" si="68">OFFSET(A1_原単位2026,6,$HL42+2)</f>
        <v/>
      </c>
      <c r="HN42" s="1200" t="str">
        <f ca="1">IF(COUNTIF(HN$10:HN41,OFFSET(A1_原単位2027,5,HL42+2))&gt;=1,"",OFFSET(A1_原単位2027,5,HL42+2)&amp;"")</f>
        <v/>
      </c>
      <c r="HO42" s="1204" t="str">
        <f t="shared" ref="HO42:HO59" ca="1" si="69">IF(HN42="","",HYPERLINK("#"&amp;IE42,"&lt;"&amp;IE42&amp;"&gt;"))</f>
        <v/>
      </c>
      <c r="HP42" s="1205" t="str">
        <f t="shared" ref="HP42:HP59" ca="1" si="70">IF(HN42="","",HYPERLINK("#"&amp;OFFSET(A1_原単位2027,66,$HL42+2),OFFSET(A1_原単位2027,62,$HL42+2)))</f>
        <v/>
      </c>
      <c r="HQ42" s="1223" t="str">
        <f t="shared" ref="HQ42:HQ59" ca="1" si="71">OFFSET(A1_原単位2026,18,$HL42+2)</f>
        <v/>
      </c>
      <c r="HR42" s="1200" t="str">
        <f ca="1">IF(COUNTIF(HR$10:HR41,OFFSET(A1_原単位2027,17,HL42+2))&gt;=1,"",OFFSET(A1_原単位2027,17,HL42+2)&amp;"")</f>
        <v/>
      </c>
      <c r="HS42" s="1212" t="str">
        <f t="shared" ref="HS42:HS59" ca="1" si="72">IF(HR42="","",HYPERLINK("#"&amp;IF42,"&lt;"&amp;IF42&amp;"&gt;"))</f>
        <v/>
      </c>
      <c r="HT42" s="1213" t="str">
        <f t="shared" ref="HT42:HT59" ca="1" si="73">IF(HR42="","",HYPERLINK("#"&amp;OFFSET(A1_原単位2027,67,$HL42+2),OFFSET(A1_原単位2027,63,$HL42+2)))</f>
        <v/>
      </c>
      <c r="HU42" s="1223" t="str">
        <f t="shared" ref="HU42:HU59" ca="1" si="74">OFFSET(A1_原単位2026,30,$HL42+2)</f>
        <v/>
      </c>
      <c r="HV42" s="1200" t="str">
        <f ca="1">IF(COUNTIF(HV$10:HV41,OFFSET(A1_原単位2027,29,HL42+2))&gt;=1,"",OFFSET(A1_原単位2027,29,HL42+2)&amp;"")</f>
        <v/>
      </c>
      <c r="HW42" s="1212" t="str">
        <f t="shared" ref="HW42:HW59" ca="1" si="75">IF(HV42="","",HYPERLINK("#"&amp;IG42,"&lt;"&amp;IG42&amp;"&gt;"))</f>
        <v/>
      </c>
      <c r="HX42" s="1213" t="str">
        <f t="shared" ref="HX42:HX59" ca="1" si="76">IF(HV42="","",HYPERLINK("#"&amp;OFFSET(A1_原単位2027,68,$HL42+2),OFFSET(A1_原単位2027,64,$HL42+2)))</f>
        <v/>
      </c>
      <c r="HY42" s="1223" t="str">
        <f t="shared" ref="HY42:HY59" ca="1" si="77">OFFSET(A1_原単位2026,42,$HL42+2)</f>
        <v/>
      </c>
      <c r="HZ42" s="1200" t="str">
        <f ca="1">IF(COUNTIF(HZ$10:HZ41,OFFSET(A1_原単位2027,41,HL42+2))&gt;=1,"",OFFSET(A1_原単位2027,41,HL42+2)&amp;"")</f>
        <v/>
      </c>
      <c r="IA42" s="1215" t="str">
        <f t="shared" ref="IA42:IA59" ca="1" si="78">IF(HZ42="","",HYPERLINK("#"&amp;IH42,"&lt;"&amp;IH42&amp;"&gt;"))</f>
        <v/>
      </c>
      <c r="IB42" s="1216" t="str">
        <f t="shared" ref="IB42:IB59" ca="1" si="79">IF(HZ42="","",HYPERLINK("#"&amp;OFFSET(A1_原単位2027,69,$HL42+2),OFFSET(A1_原単位2027,65,$HL42+2)))</f>
        <v/>
      </c>
      <c r="IE42" s="882" t="str">
        <f t="shared" ref="IE42:IE59" ca="1" si="80">IF($HN42="","",ADDRESS(ROW(貼付け_2027実績)+5,OFFSET(A1_原単位2027,7,$HL42+2)+COLUMN(貼付け_2027実績)+1,4))</f>
        <v/>
      </c>
      <c r="IF42" s="882" t="str">
        <f t="shared" ref="IF42:IF59" ca="1" si="81">IF($HR42="","",ADDRESS(ROW(貼付け_2027実績)+5,OFFSET(A1_原単位2027,19,$HL42+2)+COLUMN(貼付け_2027実績)+1,4))</f>
        <v/>
      </c>
      <c r="IG42" s="882" t="str">
        <f t="shared" ref="IG42:IG59" ca="1" si="82">IF($HV42="","",ADDRESS(ROW(貼付け_2027実績)+5,OFFSET(A1_原単位2027,31,$HL42+2)+COLUMN(貼付け_2027実績)+1,4))</f>
        <v/>
      </c>
      <c r="IH42" s="882" t="str">
        <f t="shared" ref="IH42:IH59" ca="1" si="83">IF($HZ42="","",ADDRESS(ROW(貼付け_2027実績)+5,OFFSET(A1_原単位2027,43,$HL42+2)+COLUMN(貼付け_2027実績)+1,4))</f>
        <v/>
      </c>
    </row>
    <row r="43" spans="2:242" s="889" customFormat="1" ht="20.100000000000001"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918">
        <f t="shared" si="67"/>
        <v>0</v>
      </c>
      <c r="HD43" s="921">
        <f t="shared" si="67"/>
        <v>0</v>
      </c>
      <c r="HE43" s="921">
        <f t="shared" si="67"/>
        <v>0</v>
      </c>
      <c r="HF43" s="920"/>
      <c r="HG43" s="918">
        <f>SUM(SUMIFS(K43:HB43,$K$13:$HB$13,{"エネルギー管理指定工場等*","県域*"}))</f>
        <v>0</v>
      </c>
      <c r="HH43" s="921">
        <f>SUM(SUMIFS(L43:HC43,$K$13:$HB$13,{"エネルギー管理指定工場等*","県域*"}))</f>
        <v>0</v>
      </c>
      <c r="HI43" s="921">
        <f>SUM(SUMIFS(M43:HD43,$K$13:$HB$13,{"エネルギー管理指定工場等*","県域*"}))</f>
        <v>0</v>
      </c>
      <c r="HJ43" s="920"/>
      <c r="HL43" s="908">
        <v>34</v>
      </c>
      <c r="HM43" s="1223" t="str">
        <f t="shared" ca="1" si="68"/>
        <v/>
      </c>
      <c r="HN43" s="1200" t="str">
        <f ca="1">IF(COUNTIF(HN$10:HN42,OFFSET(A1_原単位2027,5,HL43+2))&gt;=1,"",OFFSET(A1_原単位2027,5,HL43+2)&amp;"")</f>
        <v/>
      </c>
      <c r="HO43" s="1204" t="str">
        <f t="shared" ca="1" si="69"/>
        <v/>
      </c>
      <c r="HP43" s="1205" t="str">
        <f t="shared" ca="1" si="70"/>
        <v/>
      </c>
      <c r="HQ43" s="1223" t="str">
        <f t="shared" ca="1" si="71"/>
        <v/>
      </c>
      <c r="HR43" s="1200" t="str">
        <f ca="1">IF(COUNTIF(HR$10:HR42,OFFSET(A1_原単位2027,17,HL43+2))&gt;=1,"",OFFSET(A1_原単位2027,17,HL43+2)&amp;"")</f>
        <v/>
      </c>
      <c r="HS43" s="1212" t="str">
        <f t="shared" ca="1" si="72"/>
        <v/>
      </c>
      <c r="HT43" s="1213" t="str">
        <f t="shared" ca="1" si="73"/>
        <v/>
      </c>
      <c r="HU43" s="1223" t="str">
        <f t="shared" ca="1" si="74"/>
        <v/>
      </c>
      <c r="HV43" s="1200" t="str">
        <f ca="1">IF(COUNTIF(HV$10:HV42,OFFSET(A1_原単位2027,29,HL43+2))&gt;=1,"",OFFSET(A1_原単位2027,29,HL43+2)&amp;"")</f>
        <v/>
      </c>
      <c r="HW43" s="1212" t="str">
        <f t="shared" ca="1" si="75"/>
        <v/>
      </c>
      <c r="HX43" s="1213" t="str">
        <f t="shared" ca="1" si="76"/>
        <v/>
      </c>
      <c r="HY43" s="1223" t="str">
        <f t="shared" ca="1" si="77"/>
        <v/>
      </c>
      <c r="HZ43" s="1200" t="str">
        <f ca="1">IF(COUNTIF(HZ$10:HZ42,OFFSET(A1_原単位2027,41,HL43+2))&gt;=1,"",OFFSET(A1_原単位2027,41,HL43+2)&amp;"")</f>
        <v/>
      </c>
      <c r="IA43" s="1215" t="str">
        <f t="shared" ca="1" si="78"/>
        <v/>
      </c>
      <c r="IB43" s="1216" t="str">
        <f t="shared" ca="1" si="79"/>
        <v/>
      </c>
      <c r="IE43" s="882" t="str">
        <f t="shared" ca="1" si="80"/>
        <v/>
      </c>
      <c r="IF43" s="882" t="str">
        <f t="shared" ca="1" si="81"/>
        <v/>
      </c>
      <c r="IG43" s="882" t="str">
        <f t="shared" ca="1" si="82"/>
        <v/>
      </c>
      <c r="IH43" s="882" t="str">
        <f t="shared" ca="1" si="83"/>
        <v/>
      </c>
    </row>
    <row r="44" spans="2:242" s="889" customFormat="1" ht="20.100000000000001"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918">
        <f t="shared" si="67"/>
        <v>0</v>
      </c>
      <c r="HD44" s="921">
        <f t="shared" si="67"/>
        <v>0</v>
      </c>
      <c r="HE44" s="921">
        <f t="shared" si="67"/>
        <v>0</v>
      </c>
      <c r="HF44" s="920"/>
      <c r="HG44" s="918">
        <f>SUM(SUMIFS(K44:HB44,$K$13:$HB$13,{"エネルギー管理指定工場等*","県域*"}))</f>
        <v>0</v>
      </c>
      <c r="HH44" s="921">
        <f>SUM(SUMIFS(L44:HC44,$K$13:$HB$13,{"エネルギー管理指定工場等*","県域*"}))</f>
        <v>0</v>
      </c>
      <c r="HI44" s="921">
        <f>SUM(SUMIFS(M44:HD44,$K$13:$HB$13,{"エネルギー管理指定工場等*","県域*"}))</f>
        <v>0</v>
      </c>
      <c r="HJ44" s="920"/>
      <c r="HL44" s="907">
        <v>35</v>
      </c>
      <c r="HM44" s="1223" t="str">
        <f t="shared" ca="1" si="68"/>
        <v/>
      </c>
      <c r="HN44" s="1200" t="str">
        <f ca="1">IF(COUNTIF(HN$10:HN43,OFFSET(A1_原単位2027,5,HL44+2))&gt;=1,"",OFFSET(A1_原単位2027,5,HL44+2)&amp;"")</f>
        <v/>
      </c>
      <c r="HO44" s="1204" t="str">
        <f t="shared" ca="1" si="69"/>
        <v/>
      </c>
      <c r="HP44" s="1205" t="str">
        <f t="shared" ca="1" si="70"/>
        <v/>
      </c>
      <c r="HQ44" s="1223" t="str">
        <f t="shared" ca="1" si="71"/>
        <v/>
      </c>
      <c r="HR44" s="1200" t="str">
        <f ca="1">IF(COUNTIF(HR$10:HR43,OFFSET(A1_原単位2027,17,HL44+2))&gt;=1,"",OFFSET(A1_原単位2027,17,HL44+2)&amp;"")</f>
        <v/>
      </c>
      <c r="HS44" s="1212" t="str">
        <f t="shared" ca="1" si="72"/>
        <v/>
      </c>
      <c r="HT44" s="1213" t="str">
        <f t="shared" ca="1" si="73"/>
        <v/>
      </c>
      <c r="HU44" s="1223" t="str">
        <f t="shared" ca="1" si="74"/>
        <v/>
      </c>
      <c r="HV44" s="1200" t="str">
        <f ca="1">IF(COUNTIF(HV$10:HV43,OFFSET(A1_原単位2027,29,HL44+2))&gt;=1,"",OFFSET(A1_原単位2027,29,HL44+2)&amp;"")</f>
        <v/>
      </c>
      <c r="HW44" s="1212" t="str">
        <f t="shared" ca="1" si="75"/>
        <v/>
      </c>
      <c r="HX44" s="1213" t="str">
        <f t="shared" ca="1" si="76"/>
        <v/>
      </c>
      <c r="HY44" s="1223" t="str">
        <f t="shared" ca="1" si="77"/>
        <v/>
      </c>
      <c r="HZ44" s="1200" t="str">
        <f ca="1">IF(COUNTIF(HZ$10:HZ43,OFFSET(A1_原単位2027,41,HL44+2))&gt;=1,"",OFFSET(A1_原単位2027,41,HL44+2)&amp;"")</f>
        <v/>
      </c>
      <c r="IA44" s="1215" t="str">
        <f t="shared" ca="1" si="78"/>
        <v/>
      </c>
      <c r="IB44" s="1216" t="str">
        <f t="shared" ca="1" si="79"/>
        <v/>
      </c>
      <c r="IE44" s="882" t="str">
        <f t="shared" ca="1" si="80"/>
        <v/>
      </c>
      <c r="IF44" s="882" t="str">
        <f t="shared" ca="1" si="81"/>
        <v/>
      </c>
      <c r="IG44" s="882" t="str">
        <f t="shared" ca="1" si="82"/>
        <v/>
      </c>
      <c r="IH44" s="882" t="str">
        <f t="shared" ca="1" si="83"/>
        <v/>
      </c>
    </row>
    <row r="45" spans="2:242" s="889" customFormat="1" ht="20.100000000000001"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918">
        <f t="shared" si="67"/>
        <v>0</v>
      </c>
      <c r="HD45" s="921">
        <f t="shared" si="67"/>
        <v>0</v>
      </c>
      <c r="HE45" s="921">
        <f t="shared" si="67"/>
        <v>0</v>
      </c>
      <c r="HF45" s="920"/>
      <c r="HG45" s="918">
        <f>SUM(SUMIFS(K45:HB45,$K$13:$HB$13,{"エネルギー管理指定工場等*","県域*"}))</f>
        <v>0</v>
      </c>
      <c r="HH45" s="921">
        <f>SUM(SUMIFS(L45:HC45,$K$13:$HB$13,{"エネルギー管理指定工場等*","県域*"}))</f>
        <v>0</v>
      </c>
      <c r="HI45" s="921">
        <f>SUM(SUMIFS(M45:HD45,$K$13:$HB$13,{"エネルギー管理指定工場等*","県域*"}))</f>
        <v>0</v>
      </c>
      <c r="HJ45" s="920"/>
      <c r="HL45" s="907">
        <v>36</v>
      </c>
      <c r="HM45" s="1223" t="str">
        <f t="shared" ca="1" si="68"/>
        <v/>
      </c>
      <c r="HN45" s="1200" t="str">
        <f ca="1">IF(COUNTIF(HN$10:HN44,OFFSET(A1_原単位2027,5,HL45+2))&gt;=1,"",OFFSET(A1_原単位2027,5,HL45+2)&amp;"")</f>
        <v/>
      </c>
      <c r="HO45" s="1204" t="str">
        <f t="shared" ca="1" si="69"/>
        <v/>
      </c>
      <c r="HP45" s="1205" t="str">
        <f t="shared" ca="1" si="70"/>
        <v/>
      </c>
      <c r="HQ45" s="1223" t="str">
        <f t="shared" ca="1" si="71"/>
        <v/>
      </c>
      <c r="HR45" s="1200" t="str">
        <f ca="1">IF(COUNTIF(HR$10:HR44,OFFSET(A1_原単位2027,17,HL45+2))&gt;=1,"",OFFSET(A1_原単位2027,17,HL45+2)&amp;"")</f>
        <v/>
      </c>
      <c r="HS45" s="1212" t="str">
        <f t="shared" ca="1" si="72"/>
        <v/>
      </c>
      <c r="HT45" s="1213" t="str">
        <f t="shared" ca="1" si="73"/>
        <v/>
      </c>
      <c r="HU45" s="1223" t="str">
        <f t="shared" ca="1" si="74"/>
        <v/>
      </c>
      <c r="HV45" s="1200" t="str">
        <f ca="1">IF(COUNTIF(HV$10:HV44,OFFSET(A1_原単位2027,29,HL45+2))&gt;=1,"",OFFSET(A1_原単位2027,29,HL45+2)&amp;"")</f>
        <v/>
      </c>
      <c r="HW45" s="1212" t="str">
        <f t="shared" ca="1" si="75"/>
        <v/>
      </c>
      <c r="HX45" s="1213" t="str">
        <f t="shared" ca="1" si="76"/>
        <v/>
      </c>
      <c r="HY45" s="1223" t="str">
        <f t="shared" ca="1" si="77"/>
        <v/>
      </c>
      <c r="HZ45" s="1200" t="str">
        <f ca="1">IF(COUNTIF(HZ$10:HZ44,OFFSET(A1_原単位2027,41,HL45+2))&gt;=1,"",OFFSET(A1_原単位2027,41,HL45+2)&amp;"")</f>
        <v/>
      </c>
      <c r="IA45" s="1215" t="str">
        <f t="shared" ca="1" si="78"/>
        <v/>
      </c>
      <c r="IB45" s="1216" t="str">
        <f t="shared" ca="1" si="79"/>
        <v/>
      </c>
      <c r="IE45" s="882" t="str">
        <f t="shared" ca="1" si="80"/>
        <v/>
      </c>
      <c r="IF45" s="882" t="str">
        <f t="shared" ca="1" si="81"/>
        <v/>
      </c>
      <c r="IG45" s="882" t="str">
        <f t="shared" ca="1" si="82"/>
        <v/>
      </c>
      <c r="IH45" s="882" t="str">
        <f t="shared" ca="1" si="83"/>
        <v/>
      </c>
    </row>
    <row r="46" spans="2:242" s="889" customFormat="1" ht="20.100000000000001"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918">
        <f t="shared" si="67"/>
        <v>0</v>
      </c>
      <c r="HD46" s="921">
        <f t="shared" si="67"/>
        <v>0</v>
      </c>
      <c r="HE46" s="921">
        <f t="shared" si="67"/>
        <v>0</v>
      </c>
      <c r="HF46" s="920"/>
      <c r="HG46" s="918">
        <f>SUM(SUMIFS(K46:HB46,$K$13:$HB$13,{"エネルギー管理指定工場等*","県域*"}))</f>
        <v>0</v>
      </c>
      <c r="HH46" s="921">
        <f>SUM(SUMIFS(L46:HC46,$K$13:$HB$13,{"エネルギー管理指定工場等*","県域*"}))</f>
        <v>0</v>
      </c>
      <c r="HI46" s="921">
        <f>SUM(SUMIFS(M46:HD46,$K$13:$HB$13,{"エネルギー管理指定工場等*","県域*"}))</f>
        <v>0</v>
      </c>
      <c r="HJ46" s="920"/>
      <c r="HL46" s="908">
        <v>37</v>
      </c>
      <c r="HM46" s="1223" t="str">
        <f t="shared" ca="1" si="68"/>
        <v/>
      </c>
      <c r="HN46" s="1200" t="str">
        <f ca="1">IF(COUNTIF(HN$10:HN45,OFFSET(A1_原単位2027,5,HL46+2))&gt;=1,"",OFFSET(A1_原単位2027,5,HL46+2)&amp;"")</f>
        <v/>
      </c>
      <c r="HO46" s="1204" t="str">
        <f t="shared" ca="1" si="69"/>
        <v/>
      </c>
      <c r="HP46" s="1205" t="str">
        <f t="shared" ca="1" si="70"/>
        <v/>
      </c>
      <c r="HQ46" s="1223" t="str">
        <f t="shared" ca="1" si="71"/>
        <v/>
      </c>
      <c r="HR46" s="1200" t="str">
        <f ca="1">IF(COUNTIF(HR$10:HR45,OFFSET(A1_原単位2027,17,HL46+2))&gt;=1,"",OFFSET(A1_原単位2027,17,HL46+2)&amp;"")</f>
        <v/>
      </c>
      <c r="HS46" s="1212" t="str">
        <f t="shared" ca="1" si="72"/>
        <v/>
      </c>
      <c r="HT46" s="1213" t="str">
        <f t="shared" ca="1" si="73"/>
        <v/>
      </c>
      <c r="HU46" s="1223" t="str">
        <f t="shared" ca="1" si="74"/>
        <v/>
      </c>
      <c r="HV46" s="1200" t="str">
        <f ca="1">IF(COUNTIF(HV$10:HV45,OFFSET(A1_原単位2027,29,HL46+2))&gt;=1,"",OFFSET(A1_原単位2027,29,HL46+2)&amp;"")</f>
        <v/>
      </c>
      <c r="HW46" s="1212" t="str">
        <f t="shared" ca="1" si="75"/>
        <v/>
      </c>
      <c r="HX46" s="1213" t="str">
        <f t="shared" ca="1" si="76"/>
        <v/>
      </c>
      <c r="HY46" s="1223" t="str">
        <f t="shared" ca="1" si="77"/>
        <v/>
      </c>
      <c r="HZ46" s="1200" t="str">
        <f ca="1">IF(COUNTIF(HZ$10:HZ45,OFFSET(A1_原単位2027,41,HL46+2))&gt;=1,"",OFFSET(A1_原単位2027,41,HL46+2)&amp;"")</f>
        <v/>
      </c>
      <c r="IA46" s="1215" t="str">
        <f t="shared" ca="1" si="78"/>
        <v/>
      </c>
      <c r="IB46" s="1216" t="str">
        <f t="shared" ca="1" si="79"/>
        <v/>
      </c>
      <c r="IE46" s="882" t="str">
        <f t="shared" ca="1" si="80"/>
        <v/>
      </c>
      <c r="IF46" s="882" t="str">
        <f t="shared" ca="1" si="81"/>
        <v/>
      </c>
      <c r="IG46" s="882" t="str">
        <f t="shared" ca="1" si="82"/>
        <v/>
      </c>
      <c r="IH46" s="882" t="str">
        <f t="shared" ca="1" si="83"/>
        <v/>
      </c>
    </row>
    <row r="47" spans="2:242" s="889" customFormat="1" ht="20.100000000000001"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918">
        <f t="shared" si="67"/>
        <v>0</v>
      </c>
      <c r="HD47" s="921">
        <f t="shared" si="67"/>
        <v>0</v>
      </c>
      <c r="HE47" s="921">
        <f t="shared" si="67"/>
        <v>0</v>
      </c>
      <c r="HF47" s="920"/>
      <c r="HG47" s="918">
        <f>SUM(SUMIFS(K47:HB47,$K$13:$HB$13,{"エネルギー管理指定工場等*","県域*"}))</f>
        <v>0</v>
      </c>
      <c r="HH47" s="921">
        <f>SUM(SUMIFS(L47:HC47,$K$13:$HB$13,{"エネルギー管理指定工場等*","県域*"}))</f>
        <v>0</v>
      </c>
      <c r="HI47" s="921">
        <f>SUM(SUMIFS(M47:HD47,$K$13:$HB$13,{"エネルギー管理指定工場等*","県域*"}))</f>
        <v>0</v>
      </c>
      <c r="HJ47" s="920"/>
      <c r="HL47" s="907">
        <v>38</v>
      </c>
      <c r="HM47" s="1223" t="str">
        <f t="shared" ca="1" si="68"/>
        <v/>
      </c>
      <c r="HN47" s="1200" t="str">
        <f ca="1">IF(COUNTIF(HN$10:HN46,OFFSET(A1_原単位2027,5,HL47+2))&gt;=1,"",OFFSET(A1_原単位2027,5,HL47+2)&amp;"")</f>
        <v/>
      </c>
      <c r="HO47" s="1204" t="str">
        <f t="shared" ca="1" si="69"/>
        <v/>
      </c>
      <c r="HP47" s="1205" t="str">
        <f t="shared" ca="1" si="70"/>
        <v/>
      </c>
      <c r="HQ47" s="1223" t="str">
        <f t="shared" ca="1" si="71"/>
        <v/>
      </c>
      <c r="HR47" s="1200" t="str">
        <f ca="1">IF(COUNTIF(HR$10:HR46,OFFSET(A1_原単位2027,17,HL47+2))&gt;=1,"",OFFSET(A1_原単位2027,17,HL47+2)&amp;"")</f>
        <v/>
      </c>
      <c r="HS47" s="1212" t="str">
        <f t="shared" ca="1" si="72"/>
        <v/>
      </c>
      <c r="HT47" s="1213" t="str">
        <f t="shared" ca="1" si="73"/>
        <v/>
      </c>
      <c r="HU47" s="1223" t="str">
        <f t="shared" ca="1" si="74"/>
        <v/>
      </c>
      <c r="HV47" s="1200" t="str">
        <f ca="1">IF(COUNTIF(HV$10:HV46,OFFSET(A1_原単位2027,29,HL47+2))&gt;=1,"",OFFSET(A1_原単位2027,29,HL47+2)&amp;"")</f>
        <v/>
      </c>
      <c r="HW47" s="1212" t="str">
        <f t="shared" ca="1" si="75"/>
        <v/>
      </c>
      <c r="HX47" s="1213" t="str">
        <f t="shared" ca="1" si="76"/>
        <v/>
      </c>
      <c r="HY47" s="1223" t="str">
        <f t="shared" ca="1" si="77"/>
        <v/>
      </c>
      <c r="HZ47" s="1200" t="str">
        <f ca="1">IF(COUNTIF(HZ$10:HZ46,OFFSET(A1_原単位2027,41,HL47+2))&gt;=1,"",OFFSET(A1_原単位2027,41,HL47+2)&amp;"")</f>
        <v/>
      </c>
      <c r="IA47" s="1215" t="str">
        <f t="shared" ca="1" si="78"/>
        <v/>
      </c>
      <c r="IB47" s="1216" t="str">
        <f t="shared" ca="1" si="79"/>
        <v/>
      </c>
      <c r="IE47" s="882" t="str">
        <f t="shared" ca="1" si="80"/>
        <v/>
      </c>
      <c r="IF47" s="882" t="str">
        <f t="shared" ca="1" si="81"/>
        <v/>
      </c>
      <c r="IG47" s="882" t="str">
        <f t="shared" ca="1" si="82"/>
        <v/>
      </c>
      <c r="IH47" s="882" t="str">
        <f t="shared" ca="1" si="83"/>
        <v/>
      </c>
    </row>
    <row r="48" spans="2:242" s="889" customFormat="1" ht="20.100000000000001"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918">
        <f t="shared" si="67"/>
        <v>0</v>
      </c>
      <c r="HD48" s="921">
        <f t="shared" si="67"/>
        <v>0</v>
      </c>
      <c r="HE48" s="921">
        <f t="shared" si="67"/>
        <v>0</v>
      </c>
      <c r="HF48" s="920"/>
      <c r="HG48" s="918">
        <f>SUM(SUMIFS(K48:HB48,$K$13:$HB$13,{"エネルギー管理指定工場等*","県域*"}))</f>
        <v>0</v>
      </c>
      <c r="HH48" s="921">
        <f>SUM(SUMIFS(L48:HC48,$K$13:$HB$13,{"エネルギー管理指定工場等*","県域*"}))</f>
        <v>0</v>
      </c>
      <c r="HI48" s="921">
        <f>SUM(SUMIFS(M48:HD48,$K$13:$HB$13,{"エネルギー管理指定工場等*","県域*"}))</f>
        <v>0</v>
      </c>
      <c r="HJ48" s="920"/>
      <c r="HL48" s="907">
        <v>39</v>
      </c>
      <c r="HM48" s="1223" t="str">
        <f t="shared" ca="1" si="68"/>
        <v/>
      </c>
      <c r="HN48" s="1200" t="str">
        <f ca="1">IF(COUNTIF(HN$10:HN47,OFFSET(A1_原単位2027,5,HL48+2))&gt;=1,"",OFFSET(A1_原単位2027,5,HL48+2)&amp;"")</f>
        <v/>
      </c>
      <c r="HO48" s="1204" t="str">
        <f t="shared" ca="1" si="69"/>
        <v/>
      </c>
      <c r="HP48" s="1205" t="str">
        <f t="shared" ca="1" si="70"/>
        <v/>
      </c>
      <c r="HQ48" s="1223" t="str">
        <f t="shared" ca="1" si="71"/>
        <v/>
      </c>
      <c r="HR48" s="1200" t="str">
        <f ca="1">IF(COUNTIF(HR$10:HR47,OFFSET(A1_原単位2027,17,HL48+2))&gt;=1,"",OFFSET(A1_原単位2027,17,HL48+2)&amp;"")</f>
        <v/>
      </c>
      <c r="HS48" s="1212" t="str">
        <f t="shared" ca="1" si="72"/>
        <v/>
      </c>
      <c r="HT48" s="1213" t="str">
        <f t="shared" ca="1" si="73"/>
        <v/>
      </c>
      <c r="HU48" s="1223" t="str">
        <f t="shared" ca="1" si="74"/>
        <v/>
      </c>
      <c r="HV48" s="1200" t="str">
        <f ca="1">IF(COUNTIF(HV$10:HV47,OFFSET(A1_原単位2027,29,HL48+2))&gt;=1,"",OFFSET(A1_原単位2027,29,HL48+2)&amp;"")</f>
        <v/>
      </c>
      <c r="HW48" s="1212" t="str">
        <f t="shared" ca="1" si="75"/>
        <v/>
      </c>
      <c r="HX48" s="1213" t="str">
        <f t="shared" ca="1" si="76"/>
        <v/>
      </c>
      <c r="HY48" s="1223" t="str">
        <f t="shared" ca="1" si="77"/>
        <v/>
      </c>
      <c r="HZ48" s="1200" t="str">
        <f ca="1">IF(COUNTIF(HZ$10:HZ47,OFFSET(A1_原単位2027,41,HL48+2))&gt;=1,"",OFFSET(A1_原単位2027,41,HL48+2)&amp;"")</f>
        <v/>
      </c>
      <c r="IA48" s="1215" t="str">
        <f t="shared" ca="1" si="78"/>
        <v/>
      </c>
      <c r="IB48" s="1216" t="str">
        <f t="shared" ca="1" si="79"/>
        <v/>
      </c>
      <c r="IE48" s="882" t="str">
        <f t="shared" ca="1" si="80"/>
        <v/>
      </c>
      <c r="IF48" s="882" t="str">
        <f t="shared" ca="1" si="81"/>
        <v/>
      </c>
      <c r="IG48" s="882" t="str">
        <f t="shared" ca="1" si="82"/>
        <v/>
      </c>
      <c r="IH48" s="882" t="str">
        <f t="shared" ca="1" si="83"/>
        <v/>
      </c>
    </row>
    <row r="49" spans="2:242" s="889" customFormat="1" ht="20.100000000000001"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918">
        <f t="shared" si="67"/>
        <v>0</v>
      </c>
      <c r="HD49" s="921">
        <f t="shared" si="67"/>
        <v>0</v>
      </c>
      <c r="HE49" s="921">
        <f t="shared" si="67"/>
        <v>0</v>
      </c>
      <c r="HF49" s="920"/>
      <c r="HG49" s="918">
        <f>SUM(SUMIFS(K49:HB49,$K$13:$HB$13,{"エネルギー管理指定工場等*","県域*"}))</f>
        <v>0</v>
      </c>
      <c r="HH49" s="921">
        <f>SUM(SUMIFS(L49:HC49,$K$13:$HB$13,{"エネルギー管理指定工場等*","県域*"}))</f>
        <v>0</v>
      </c>
      <c r="HI49" s="921">
        <f>SUM(SUMIFS(M49:HD49,$K$13:$HB$13,{"エネルギー管理指定工場等*","県域*"}))</f>
        <v>0</v>
      </c>
      <c r="HJ49" s="920"/>
      <c r="HL49" s="908">
        <v>40</v>
      </c>
      <c r="HM49" s="1223" t="str">
        <f t="shared" ca="1" si="68"/>
        <v/>
      </c>
      <c r="HN49" s="1200" t="str">
        <f ca="1">IF(COUNTIF(HN$10:HN48,OFFSET(A1_原単位2027,5,HL49+2))&gt;=1,"",OFFSET(A1_原単位2027,5,HL49+2)&amp;"")</f>
        <v/>
      </c>
      <c r="HO49" s="1204" t="str">
        <f t="shared" ca="1" si="69"/>
        <v/>
      </c>
      <c r="HP49" s="1205" t="str">
        <f t="shared" ca="1" si="70"/>
        <v/>
      </c>
      <c r="HQ49" s="1223" t="str">
        <f t="shared" ca="1" si="71"/>
        <v/>
      </c>
      <c r="HR49" s="1200" t="str">
        <f ca="1">IF(COUNTIF(HR$10:HR48,OFFSET(A1_原単位2027,17,HL49+2))&gt;=1,"",OFFSET(A1_原単位2027,17,HL49+2)&amp;"")</f>
        <v/>
      </c>
      <c r="HS49" s="1212" t="str">
        <f t="shared" ca="1" si="72"/>
        <v/>
      </c>
      <c r="HT49" s="1213" t="str">
        <f t="shared" ca="1" si="73"/>
        <v/>
      </c>
      <c r="HU49" s="1223" t="str">
        <f t="shared" ca="1" si="74"/>
        <v/>
      </c>
      <c r="HV49" s="1200" t="str">
        <f ca="1">IF(COUNTIF(HV$10:HV48,OFFSET(A1_原単位2027,29,HL49+2))&gt;=1,"",OFFSET(A1_原単位2027,29,HL49+2)&amp;"")</f>
        <v/>
      </c>
      <c r="HW49" s="1212" t="str">
        <f t="shared" ca="1" si="75"/>
        <v/>
      </c>
      <c r="HX49" s="1213" t="str">
        <f t="shared" ca="1" si="76"/>
        <v/>
      </c>
      <c r="HY49" s="1223" t="str">
        <f t="shared" ca="1" si="77"/>
        <v/>
      </c>
      <c r="HZ49" s="1200" t="str">
        <f ca="1">IF(COUNTIF(HZ$10:HZ48,OFFSET(A1_原単位2027,41,HL49+2))&gt;=1,"",OFFSET(A1_原単位2027,41,HL49+2)&amp;"")</f>
        <v/>
      </c>
      <c r="IA49" s="1215" t="str">
        <f t="shared" ca="1" si="78"/>
        <v/>
      </c>
      <c r="IB49" s="1216" t="str">
        <f t="shared" ca="1" si="79"/>
        <v/>
      </c>
      <c r="IE49" s="882" t="str">
        <f t="shared" ca="1" si="80"/>
        <v/>
      </c>
      <c r="IF49" s="882" t="str">
        <f t="shared" ca="1" si="81"/>
        <v/>
      </c>
      <c r="IG49" s="882" t="str">
        <f t="shared" ca="1" si="82"/>
        <v/>
      </c>
      <c r="IH49" s="882" t="str">
        <f t="shared" ca="1" si="83"/>
        <v/>
      </c>
    </row>
    <row r="50" spans="2:242" s="889" customFormat="1" ht="20.100000000000001"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918">
        <f t="shared" si="67"/>
        <v>0</v>
      </c>
      <c r="HD50" s="921">
        <f t="shared" si="67"/>
        <v>0</v>
      </c>
      <c r="HE50" s="921">
        <f t="shared" si="67"/>
        <v>0</v>
      </c>
      <c r="HF50" s="920"/>
      <c r="HG50" s="918">
        <f>SUM(SUMIFS(K50:HB50,$K$13:$HB$13,{"エネルギー管理指定工場等*","県域*"}))</f>
        <v>0</v>
      </c>
      <c r="HH50" s="921">
        <f>SUM(SUMIFS(L50:HC50,$K$13:$HB$13,{"エネルギー管理指定工場等*","県域*"}))</f>
        <v>0</v>
      </c>
      <c r="HI50" s="921">
        <f>SUM(SUMIFS(M50:HD50,$K$13:$HB$13,{"エネルギー管理指定工場等*","県域*"}))</f>
        <v>0</v>
      </c>
      <c r="HJ50" s="920"/>
      <c r="HL50" s="907">
        <v>41</v>
      </c>
      <c r="HM50" s="1223" t="str">
        <f t="shared" ca="1" si="68"/>
        <v/>
      </c>
      <c r="HN50" s="1200" t="str">
        <f ca="1">IF(COUNTIF(HN$10:HN49,OFFSET(A1_原単位2027,5,HL50+2))&gt;=1,"",OFFSET(A1_原単位2027,5,HL50+2)&amp;"")</f>
        <v/>
      </c>
      <c r="HO50" s="1204" t="str">
        <f t="shared" ca="1" si="69"/>
        <v/>
      </c>
      <c r="HP50" s="1205" t="str">
        <f t="shared" ca="1" si="70"/>
        <v/>
      </c>
      <c r="HQ50" s="1223" t="str">
        <f t="shared" ca="1" si="71"/>
        <v/>
      </c>
      <c r="HR50" s="1200" t="str">
        <f ca="1">IF(COUNTIF(HR$10:HR49,OFFSET(A1_原単位2027,17,HL50+2))&gt;=1,"",OFFSET(A1_原単位2027,17,HL50+2)&amp;"")</f>
        <v/>
      </c>
      <c r="HS50" s="1212" t="str">
        <f t="shared" ca="1" si="72"/>
        <v/>
      </c>
      <c r="HT50" s="1213" t="str">
        <f t="shared" ca="1" si="73"/>
        <v/>
      </c>
      <c r="HU50" s="1223" t="str">
        <f t="shared" ca="1" si="74"/>
        <v/>
      </c>
      <c r="HV50" s="1200" t="str">
        <f ca="1">IF(COUNTIF(HV$10:HV49,OFFSET(A1_原単位2027,29,HL50+2))&gt;=1,"",OFFSET(A1_原単位2027,29,HL50+2)&amp;"")</f>
        <v/>
      </c>
      <c r="HW50" s="1212" t="str">
        <f t="shared" ca="1" si="75"/>
        <v/>
      </c>
      <c r="HX50" s="1213" t="str">
        <f t="shared" ca="1" si="76"/>
        <v/>
      </c>
      <c r="HY50" s="1223" t="str">
        <f t="shared" ca="1" si="77"/>
        <v/>
      </c>
      <c r="HZ50" s="1200" t="str">
        <f ca="1">IF(COUNTIF(HZ$10:HZ49,OFFSET(A1_原単位2027,41,HL50+2))&gt;=1,"",OFFSET(A1_原単位2027,41,HL50+2)&amp;"")</f>
        <v/>
      </c>
      <c r="IA50" s="1215" t="str">
        <f t="shared" ca="1" si="78"/>
        <v/>
      </c>
      <c r="IB50" s="1216" t="str">
        <f t="shared" ca="1" si="79"/>
        <v/>
      </c>
      <c r="IE50" s="882" t="str">
        <f t="shared" ca="1" si="80"/>
        <v/>
      </c>
      <c r="IF50" s="882" t="str">
        <f t="shared" ca="1" si="81"/>
        <v/>
      </c>
      <c r="IG50" s="882" t="str">
        <f t="shared" ca="1" si="82"/>
        <v/>
      </c>
      <c r="IH50" s="882" t="str">
        <f t="shared" ca="1" si="83"/>
        <v/>
      </c>
    </row>
    <row r="51" spans="2:242" s="889" customFormat="1" ht="20.100000000000001"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918">
        <f t="shared" si="67"/>
        <v>0</v>
      </c>
      <c r="HD51" s="921">
        <f t="shared" si="67"/>
        <v>0</v>
      </c>
      <c r="HE51" s="921">
        <f t="shared" si="67"/>
        <v>0</v>
      </c>
      <c r="HF51" s="920"/>
      <c r="HG51" s="918">
        <f>SUM(SUMIFS(K51:HB51,$K$13:$HB$13,{"エネルギー管理指定工場等*","県域*"}))</f>
        <v>0</v>
      </c>
      <c r="HH51" s="921">
        <f>SUM(SUMIFS(L51:HC51,$K$13:$HB$13,{"エネルギー管理指定工場等*","県域*"}))</f>
        <v>0</v>
      </c>
      <c r="HI51" s="921">
        <f>SUM(SUMIFS(M51:HD51,$K$13:$HB$13,{"エネルギー管理指定工場等*","県域*"}))</f>
        <v>0</v>
      </c>
      <c r="HJ51" s="920"/>
      <c r="HL51" s="907">
        <v>42</v>
      </c>
      <c r="HM51" s="1223" t="str">
        <f t="shared" ca="1" si="68"/>
        <v/>
      </c>
      <c r="HN51" s="1200" t="str">
        <f ca="1">IF(COUNTIF(HN$10:HN50,OFFSET(A1_原単位2027,5,HL51+2))&gt;=1,"",OFFSET(A1_原単位2027,5,HL51+2)&amp;"")</f>
        <v/>
      </c>
      <c r="HO51" s="1204" t="str">
        <f t="shared" ca="1" si="69"/>
        <v/>
      </c>
      <c r="HP51" s="1205" t="str">
        <f t="shared" ca="1" si="70"/>
        <v/>
      </c>
      <c r="HQ51" s="1223" t="str">
        <f t="shared" ca="1" si="71"/>
        <v/>
      </c>
      <c r="HR51" s="1200" t="str">
        <f ca="1">IF(COUNTIF(HR$10:HR50,OFFSET(A1_原単位2027,17,HL51+2))&gt;=1,"",OFFSET(A1_原単位2027,17,HL51+2)&amp;"")</f>
        <v/>
      </c>
      <c r="HS51" s="1212" t="str">
        <f t="shared" ca="1" si="72"/>
        <v/>
      </c>
      <c r="HT51" s="1213" t="str">
        <f t="shared" ca="1" si="73"/>
        <v/>
      </c>
      <c r="HU51" s="1223" t="str">
        <f t="shared" ca="1" si="74"/>
        <v/>
      </c>
      <c r="HV51" s="1200" t="str">
        <f ca="1">IF(COUNTIF(HV$10:HV50,OFFSET(A1_原単位2027,29,HL51+2))&gt;=1,"",OFFSET(A1_原単位2027,29,HL51+2)&amp;"")</f>
        <v/>
      </c>
      <c r="HW51" s="1212" t="str">
        <f t="shared" ca="1" si="75"/>
        <v/>
      </c>
      <c r="HX51" s="1213" t="str">
        <f t="shared" ca="1" si="76"/>
        <v/>
      </c>
      <c r="HY51" s="1223" t="str">
        <f t="shared" ca="1" si="77"/>
        <v/>
      </c>
      <c r="HZ51" s="1200" t="str">
        <f ca="1">IF(COUNTIF(HZ$10:HZ50,OFFSET(A1_原単位2027,41,HL51+2))&gt;=1,"",OFFSET(A1_原単位2027,41,HL51+2)&amp;"")</f>
        <v/>
      </c>
      <c r="IA51" s="1215" t="str">
        <f t="shared" ca="1" si="78"/>
        <v/>
      </c>
      <c r="IB51" s="1216" t="str">
        <f t="shared" ca="1" si="79"/>
        <v/>
      </c>
      <c r="IE51" s="882" t="str">
        <f t="shared" ca="1" si="80"/>
        <v/>
      </c>
      <c r="IF51" s="882" t="str">
        <f t="shared" ca="1" si="81"/>
        <v/>
      </c>
      <c r="IG51" s="882" t="str">
        <f t="shared" ca="1" si="82"/>
        <v/>
      </c>
      <c r="IH51" s="882" t="str">
        <f t="shared" ca="1" si="83"/>
        <v/>
      </c>
    </row>
    <row r="52" spans="2:242" s="889" customFormat="1" ht="20.100000000000001"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918">
        <f t="shared" si="67"/>
        <v>0</v>
      </c>
      <c r="HD52" s="921">
        <f t="shared" si="67"/>
        <v>0</v>
      </c>
      <c r="HE52" s="921">
        <f t="shared" si="67"/>
        <v>0</v>
      </c>
      <c r="HF52" s="920"/>
      <c r="HG52" s="918">
        <f>SUM(SUMIFS(K52:HB52,$K$13:$HB$13,{"エネルギー管理指定工場等*","県域*"}))</f>
        <v>0</v>
      </c>
      <c r="HH52" s="921">
        <f>SUM(SUMIFS(L52:HC52,$K$13:$HB$13,{"エネルギー管理指定工場等*","県域*"}))</f>
        <v>0</v>
      </c>
      <c r="HI52" s="921">
        <f>SUM(SUMIFS(M52:HD52,$K$13:$HB$13,{"エネルギー管理指定工場等*","県域*"}))</f>
        <v>0</v>
      </c>
      <c r="HJ52" s="920"/>
      <c r="HL52" s="908">
        <v>43</v>
      </c>
      <c r="HM52" s="1223" t="str">
        <f t="shared" ca="1" si="68"/>
        <v/>
      </c>
      <c r="HN52" s="1200" t="str">
        <f ca="1">IF(COUNTIF(HN$10:HN51,OFFSET(A1_原単位2027,5,HL52+2))&gt;=1,"",OFFSET(A1_原単位2027,5,HL52+2)&amp;"")</f>
        <v/>
      </c>
      <c r="HO52" s="1204" t="str">
        <f t="shared" ca="1" si="69"/>
        <v/>
      </c>
      <c r="HP52" s="1205" t="str">
        <f t="shared" ca="1" si="70"/>
        <v/>
      </c>
      <c r="HQ52" s="1223" t="str">
        <f t="shared" ca="1" si="71"/>
        <v/>
      </c>
      <c r="HR52" s="1200" t="str">
        <f ca="1">IF(COUNTIF(HR$10:HR51,OFFSET(A1_原単位2027,17,HL52+2))&gt;=1,"",OFFSET(A1_原単位2027,17,HL52+2)&amp;"")</f>
        <v/>
      </c>
      <c r="HS52" s="1212" t="str">
        <f t="shared" ca="1" si="72"/>
        <v/>
      </c>
      <c r="HT52" s="1213" t="str">
        <f t="shared" ca="1" si="73"/>
        <v/>
      </c>
      <c r="HU52" s="1223" t="str">
        <f t="shared" ca="1" si="74"/>
        <v/>
      </c>
      <c r="HV52" s="1200" t="str">
        <f ca="1">IF(COUNTIF(HV$10:HV51,OFFSET(A1_原単位2027,29,HL52+2))&gt;=1,"",OFFSET(A1_原単位2027,29,HL52+2)&amp;"")</f>
        <v/>
      </c>
      <c r="HW52" s="1212" t="str">
        <f t="shared" ca="1" si="75"/>
        <v/>
      </c>
      <c r="HX52" s="1213" t="str">
        <f t="shared" ca="1" si="76"/>
        <v/>
      </c>
      <c r="HY52" s="1223" t="str">
        <f t="shared" ca="1" si="77"/>
        <v/>
      </c>
      <c r="HZ52" s="1200" t="str">
        <f ca="1">IF(COUNTIF(HZ$10:HZ51,OFFSET(A1_原単位2027,41,HL52+2))&gt;=1,"",OFFSET(A1_原単位2027,41,HL52+2)&amp;"")</f>
        <v/>
      </c>
      <c r="IA52" s="1215" t="str">
        <f t="shared" ca="1" si="78"/>
        <v/>
      </c>
      <c r="IB52" s="1216" t="str">
        <f t="shared" ca="1" si="79"/>
        <v/>
      </c>
      <c r="IE52" s="882" t="str">
        <f t="shared" ca="1" si="80"/>
        <v/>
      </c>
      <c r="IF52" s="882" t="str">
        <f t="shared" ca="1" si="81"/>
        <v/>
      </c>
      <c r="IG52" s="882" t="str">
        <f t="shared" ca="1" si="82"/>
        <v/>
      </c>
      <c r="IH52" s="882" t="str">
        <f t="shared" ca="1" si="83"/>
        <v/>
      </c>
    </row>
    <row r="53" spans="2:242" s="889" customFormat="1" ht="20.100000000000001"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918">
        <f t="shared" si="67"/>
        <v>0</v>
      </c>
      <c r="HD53" s="921">
        <f t="shared" si="67"/>
        <v>0</v>
      </c>
      <c r="HE53" s="921">
        <f t="shared" si="67"/>
        <v>0</v>
      </c>
      <c r="HF53" s="920"/>
      <c r="HG53" s="918">
        <f>SUM(SUMIFS(K53:HB53,$K$13:$HB$13,{"エネルギー管理指定工場等*","県域*"}))</f>
        <v>0</v>
      </c>
      <c r="HH53" s="921">
        <f>SUM(SUMIFS(L53:HC53,$K$13:$HB$13,{"エネルギー管理指定工場等*","県域*"}))</f>
        <v>0</v>
      </c>
      <c r="HI53" s="921">
        <f>SUM(SUMIFS(M53:HD53,$K$13:$HB$13,{"エネルギー管理指定工場等*","県域*"}))</f>
        <v>0</v>
      </c>
      <c r="HJ53" s="920"/>
      <c r="HL53" s="907">
        <v>44</v>
      </c>
      <c r="HM53" s="1223" t="str">
        <f t="shared" ca="1" si="68"/>
        <v/>
      </c>
      <c r="HN53" s="1200" t="str">
        <f ca="1">IF(COUNTIF(HN$10:HN52,OFFSET(A1_原単位2027,5,HL53+2))&gt;=1,"",OFFSET(A1_原単位2027,5,HL53+2)&amp;"")</f>
        <v/>
      </c>
      <c r="HO53" s="1204" t="str">
        <f t="shared" ca="1" si="69"/>
        <v/>
      </c>
      <c r="HP53" s="1205" t="str">
        <f t="shared" ca="1" si="70"/>
        <v/>
      </c>
      <c r="HQ53" s="1223" t="str">
        <f t="shared" ca="1" si="71"/>
        <v/>
      </c>
      <c r="HR53" s="1200" t="str">
        <f ca="1">IF(COUNTIF(HR$10:HR52,OFFSET(A1_原単位2027,17,HL53+2))&gt;=1,"",OFFSET(A1_原単位2027,17,HL53+2)&amp;"")</f>
        <v/>
      </c>
      <c r="HS53" s="1212" t="str">
        <f t="shared" ca="1" si="72"/>
        <v/>
      </c>
      <c r="HT53" s="1213" t="str">
        <f t="shared" ca="1" si="73"/>
        <v/>
      </c>
      <c r="HU53" s="1223" t="str">
        <f t="shared" ca="1" si="74"/>
        <v/>
      </c>
      <c r="HV53" s="1200" t="str">
        <f ca="1">IF(COUNTIF(HV$10:HV52,OFFSET(A1_原単位2027,29,HL53+2))&gt;=1,"",OFFSET(A1_原単位2027,29,HL53+2)&amp;"")</f>
        <v/>
      </c>
      <c r="HW53" s="1212" t="str">
        <f t="shared" ca="1" si="75"/>
        <v/>
      </c>
      <c r="HX53" s="1213" t="str">
        <f t="shared" ca="1" si="76"/>
        <v/>
      </c>
      <c r="HY53" s="1223" t="str">
        <f t="shared" ca="1" si="77"/>
        <v/>
      </c>
      <c r="HZ53" s="1200" t="str">
        <f ca="1">IF(COUNTIF(HZ$10:HZ52,OFFSET(A1_原単位2027,41,HL53+2))&gt;=1,"",OFFSET(A1_原単位2027,41,HL53+2)&amp;"")</f>
        <v/>
      </c>
      <c r="IA53" s="1215" t="str">
        <f t="shared" ca="1" si="78"/>
        <v/>
      </c>
      <c r="IB53" s="1216" t="str">
        <f t="shared" ca="1" si="79"/>
        <v/>
      </c>
      <c r="IE53" s="882" t="str">
        <f t="shared" ca="1" si="80"/>
        <v/>
      </c>
      <c r="IF53" s="882" t="str">
        <f t="shared" ca="1" si="81"/>
        <v/>
      </c>
      <c r="IG53" s="882" t="str">
        <f t="shared" ca="1" si="82"/>
        <v/>
      </c>
      <c r="IH53" s="882" t="str">
        <f t="shared" ca="1" si="83"/>
        <v/>
      </c>
    </row>
    <row r="54" spans="2:242" s="889" customFormat="1" ht="20.100000000000001"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918">
        <f t="shared" si="67"/>
        <v>0</v>
      </c>
      <c r="HD54" s="921">
        <f t="shared" si="67"/>
        <v>0</v>
      </c>
      <c r="HE54" s="921">
        <f t="shared" si="67"/>
        <v>0</v>
      </c>
      <c r="HF54" s="920"/>
      <c r="HG54" s="918">
        <f>SUM(SUMIFS(K54:HB54,$K$13:$HB$13,{"エネルギー管理指定工場等*","県域*"}))</f>
        <v>0</v>
      </c>
      <c r="HH54" s="921">
        <f>SUM(SUMIFS(L54:HC54,$K$13:$HB$13,{"エネルギー管理指定工場等*","県域*"}))</f>
        <v>0</v>
      </c>
      <c r="HI54" s="921">
        <f>SUM(SUMIFS(M54:HD54,$K$13:$HB$13,{"エネルギー管理指定工場等*","県域*"}))</f>
        <v>0</v>
      </c>
      <c r="HJ54" s="920"/>
      <c r="HL54" s="907">
        <v>45</v>
      </c>
      <c r="HM54" s="1223" t="str">
        <f t="shared" ca="1" si="68"/>
        <v/>
      </c>
      <c r="HN54" s="1200" t="str">
        <f ca="1">IF(COUNTIF(HN$10:HN53,OFFSET(A1_原単位2027,5,HL54+2))&gt;=1,"",OFFSET(A1_原単位2027,5,HL54+2)&amp;"")</f>
        <v/>
      </c>
      <c r="HO54" s="1204" t="str">
        <f t="shared" ca="1" si="69"/>
        <v/>
      </c>
      <c r="HP54" s="1205" t="str">
        <f t="shared" ca="1" si="70"/>
        <v/>
      </c>
      <c r="HQ54" s="1223" t="str">
        <f t="shared" ca="1" si="71"/>
        <v/>
      </c>
      <c r="HR54" s="1200" t="str">
        <f ca="1">IF(COUNTIF(HR$10:HR53,OFFSET(A1_原単位2027,17,HL54+2))&gt;=1,"",OFFSET(A1_原単位2027,17,HL54+2)&amp;"")</f>
        <v/>
      </c>
      <c r="HS54" s="1212" t="str">
        <f t="shared" ca="1" si="72"/>
        <v/>
      </c>
      <c r="HT54" s="1213" t="str">
        <f t="shared" ca="1" si="73"/>
        <v/>
      </c>
      <c r="HU54" s="1223" t="str">
        <f t="shared" ca="1" si="74"/>
        <v/>
      </c>
      <c r="HV54" s="1200" t="str">
        <f ca="1">IF(COUNTIF(HV$10:HV53,OFFSET(A1_原単位2027,29,HL54+2))&gt;=1,"",OFFSET(A1_原単位2027,29,HL54+2)&amp;"")</f>
        <v/>
      </c>
      <c r="HW54" s="1212" t="str">
        <f t="shared" ca="1" si="75"/>
        <v/>
      </c>
      <c r="HX54" s="1213" t="str">
        <f t="shared" ca="1" si="76"/>
        <v/>
      </c>
      <c r="HY54" s="1223" t="str">
        <f t="shared" ca="1" si="77"/>
        <v/>
      </c>
      <c r="HZ54" s="1200" t="str">
        <f ca="1">IF(COUNTIF(HZ$10:HZ53,OFFSET(A1_原単位2027,41,HL54+2))&gt;=1,"",OFFSET(A1_原単位2027,41,HL54+2)&amp;"")</f>
        <v/>
      </c>
      <c r="IA54" s="1215" t="str">
        <f t="shared" ca="1" si="78"/>
        <v/>
      </c>
      <c r="IB54" s="1216" t="str">
        <f t="shared" ca="1" si="79"/>
        <v/>
      </c>
      <c r="IE54" s="882" t="str">
        <f t="shared" ca="1" si="80"/>
        <v/>
      </c>
      <c r="IF54" s="882" t="str">
        <f t="shared" ca="1" si="81"/>
        <v/>
      </c>
      <c r="IG54" s="882" t="str">
        <f t="shared" ca="1" si="82"/>
        <v/>
      </c>
      <c r="IH54" s="882" t="str">
        <f t="shared" ca="1" si="83"/>
        <v/>
      </c>
    </row>
    <row r="55" spans="2:242" s="889" customFormat="1" ht="20.100000000000001"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918">
        <f t="shared" si="67"/>
        <v>0</v>
      </c>
      <c r="HD55" s="921">
        <f t="shared" si="67"/>
        <v>0</v>
      </c>
      <c r="HE55" s="921">
        <f t="shared" si="67"/>
        <v>0</v>
      </c>
      <c r="HF55" s="920"/>
      <c r="HG55" s="918">
        <f>SUM(SUMIFS(K55:HB55,$K$13:$HB$13,{"エネルギー管理指定工場等*","県域*"}))</f>
        <v>0</v>
      </c>
      <c r="HH55" s="921">
        <f>SUM(SUMIFS(L55:HC55,$K$13:$HB$13,{"エネルギー管理指定工場等*","県域*"}))</f>
        <v>0</v>
      </c>
      <c r="HI55" s="921">
        <f>SUM(SUMIFS(M55:HD55,$K$13:$HB$13,{"エネルギー管理指定工場等*","県域*"}))</f>
        <v>0</v>
      </c>
      <c r="HJ55" s="920"/>
      <c r="HL55" s="908">
        <v>46</v>
      </c>
      <c r="HM55" s="1223" t="str">
        <f t="shared" ca="1" si="68"/>
        <v/>
      </c>
      <c r="HN55" s="1200" t="str">
        <f ca="1">IF(COUNTIF(HN$10:HN54,OFFSET(A1_原単位2027,5,HL55+2))&gt;=1,"",OFFSET(A1_原単位2027,5,HL55+2)&amp;"")</f>
        <v/>
      </c>
      <c r="HO55" s="1204" t="str">
        <f t="shared" ca="1" si="69"/>
        <v/>
      </c>
      <c r="HP55" s="1205" t="str">
        <f t="shared" ca="1" si="70"/>
        <v/>
      </c>
      <c r="HQ55" s="1223" t="str">
        <f t="shared" ca="1" si="71"/>
        <v/>
      </c>
      <c r="HR55" s="1200" t="str">
        <f ca="1">IF(COUNTIF(HR$10:HR54,OFFSET(A1_原単位2027,17,HL55+2))&gt;=1,"",OFFSET(A1_原単位2027,17,HL55+2)&amp;"")</f>
        <v/>
      </c>
      <c r="HS55" s="1212" t="str">
        <f t="shared" ca="1" si="72"/>
        <v/>
      </c>
      <c r="HT55" s="1213" t="str">
        <f t="shared" ca="1" si="73"/>
        <v/>
      </c>
      <c r="HU55" s="1223" t="str">
        <f t="shared" ca="1" si="74"/>
        <v/>
      </c>
      <c r="HV55" s="1200" t="str">
        <f ca="1">IF(COUNTIF(HV$10:HV54,OFFSET(A1_原単位2027,29,HL55+2))&gt;=1,"",OFFSET(A1_原単位2027,29,HL55+2)&amp;"")</f>
        <v/>
      </c>
      <c r="HW55" s="1212" t="str">
        <f t="shared" ca="1" si="75"/>
        <v/>
      </c>
      <c r="HX55" s="1213" t="str">
        <f t="shared" ca="1" si="76"/>
        <v/>
      </c>
      <c r="HY55" s="1223" t="str">
        <f t="shared" ca="1" si="77"/>
        <v/>
      </c>
      <c r="HZ55" s="1200" t="str">
        <f ca="1">IF(COUNTIF(HZ$10:HZ54,OFFSET(A1_原単位2027,41,HL55+2))&gt;=1,"",OFFSET(A1_原単位2027,41,HL55+2)&amp;"")</f>
        <v/>
      </c>
      <c r="IA55" s="1215" t="str">
        <f t="shared" ca="1" si="78"/>
        <v/>
      </c>
      <c r="IB55" s="1216" t="str">
        <f t="shared" ca="1" si="79"/>
        <v/>
      </c>
      <c r="IE55" s="882" t="str">
        <f t="shared" ca="1" si="80"/>
        <v/>
      </c>
      <c r="IF55" s="882" t="str">
        <f t="shared" ca="1" si="81"/>
        <v/>
      </c>
      <c r="IG55" s="882" t="str">
        <f t="shared" ca="1" si="82"/>
        <v/>
      </c>
      <c r="IH55" s="882" t="str">
        <f t="shared" ca="1" si="83"/>
        <v/>
      </c>
    </row>
    <row r="56" spans="2:242" s="889" customFormat="1" ht="20.100000000000001"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918">
        <f t="shared" si="67"/>
        <v>0</v>
      </c>
      <c r="HD56" s="921">
        <f t="shared" si="67"/>
        <v>0</v>
      </c>
      <c r="HE56" s="921">
        <f t="shared" si="67"/>
        <v>0</v>
      </c>
      <c r="HF56" s="920"/>
      <c r="HG56" s="918">
        <f>SUM(SUMIFS(K56:HB56,$K$13:$HB$13,{"エネルギー管理指定工場等*","県域*"}))</f>
        <v>0</v>
      </c>
      <c r="HH56" s="921">
        <f>SUM(SUMIFS(L56:HC56,$K$13:$HB$13,{"エネルギー管理指定工場等*","県域*"}))</f>
        <v>0</v>
      </c>
      <c r="HI56" s="921">
        <f>SUM(SUMIFS(M56:HD56,$K$13:$HB$13,{"エネルギー管理指定工場等*","県域*"}))</f>
        <v>0</v>
      </c>
      <c r="HJ56" s="920"/>
      <c r="HL56" s="907">
        <v>47</v>
      </c>
      <c r="HM56" s="1223" t="str">
        <f t="shared" ca="1" si="68"/>
        <v/>
      </c>
      <c r="HN56" s="1200" t="str">
        <f ca="1">IF(COUNTIF(HN$10:HN55,OFFSET(A1_原単位2027,5,HL56+2))&gt;=1,"",OFFSET(A1_原単位2027,5,HL56+2)&amp;"")</f>
        <v/>
      </c>
      <c r="HO56" s="1204" t="str">
        <f t="shared" ca="1" si="69"/>
        <v/>
      </c>
      <c r="HP56" s="1205" t="str">
        <f t="shared" ca="1" si="70"/>
        <v/>
      </c>
      <c r="HQ56" s="1223" t="str">
        <f t="shared" ca="1" si="71"/>
        <v/>
      </c>
      <c r="HR56" s="1200" t="str">
        <f ca="1">IF(COUNTIF(HR$10:HR55,OFFSET(A1_原単位2027,17,HL56+2))&gt;=1,"",OFFSET(A1_原単位2027,17,HL56+2)&amp;"")</f>
        <v/>
      </c>
      <c r="HS56" s="1212" t="str">
        <f t="shared" ca="1" si="72"/>
        <v/>
      </c>
      <c r="HT56" s="1213" t="str">
        <f t="shared" ca="1" si="73"/>
        <v/>
      </c>
      <c r="HU56" s="1223" t="str">
        <f t="shared" ca="1" si="74"/>
        <v/>
      </c>
      <c r="HV56" s="1200" t="str">
        <f ca="1">IF(COUNTIF(HV$10:HV55,OFFSET(A1_原単位2027,29,HL56+2))&gt;=1,"",OFFSET(A1_原単位2027,29,HL56+2)&amp;"")</f>
        <v/>
      </c>
      <c r="HW56" s="1212" t="str">
        <f t="shared" ca="1" si="75"/>
        <v/>
      </c>
      <c r="HX56" s="1213" t="str">
        <f t="shared" ca="1" si="76"/>
        <v/>
      </c>
      <c r="HY56" s="1223" t="str">
        <f t="shared" ca="1" si="77"/>
        <v/>
      </c>
      <c r="HZ56" s="1200" t="str">
        <f ca="1">IF(COUNTIF(HZ$10:HZ55,OFFSET(A1_原単位2027,41,HL56+2))&gt;=1,"",OFFSET(A1_原単位2027,41,HL56+2)&amp;"")</f>
        <v/>
      </c>
      <c r="IA56" s="1215" t="str">
        <f t="shared" ca="1" si="78"/>
        <v/>
      </c>
      <c r="IB56" s="1216" t="str">
        <f t="shared" ca="1" si="79"/>
        <v/>
      </c>
      <c r="IE56" s="882" t="str">
        <f t="shared" ca="1" si="80"/>
        <v/>
      </c>
      <c r="IF56" s="882" t="str">
        <f t="shared" ca="1" si="81"/>
        <v/>
      </c>
      <c r="IG56" s="882" t="str">
        <f t="shared" ca="1" si="82"/>
        <v/>
      </c>
      <c r="IH56" s="882" t="str">
        <f t="shared" ca="1" si="83"/>
        <v/>
      </c>
    </row>
    <row r="57" spans="2:242" s="889" customFormat="1" ht="20.100000000000001"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918">
        <f t="shared" si="67"/>
        <v>0</v>
      </c>
      <c r="HD57" s="921">
        <f t="shared" si="67"/>
        <v>0</v>
      </c>
      <c r="HE57" s="921">
        <f t="shared" si="67"/>
        <v>0</v>
      </c>
      <c r="HF57" s="920"/>
      <c r="HG57" s="918">
        <f>SUM(SUMIFS(K57:HB57,$K$13:$HB$13,{"エネルギー管理指定工場等*","県域*"}))</f>
        <v>0</v>
      </c>
      <c r="HH57" s="921">
        <f>SUM(SUMIFS(L57:HC57,$K$13:$HB$13,{"エネルギー管理指定工場等*","県域*"}))</f>
        <v>0</v>
      </c>
      <c r="HI57" s="921">
        <f>SUM(SUMIFS(M57:HD57,$K$13:$HB$13,{"エネルギー管理指定工場等*","県域*"}))</f>
        <v>0</v>
      </c>
      <c r="HJ57" s="920"/>
      <c r="HL57" s="908">
        <v>48</v>
      </c>
      <c r="HM57" s="1223" t="str">
        <f t="shared" ca="1" si="68"/>
        <v/>
      </c>
      <c r="HN57" s="1200" t="str">
        <f ca="1">IF(COUNTIF(HN$10:HN56,OFFSET(A1_原単位2027,5,HL57+2))&gt;=1,"",OFFSET(A1_原単位2027,5,HL57+2)&amp;"")</f>
        <v/>
      </c>
      <c r="HO57" s="1204" t="str">
        <f t="shared" ca="1" si="69"/>
        <v/>
      </c>
      <c r="HP57" s="1205" t="str">
        <f t="shared" ca="1" si="70"/>
        <v/>
      </c>
      <c r="HQ57" s="1223" t="str">
        <f t="shared" ca="1" si="71"/>
        <v/>
      </c>
      <c r="HR57" s="1200" t="str">
        <f ca="1">IF(COUNTIF(HR$10:HR56,OFFSET(A1_原単位2027,17,HL57+2))&gt;=1,"",OFFSET(A1_原単位2027,17,HL57+2)&amp;"")</f>
        <v/>
      </c>
      <c r="HS57" s="1212" t="str">
        <f t="shared" ca="1" si="72"/>
        <v/>
      </c>
      <c r="HT57" s="1213" t="str">
        <f t="shared" ca="1" si="73"/>
        <v/>
      </c>
      <c r="HU57" s="1223" t="str">
        <f t="shared" ca="1" si="74"/>
        <v/>
      </c>
      <c r="HV57" s="1200" t="str">
        <f ca="1">IF(COUNTIF(HV$10:HV56,OFFSET(A1_原単位2027,29,HL57+2))&gt;=1,"",OFFSET(A1_原単位2027,29,HL57+2)&amp;"")</f>
        <v/>
      </c>
      <c r="HW57" s="1212" t="str">
        <f t="shared" ca="1" si="75"/>
        <v/>
      </c>
      <c r="HX57" s="1213" t="str">
        <f t="shared" ca="1" si="76"/>
        <v/>
      </c>
      <c r="HY57" s="1223" t="str">
        <f t="shared" ca="1" si="77"/>
        <v/>
      </c>
      <c r="HZ57" s="1200" t="str">
        <f ca="1">IF(COUNTIF(HZ$10:HZ56,OFFSET(A1_原単位2027,41,HL57+2))&gt;=1,"",OFFSET(A1_原単位2027,41,HL57+2)&amp;"")</f>
        <v/>
      </c>
      <c r="IA57" s="1215" t="str">
        <f t="shared" ca="1" si="78"/>
        <v/>
      </c>
      <c r="IB57" s="1216" t="str">
        <f t="shared" ca="1" si="79"/>
        <v/>
      </c>
      <c r="IE57" s="882" t="str">
        <f t="shared" ca="1" si="80"/>
        <v/>
      </c>
      <c r="IF57" s="882" t="str">
        <f t="shared" ca="1" si="81"/>
        <v/>
      </c>
      <c r="IG57" s="882" t="str">
        <f t="shared" ca="1" si="82"/>
        <v/>
      </c>
      <c r="IH57" s="882" t="str">
        <f t="shared" ca="1" si="83"/>
        <v/>
      </c>
    </row>
    <row r="58" spans="2:242" s="889" customFormat="1" ht="20.100000000000001"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918">
        <f t="shared" si="67"/>
        <v>0</v>
      </c>
      <c r="HD58" s="921">
        <f t="shared" si="67"/>
        <v>0</v>
      </c>
      <c r="HE58" s="921">
        <f t="shared" si="67"/>
        <v>0</v>
      </c>
      <c r="HF58" s="920"/>
      <c r="HG58" s="918">
        <f>SUM(SUMIFS(K58:HB58,$K$13:$HB$13,{"エネルギー管理指定工場等*","県域*"}))</f>
        <v>0</v>
      </c>
      <c r="HH58" s="921">
        <f>SUM(SUMIFS(L58:HC58,$K$13:$HB$13,{"エネルギー管理指定工場等*","県域*"}))</f>
        <v>0</v>
      </c>
      <c r="HI58" s="921">
        <f>SUM(SUMIFS(M58:HD58,$K$13:$HB$13,{"エネルギー管理指定工場等*","県域*"}))</f>
        <v>0</v>
      </c>
      <c r="HJ58" s="920"/>
      <c r="HL58" s="907">
        <v>49</v>
      </c>
      <c r="HM58" s="1223" t="str">
        <f t="shared" ca="1" si="68"/>
        <v/>
      </c>
      <c r="HN58" s="1200" t="str">
        <f ca="1">IF(COUNTIF(HN$10:HN57,OFFSET(A1_原単位2027,5,HL58+2))&gt;=1,"",OFFSET(A1_原単位2027,5,HL58+2)&amp;"")</f>
        <v/>
      </c>
      <c r="HO58" s="1204" t="str">
        <f t="shared" ca="1" si="69"/>
        <v/>
      </c>
      <c r="HP58" s="1205" t="str">
        <f t="shared" ca="1" si="70"/>
        <v/>
      </c>
      <c r="HQ58" s="1223" t="str">
        <f t="shared" ca="1" si="71"/>
        <v/>
      </c>
      <c r="HR58" s="1200" t="str">
        <f ca="1">IF(COUNTIF(HR$10:HR57,OFFSET(A1_原単位2027,17,HL58+2))&gt;=1,"",OFFSET(A1_原単位2027,17,HL58+2)&amp;"")</f>
        <v/>
      </c>
      <c r="HS58" s="1212" t="str">
        <f t="shared" ca="1" si="72"/>
        <v/>
      </c>
      <c r="HT58" s="1213" t="str">
        <f t="shared" ca="1" si="73"/>
        <v/>
      </c>
      <c r="HU58" s="1223" t="str">
        <f t="shared" ca="1" si="74"/>
        <v/>
      </c>
      <c r="HV58" s="1200" t="str">
        <f ca="1">IF(COUNTIF(HV$10:HV57,OFFSET(A1_原単位2027,29,HL58+2))&gt;=1,"",OFFSET(A1_原単位2027,29,HL58+2)&amp;"")</f>
        <v/>
      </c>
      <c r="HW58" s="1212" t="str">
        <f t="shared" ca="1" si="75"/>
        <v/>
      </c>
      <c r="HX58" s="1213" t="str">
        <f t="shared" ca="1" si="76"/>
        <v/>
      </c>
      <c r="HY58" s="1223" t="str">
        <f t="shared" ca="1" si="77"/>
        <v/>
      </c>
      <c r="HZ58" s="1200" t="str">
        <f ca="1">IF(COUNTIF(HZ$10:HZ57,OFFSET(A1_原単位2027,41,HL58+2))&gt;=1,"",OFFSET(A1_原単位2027,41,HL58+2)&amp;"")</f>
        <v/>
      </c>
      <c r="IA58" s="1215" t="str">
        <f t="shared" ca="1" si="78"/>
        <v/>
      </c>
      <c r="IB58" s="1216" t="str">
        <f t="shared" ca="1" si="79"/>
        <v/>
      </c>
      <c r="IE58" s="882" t="str">
        <f t="shared" ca="1" si="80"/>
        <v/>
      </c>
      <c r="IF58" s="882" t="str">
        <f t="shared" ca="1" si="81"/>
        <v/>
      </c>
      <c r="IG58" s="882" t="str">
        <f t="shared" ca="1" si="82"/>
        <v/>
      </c>
      <c r="IH58" s="882" t="str">
        <f t="shared" ca="1" si="83"/>
        <v/>
      </c>
    </row>
    <row r="59" spans="2:242" s="889" customFormat="1" ht="20.100000000000001"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918">
        <f t="shared" si="67"/>
        <v>0</v>
      </c>
      <c r="HD59" s="921">
        <f t="shared" si="67"/>
        <v>0</v>
      </c>
      <c r="HE59" s="921">
        <f t="shared" si="67"/>
        <v>0</v>
      </c>
      <c r="HF59" s="920"/>
      <c r="HG59" s="918">
        <f>SUM(SUMIFS(K59:HB59,$K$13:$HB$13,{"エネルギー管理指定工場等*","県域*"}))</f>
        <v>0</v>
      </c>
      <c r="HH59" s="921">
        <f>SUM(SUMIFS(L59:HC59,$K$13:$HB$13,{"エネルギー管理指定工場等*","県域*"}))</f>
        <v>0</v>
      </c>
      <c r="HI59" s="921">
        <f>SUM(SUMIFS(M59:HD59,$K$13:$HB$13,{"エネルギー管理指定工場等*","県域*"}))</f>
        <v>0</v>
      </c>
      <c r="HJ59" s="920"/>
      <c r="HL59" s="926">
        <v>50</v>
      </c>
      <c r="HM59" s="1224" t="str">
        <f t="shared" ca="1" si="68"/>
        <v/>
      </c>
      <c r="HN59" s="1201" t="str">
        <f ca="1">IF(COUNTIF(HN$10:HN58,OFFSET(A1_原単位2027,5,HL59+2))&gt;=1,"",OFFSET(A1_原単位2027,5,HL59+2)&amp;"")</f>
        <v/>
      </c>
      <c r="HO59" s="1206" t="str">
        <f t="shared" ca="1" si="69"/>
        <v/>
      </c>
      <c r="HP59" s="1207" t="str">
        <f t="shared" ca="1" si="70"/>
        <v/>
      </c>
      <c r="HQ59" s="1224" t="str">
        <f t="shared" ca="1" si="71"/>
        <v/>
      </c>
      <c r="HR59" s="1201" t="str">
        <f ca="1">IF(COUNTIF(HR$10:HR58,OFFSET(A1_原単位2027,17,HL59+2))&gt;=1,"",OFFSET(A1_原単位2027,17,HL59+2)&amp;"")</f>
        <v/>
      </c>
      <c r="HS59" s="1217" t="str">
        <f t="shared" ca="1" si="72"/>
        <v/>
      </c>
      <c r="HT59" s="1218" t="str">
        <f t="shared" ca="1" si="73"/>
        <v/>
      </c>
      <c r="HU59" s="1224" t="str">
        <f t="shared" ca="1" si="74"/>
        <v/>
      </c>
      <c r="HV59" s="1201" t="str">
        <f ca="1">IF(COUNTIF(HV$10:HV58,OFFSET(A1_原単位2027,29,HL59+2))&gt;=1,"",OFFSET(A1_原単位2027,29,HL59+2)&amp;"")</f>
        <v/>
      </c>
      <c r="HW59" s="1217" t="str">
        <f t="shared" ca="1" si="75"/>
        <v/>
      </c>
      <c r="HX59" s="1218" t="str">
        <f t="shared" ca="1" si="76"/>
        <v/>
      </c>
      <c r="HY59" s="1224" t="str">
        <f t="shared" ca="1" si="77"/>
        <v/>
      </c>
      <c r="HZ59" s="1201" t="str">
        <f ca="1">IF(COUNTIF(HZ$10:HZ58,OFFSET(A1_原単位2027,41,HL59+2))&gt;=1,"",OFFSET(A1_原単位2027,41,HL59+2)&amp;"")</f>
        <v/>
      </c>
      <c r="IA59" s="1220" t="str">
        <f t="shared" ca="1" si="78"/>
        <v/>
      </c>
      <c r="IB59" s="1221" t="str">
        <f t="shared" ca="1" si="79"/>
        <v/>
      </c>
      <c r="IE59" s="882" t="str">
        <f t="shared" ca="1" si="80"/>
        <v/>
      </c>
      <c r="IF59" s="882" t="str">
        <f t="shared" ca="1" si="81"/>
        <v/>
      </c>
      <c r="IG59" s="882" t="str">
        <f t="shared" ca="1" si="82"/>
        <v/>
      </c>
      <c r="IH59" s="882" t="str">
        <f t="shared" ca="1" si="83"/>
        <v/>
      </c>
    </row>
    <row r="60" spans="2:242" s="889" customFormat="1" ht="20.100000000000001"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918">
        <f t="shared" si="67"/>
        <v>0</v>
      </c>
      <c r="HD60" s="921">
        <f t="shared" si="67"/>
        <v>0</v>
      </c>
      <c r="HE60" s="921">
        <f t="shared" si="67"/>
        <v>0</v>
      </c>
      <c r="HF60" s="920"/>
      <c r="HG60" s="918">
        <f>SUM(SUMIFS(K60:HB60,$K$13:$HB$13,{"エネルギー管理指定工場等*","県域*"}))</f>
        <v>0</v>
      </c>
      <c r="HH60" s="921">
        <f>SUM(SUMIFS(L60:HC60,$K$13:$HB$13,{"エネルギー管理指定工場等*","県域*"}))</f>
        <v>0</v>
      </c>
      <c r="HI60" s="921">
        <f>SUM(SUMIFS(M60:HD60,$K$13:$HB$13,{"エネルギー管理指定工場等*","県域*"}))</f>
        <v>0</v>
      </c>
      <c r="HJ60" s="920"/>
      <c r="IE60" s="927"/>
      <c r="IF60" s="927"/>
      <c r="IG60" s="927"/>
      <c r="IH60" s="927"/>
    </row>
    <row r="61" spans="2:242" s="889" customFormat="1" ht="20.100000000000001"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918">
        <f t="shared" si="67"/>
        <v>0</v>
      </c>
      <c r="HD61" s="921">
        <f t="shared" si="67"/>
        <v>0</v>
      </c>
      <c r="HE61" s="921">
        <f t="shared" si="67"/>
        <v>0</v>
      </c>
      <c r="HF61" s="920"/>
      <c r="HG61" s="918">
        <f>SUM(SUMIFS(K61:HB61,$K$13:$HB$13,{"エネルギー管理指定工場等*","県域*"}))</f>
        <v>0</v>
      </c>
      <c r="HH61" s="921">
        <f>SUM(SUMIFS(L61:HC61,$K$13:$HB$13,{"エネルギー管理指定工場等*","県域*"}))</f>
        <v>0</v>
      </c>
      <c r="HI61" s="921">
        <f>SUM(SUMIFS(M61:HD61,$K$13:$HB$13,{"エネルギー管理指定工場等*","県域*"}))</f>
        <v>0</v>
      </c>
      <c r="HJ61" s="920"/>
      <c r="IE61" s="927"/>
      <c r="IF61" s="927"/>
      <c r="IG61" s="927"/>
      <c r="IH61" s="927"/>
    </row>
    <row r="62" spans="2:242" s="889" customFormat="1" ht="20.100000000000001"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918">
        <f t="shared" si="67"/>
        <v>0</v>
      </c>
      <c r="HD62" s="921">
        <f t="shared" si="67"/>
        <v>0</v>
      </c>
      <c r="HE62" s="921">
        <f t="shared" si="67"/>
        <v>0</v>
      </c>
      <c r="HF62" s="920"/>
      <c r="HG62" s="918">
        <f>SUM(SUMIFS(K62:HB62,$K$13:$HB$13,{"エネルギー管理指定工場等*","県域*"}))</f>
        <v>0</v>
      </c>
      <c r="HH62" s="921">
        <f>SUM(SUMIFS(L62:HC62,$K$13:$HB$13,{"エネルギー管理指定工場等*","県域*"}))</f>
        <v>0</v>
      </c>
      <c r="HI62" s="921">
        <f>SUM(SUMIFS(M62:HD62,$K$13:$HB$13,{"エネルギー管理指定工場等*","県域*"}))</f>
        <v>0</v>
      </c>
      <c r="HJ62" s="920"/>
      <c r="IE62" s="927"/>
      <c r="IF62" s="927"/>
      <c r="IG62" s="927"/>
      <c r="IH62" s="927"/>
    </row>
    <row r="63" spans="2:242" s="889" customFormat="1" ht="20.100000000000001"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918">
        <f t="shared" si="67"/>
        <v>0</v>
      </c>
      <c r="HD63" s="921">
        <f t="shared" si="67"/>
        <v>0</v>
      </c>
      <c r="HE63" s="921">
        <f t="shared" si="67"/>
        <v>0</v>
      </c>
      <c r="HF63" s="920"/>
      <c r="HG63" s="918">
        <f>SUM(SUMIFS(K63:HB63,$K$13:$HB$13,{"エネルギー管理指定工場等*","県域*"}))</f>
        <v>0</v>
      </c>
      <c r="HH63" s="921">
        <f>SUM(SUMIFS(L63:HC63,$K$13:$HB$13,{"エネルギー管理指定工場等*","県域*"}))</f>
        <v>0</v>
      </c>
      <c r="HI63" s="921">
        <f>SUM(SUMIFS(M63:HD63,$K$13:$HB$13,{"エネルギー管理指定工場等*","県域*"}))</f>
        <v>0</v>
      </c>
      <c r="HJ63" s="920"/>
      <c r="IE63" s="927"/>
      <c r="IF63" s="927"/>
      <c r="IG63" s="927"/>
      <c r="IH63" s="927"/>
    </row>
    <row r="64" spans="2:242" s="889" customFormat="1" ht="20.100000000000001"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918">
        <f t="shared" si="67"/>
        <v>0</v>
      </c>
      <c r="HD64" s="921">
        <f t="shared" si="67"/>
        <v>0</v>
      </c>
      <c r="HE64" s="921">
        <f t="shared" si="67"/>
        <v>0</v>
      </c>
      <c r="HF64" s="920"/>
      <c r="HG64" s="918">
        <f>SUM(SUMIFS(K64:HB64,$K$13:$HB$13,{"エネルギー管理指定工場等*","県域*"}))</f>
        <v>0</v>
      </c>
      <c r="HH64" s="921">
        <f>SUM(SUMIFS(L64:HC64,$K$13:$HB$13,{"エネルギー管理指定工場等*","県域*"}))</f>
        <v>0</v>
      </c>
      <c r="HI64" s="921">
        <f>SUM(SUMIFS(M64:HD64,$K$13:$HB$13,{"エネルギー管理指定工場等*","県域*"}))</f>
        <v>0</v>
      </c>
      <c r="HJ64" s="920"/>
      <c r="IE64" s="927"/>
      <c r="IF64" s="927"/>
      <c r="IG64" s="927"/>
      <c r="IH64" s="927"/>
    </row>
    <row r="65" spans="2:242" s="889" customFormat="1" ht="59.4">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918">
        <f t="shared" si="67"/>
        <v>0</v>
      </c>
      <c r="HD65" s="928"/>
      <c r="HE65" s="921">
        <f t="shared" si="67"/>
        <v>0</v>
      </c>
      <c r="HF65" s="919">
        <f t="shared" si="67"/>
        <v>0</v>
      </c>
      <c r="HG65" s="918">
        <f>SUM(SUMIFS(K65:HB65,$K$13:$HB$13,{"エネルギー管理指定工場等*","県域*"}))</f>
        <v>0</v>
      </c>
      <c r="HH65" s="928"/>
      <c r="HI65" s="921">
        <f>SUM(SUMIFS(M65:HD65,$K$13:$HB$13,{"エネルギー管理指定工場等*","県域*"}))</f>
        <v>0</v>
      </c>
      <c r="HJ65" s="919">
        <f>SUM(SUMIFS(N65:HE65,$K$13:$HB$13,{"エネルギー管理指定工場等*","県域*"}))</f>
        <v>0</v>
      </c>
      <c r="IE65" s="927"/>
      <c r="IF65" s="927"/>
      <c r="IG65" s="927"/>
      <c r="IH65" s="927"/>
    </row>
    <row r="66" spans="2:242" s="889" customFormat="1" ht="20.100000000000001"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918">
        <f t="shared" si="67"/>
        <v>0</v>
      </c>
      <c r="HD66" s="928"/>
      <c r="HE66" s="921">
        <f t="shared" si="67"/>
        <v>0</v>
      </c>
      <c r="HF66" s="919">
        <f t="shared" si="67"/>
        <v>0</v>
      </c>
      <c r="HG66" s="918">
        <f>SUM(SUMIFS(K66:HB66,$K$13:$HB$13,{"エネルギー管理指定工場等*","県域*"}))</f>
        <v>0</v>
      </c>
      <c r="HH66" s="928"/>
      <c r="HI66" s="921">
        <f>SUM(SUMIFS(M66:HD66,$K$13:$HB$13,{"エネルギー管理指定工場等*","県域*"}))</f>
        <v>0</v>
      </c>
      <c r="HJ66" s="919">
        <f>SUM(SUMIFS(N66:HE66,$K$13:$HB$13,{"エネルギー管理指定工場等*","県域*"}))</f>
        <v>0</v>
      </c>
      <c r="IE66" s="927"/>
      <c r="IF66" s="927"/>
      <c r="IG66" s="927"/>
      <c r="IH66" s="927"/>
    </row>
    <row r="67" spans="2:242" s="889" customFormat="1" ht="20.100000000000001"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918">
        <f t="shared" si="67"/>
        <v>0</v>
      </c>
      <c r="HD67" s="928"/>
      <c r="HE67" s="921">
        <f t="shared" si="67"/>
        <v>0</v>
      </c>
      <c r="HF67" s="919">
        <f t="shared" si="67"/>
        <v>0</v>
      </c>
      <c r="HG67" s="918">
        <f>SUM(SUMIFS(K67:HB67,$K$13:$HB$13,{"エネルギー管理指定工場等*","県域*"}))</f>
        <v>0</v>
      </c>
      <c r="HH67" s="928"/>
      <c r="HI67" s="921">
        <f>SUM(SUMIFS(M67:HD67,$K$13:$HB$13,{"エネルギー管理指定工場等*","県域*"}))</f>
        <v>0</v>
      </c>
      <c r="HJ67" s="919">
        <f>SUM(SUMIFS(N67:HE67,$K$13:$HB$13,{"エネルギー管理指定工場等*","県域*"}))</f>
        <v>0</v>
      </c>
      <c r="IE67" s="927"/>
      <c r="IF67" s="927"/>
      <c r="IG67" s="927"/>
      <c r="IH67" s="927"/>
    </row>
    <row r="68" spans="2:242" s="889" customFormat="1" ht="20.100000000000001"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918">
        <f t="shared" si="67"/>
        <v>0</v>
      </c>
      <c r="HD68" s="928"/>
      <c r="HE68" s="921">
        <f t="shared" si="67"/>
        <v>0</v>
      </c>
      <c r="HF68" s="919">
        <f t="shared" si="67"/>
        <v>0</v>
      </c>
      <c r="HG68" s="918">
        <f>SUM(SUMIFS(K68:HB68,$K$13:$HB$13,{"エネルギー管理指定工場等*","県域*"}))</f>
        <v>0</v>
      </c>
      <c r="HH68" s="928"/>
      <c r="HI68" s="921">
        <f>SUM(SUMIFS(M68:HD68,$K$13:$HB$13,{"エネルギー管理指定工場等*","県域*"}))</f>
        <v>0</v>
      </c>
      <c r="HJ68" s="919">
        <f>SUM(SUMIFS(N68:HE68,$K$13:$HB$13,{"エネルギー管理指定工場等*","県域*"}))</f>
        <v>0</v>
      </c>
      <c r="IE68" s="927"/>
      <c r="IF68" s="927"/>
      <c r="IG68" s="927"/>
      <c r="IH68" s="927"/>
    </row>
    <row r="69" spans="2:242" s="889" customFormat="1" ht="20.100000000000001"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918">
        <f t="shared" si="67"/>
        <v>0</v>
      </c>
      <c r="HD69" s="928"/>
      <c r="HE69" s="921">
        <f t="shared" si="67"/>
        <v>0</v>
      </c>
      <c r="HF69" s="919">
        <f t="shared" si="67"/>
        <v>0</v>
      </c>
      <c r="HG69" s="918">
        <f>SUM(SUMIFS(K69:HB69,$K$13:$HB$13,{"エネルギー管理指定工場等*","県域*"}))</f>
        <v>0</v>
      </c>
      <c r="HH69" s="928"/>
      <c r="HI69" s="921">
        <f>SUM(SUMIFS(M69:HD69,$K$13:$HB$13,{"エネルギー管理指定工場等*","県域*"}))</f>
        <v>0</v>
      </c>
      <c r="HJ69" s="919">
        <f>SUM(SUMIFS(N69:HE69,$K$13:$HB$13,{"エネルギー管理指定工場等*","県域*"}))</f>
        <v>0</v>
      </c>
      <c r="IE69" s="927"/>
      <c r="IF69" s="927"/>
      <c r="IG69" s="927"/>
      <c r="IH69" s="927"/>
    </row>
    <row r="70" spans="2:242" s="889" customFormat="1" ht="20.100000000000001"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918">
        <f t="shared" si="67"/>
        <v>0</v>
      </c>
      <c r="HD70" s="928"/>
      <c r="HE70" s="921">
        <f t="shared" si="67"/>
        <v>0</v>
      </c>
      <c r="HF70" s="919">
        <f t="shared" si="67"/>
        <v>0</v>
      </c>
      <c r="HG70" s="918">
        <f>SUM(SUMIFS(K70:HB70,$K$13:$HB$13,{"エネルギー管理指定工場等*","県域*"}))</f>
        <v>0</v>
      </c>
      <c r="HH70" s="928"/>
      <c r="HI70" s="921">
        <f>SUM(SUMIFS(M70:HD70,$K$13:$HB$13,{"エネルギー管理指定工場等*","県域*"}))</f>
        <v>0</v>
      </c>
      <c r="HJ70" s="919">
        <f>SUM(SUMIFS(N70:HE70,$K$13:$HB$13,{"エネルギー管理指定工場等*","県域*"}))</f>
        <v>0</v>
      </c>
      <c r="IE70" s="927"/>
      <c r="IF70" s="927"/>
      <c r="IG70" s="927"/>
      <c r="IH70" s="927"/>
    </row>
    <row r="71" spans="2:242" s="889" customFormat="1" ht="20.100000000000001"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918">
        <f t="shared" si="67"/>
        <v>0</v>
      </c>
      <c r="HD71" s="928"/>
      <c r="HE71" s="921">
        <f t="shared" si="67"/>
        <v>0</v>
      </c>
      <c r="HF71" s="919">
        <f t="shared" si="67"/>
        <v>0</v>
      </c>
      <c r="HG71" s="918">
        <f>SUM(SUMIFS(K71:HB71,$K$13:$HB$13,{"エネルギー管理指定工場等*","県域*"}))</f>
        <v>0</v>
      </c>
      <c r="HH71" s="928"/>
      <c r="HI71" s="921">
        <f>SUM(SUMIFS(M71:HD71,$K$13:$HB$13,{"エネルギー管理指定工場等*","県域*"}))</f>
        <v>0</v>
      </c>
      <c r="HJ71" s="919">
        <f>SUM(SUMIFS(N71:HE71,$K$13:$HB$13,{"エネルギー管理指定工場等*","県域*"}))</f>
        <v>0</v>
      </c>
      <c r="IE71" s="927"/>
      <c r="IF71" s="927"/>
      <c r="IG71" s="927"/>
      <c r="IH71" s="927"/>
    </row>
    <row r="72" spans="2:242" s="889" customFormat="1" ht="20.100000000000001"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918">
        <f t="shared" si="67"/>
        <v>0</v>
      </c>
      <c r="HD72" s="928"/>
      <c r="HE72" s="921">
        <f t="shared" si="67"/>
        <v>0</v>
      </c>
      <c r="HF72" s="919">
        <f t="shared" si="67"/>
        <v>0</v>
      </c>
      <c r="HG72" s="918">
        <f>SUM(SUMIFS(K72:HB72,$K$13:$HB$13,{"エネルギー管理指定工場等*","県域*"}))</f>
        <v>0</v>
      </c>
      <c r="HH72" s="928"/>
      <c r="HI72" s="921">
        <f>SUM(SUMIFS(M72:HD72,$K$13:$HB$13,{"エネルギー管理指定工場等*","県域*"}))</f>
        <v>0</v>
      </c>
      <c r="HJ72" s="919">
        <f>SUM(SUMIFS(N72:HE72,$K$13:$HB$13,{"エネルギー管理指定工場等*","県域*"}))</f>
        <v>0</v>
      </c>
      <c r="IE72" s="927"/>
      <c r="IF72" s="927"/>
      <c r="IG72" s="927"/>
      <c r="IH72" s="927"/>
    </row>
    <row r="73" spans="2:242" s="889" customFormat="1" ht="20.100000000000001"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918">
        <f t="shared" si="67"/>
        <v>0</v>
      </c>
      <c r="HD73" s="928"/>
      <c r="HE73" s="921">
        <f t="shared" si="67"/>
        <v>0</v>
      </c>
      <c r="HF73" s="919">
        <f t="shared" si="67"/>
        <v>0</v>
      </c>
      <c r="HG73" s="918">
        <f>SUM(SUMIFS(K73:HB73,$K$13:$HB$13,{"エネルギー管理指定工場等*","県域*"}))</f>
        <v>0</v>
      </c>
      <c r="HH73" s="928"/>
      <c r="HI73" s="921">
        <f>SUM(SUMIFS(M73:HD73,$K$13:$HB$13,{"エネルギー管理指定工場等*","県域*"}))</f>
        <v>0</v>
      </c>
      <c r="HJ73" s="919">
        <f>SUM(SUMIFS(N73:HE73,$K$13:$HB$13,{"エネルギー管理指定工場等*","県域*"}))</f>
        <v>0</v>
      </c>
      <c r="IE73" s="927"/>
      <c r="IF73" s="927"/>
      <c r="IG73" s="927"/>
      <c r="IH73" s="927"/>
    </row>
    <row r="74" spans="2:242" s="889" customFormat="1" ht="20.100000000000001"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925">
        <f t="shared" si="67"/>
        <v>0</v>
      </c>
      <c r="HD74" s="929"/>
      <c r="HE74" s="922">
        <f t="shared" si="67"/>
        <v>0</v>
      </c>
      <c r="HF74" s="930">
        <f t="shared" si="67"/>
        <v>0</v>
      </c>
      <c r="HG74" s="925">
        <f>SUM(SUMIFS(K74:HB74,$K$13:$HB$13,{"エネルギー管理指定工場等*","県域*"}))</f>
        <v>0</v>
      </c>
      <c r="HH74" s="929"/>
      <c r="HI74" s="922">
        <f>SUM(SUMIFS(M74:HD74,$K$13:$HB$13,{"エネルギー管理指定工場等*","県域*"}))</f>
        <v>0</v>
      </c>
      <c r="HJ74" s="930">
        <f>SUM(SUMIFS(N74:HE74,$K$13:$HB$13,{"エネルギー管理指定工場等*","県域*"}))</f>
        <v>0</v>
      </c>
      <c r="IE74" s="927"/>
      <c r="IF74" s="927"/>
      <c r="IG74" s="927"/>
      <c r="IH74" s="927"/>
    </row>
    <row r="75" spans="2:242" s="889" customFormat="1" ht="39.6">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925">
        <f t="shared" si="67"/>
        <v>0</v>
      </c>
      <c r="HD75" s="929"/>
      <c r="HE75" s="922">
        <f t="shared" si="67"/>
        <v>0</v>
      </c>
      <c r="HF75" s="930">
        <f t="shared" si="67"/>
        <v>0</v>
      </c>
      <c r="HG75" s="925">
        <f>SUM(SUMIFS(K75:HB75,$K$13:$HB$13,{"エネルギー管理指定工場等*","県域*"}))</f>
        <v>0</v>
      </c>
      <c r="HH75" s="929"/>
      <c r="HI75" s="922">
        <f>SUM(SUMIFS(M75:HD75,$K$13:$HB$13,{"エネルギー管理指定工場等*","県域*"}))</f>
        <v>0</v>
      </c>
      <c r="HJ75" s="930">
        <f>SUM(SUMIFS(N75:HE75,$K$13:$HB$13,{"エネルギー管理指定工場等*","県域*"}))</f>
        <v>0</v>
      </c>
      <c r="IE75" s="927"/>
      <c r="IF75" s="927"/>
      <c r="IG75" s="927"/>
      <c r="IH75" s="927"/>
    </row>
    <row r="76" spans="2:242" s="889" customFormat="1" ht="20.100000000000001"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925">
        <f t="shared" si="67"/>
        <v>0</v>
      </c>
      <c r="HD76" s="929"/>
      <c r="HE76" s="922">
        <f t="shared" si="67"/>
        <v>0</v>
      </c>
      <c r="HF76" s="930">
        <f t="shared" si="67"/>
        <v>0</v>
      </c>
      <c r="HG76" s="925">
        <f>SUM(SUMIFS(K76:HB76,$K$13:$HB$13,{"エネルギー管理指定工場等*","県域*"}))</f>
        <v>0</v>
      </c>
      <c r="HH76" s="929"/>
      <c r="HI76" s="922">
        <f>SUM(SUMIFS(M76:HD76,$K$13:$HB$13,{"エネルギー管理指定工場等*","県域*"}))</f>
        <v>0</v>
      </c>
      <c r="HJ76" s="930">
        <f>SUM(SUMIFS(N76:HE76,$K$13:$HB$13,{"エネルギー管理指定工場等*","県域*"}))</f>
        <v>0</v>
      </c>
      <c r="IE76" s="927"/>
      <c r="IF76" s="927"/>
      <c r="IG76" s="927"/>
      <c r="IH76" s="927"/>
    </row>
    <row r="77" spans="2:242" s="889" customFormat="1" ht="20.100000000000001"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925">
        <f t="shared" si="67"/>
        <v>0</v>
      </c>
      <c r="HD77" s="929"/>
      <c r="HE77" s="922">
        <f t="shared" si="67"/>
        <v>0</v>
      </c>
      <c r="HF77" s="930">
        <f t="shared" si="67"/>
        <v>0</v>
      </c>
      <c r="HG77" s="925">
        <f>SUM(SUMIFS(K77:HB77,$K$13:$HB$13,{"エネルギー管理指定工場等*","県域*"}))</f>
        <v>0</v>
      </c>
      <c r="HH77" s="929"/>
      <c r="HI77" s="922">
        <f>SUM(SUMIFS(M77:HD77,$K$13:$HB$13,{"エネルギー管理指定工場等*","県域*"}))</f>
        <v>0</v>
      </c>
      <c r="HJ77" s="930">
        <f>SUM(SUMIFS(N77:HE77,$K$13:$HB$13,{"エネルギー管理指定工場等*","県域*"}))</f>
        <v>0</v>
      </c>
      <c r="IE77" s="927"/>
      <c r="IF77" s="927"/>
      <c r="IG77" s="927"/>
      <c r="IH77" s="927"/>
    </row>
    <row r="78" spans="2:242" s="889" customFormat="1" ht="20.100000000000001"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925">
        <f t="shared" si="67"/>
        <v>0</v>
      </c>
      <c r="HD78" s="929"/>
      <c r="HE78" s="922">
        <f t="shared" si="67"/>
        <v>0</v>
      </c>
      <c r="HF78" s="930">
        <f t="shared" si="67"/>
        <v>0</v>
      </c>
      <c r="HG78" s="925">
        <f>SUM(SUMIFS(K78:HB78,$K$13:$HB$13,{"エネルギー管理指定工場等*","県域*"}))</f>
        <v>0</v>
      </c>
      <c r="HH78" s="929"/>
      <c r="HI78" s="922">
        <f>SUM(SUMIFS(M78:HD78,$K$13:$HB$13,{"エネルギー管理指定工場等*","県域*"}))</f>
        <v>0</v>
      </c>
      <c r="HJ78" s="930">
        <f>SUM(SUMIFS(N78:HE78,$K$13:$HB$13,{"エネルギー管理指定工場等*","県域*"}))</f>
        <v>0</v>
      </c>
      <c r="IE78" s="927"/>
      <c r="IF78" s="927"/>
      <c r="IG78" s="927"/>
      <c r="IH78" s="927"/>
    </row>
    <row r="79" spans="2:242" s="889" customFormat="1" ht="20.100000000000001"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925">
        <f t="shared" si="67"/>
        <v>0</v>
      </c>
      <c r="HD79" s="929"/>
      <c r="HE79" s="922">
        <f t="shared" si="67"/>
        <v>0</v>
      </c>
      <c r="HF79" s="930">
        <f t="shared" si="67"/>
        <v>0</v>
      </c>
      <c r="HG79" s="925">
        <f>SUM(SUMIFS(K79:HB79,$K$13:$HB$13,{"エネルギー管理指定工場等*","県域*"}))</f>
        <v>0</v>
      </c>
      <c r="HH79" s="929"/>
      <c r="HI79" s="922">
        <f>SUM(SUMIFS(M79:HD79,$K$13:$HB$13,{"エネルギー管理指定工場等*","県域*"}))</f>
        <v>0</v>
      </c>
      <c r="HJ79" s="930">
        <f>SUM(SUMIFS(N79:HE79,$K$13:$HB$13,{"エネルギー管理指定工場等*","県域*"}))</f>
        <v>0</v>
      </c>
      <c r="IE79" s="927"/>
      <c r="IF79" s="927"/>
      <c r="IG79" s="927"/>
      <c r="IH79" s="927"/>
    </row>
    <row r="80" spans="2:242" s="889" customFormat="1" ht="20.100000000000001"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918">
        <f t="shared" si="67"/>
        <v>0</v>
      </c>
      <c r="HD80" s="928"/>
      <c r="HE80" s="921">
        <f t="shared" si="67"/>
        <v>0</v>
      </c>
      <c r="HF80" s="919">
        <f t="shared" si="67"/>
        <v>0</v>
      </c>
      <c r="HG80" s="918">
        <f>SUM(SUMIFS(K80:HB80,$K$13:$HB$13,{"エネルギー管理指定工場等*","県域*"}))</f>
        <v>0</v>
      </c>
      <c r="HH80" s="928"/>
      <c r="HI80" s="921">
        <f>SUM(SUMIFS(M80:HD80,$K$13:$HB$13,{"エネルギー管理指定工場等*","県域*"}))</f>
        <v>0</v>
      </c>
      <c r="HJ80" s="919">
        <f>SUM(SUMIFS(N80:HE80,$K$13:$HB$13,{"エネルギー管理指定工場等*","県域*"}))</f>
        <v>0</v>
      </c>
      <c r="IE80" s="927"/>
      <c r="IF80" s="927"/>
      <c r="IG80" s="927"/>
      <c r="IH80" s="927"/>
    </row>
    <row r="81" spans="2:242" s="889" customFormat="1" ht="59.4">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924">
        <f t="shared" si="67"/>
        <v>0</v>
      </c>
      <c r="HD81" s="932"/>
      <c r="HE81" s="932"/>
      <c r="HF81" s="931"/>
      <c r="HG81" s="924">
        <f>SUM(SUMIFS(K81:HB81,$K$13:$HB$13,{"エネルギー管理指定工場等*","県域*"}))</f>
        <v>0</v>
      </c>
      <c r="HH81" s="932"/>
      <c r="HI81" s="932"/>
      <c r="HJ81" s="931"/>
      <c r="IE81" s="927"/>
      <c r="IF81" s="927"/>
      <c r="IG81" s="927"/>
      <c r="IH81" s="927"/>
    </row>
    <row r="82" spans="2:242" s="889" customFormat="1" ht="20.100000000000001"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918">
        <f t="shared" ref="HC82:HC107" si="84">K82+O82+S82+W82+AA82+AE82+AI82+AM82+AQ82+AU82+AY82+BC82+BG82+BK82+BO82+BS82+BW82+CA82+CE82+CI82+CM82+CQ82+CU82+CY82+DC82+DG82+DK82+DO82+DS82+DW82+EA82+EE82+EI82+EM82+EQ82+EU82+EY82+FC82+FG82+FK82+FO82+FS82+FW82+GA82+GE82+GI82+GM82+GQ82+GU82+GY82</f>
        <v>0</v>
      </c>
      <c r="HD82" s="928"/>
      <c r="HE82" s="928"/>
      <c r="HF82" s="920"/>
      <c r="HG82" s="918">
        <f>SUM(SUMIFS(K82:HB82,$K$13:$HB$13,{"エネルギー管理指定工場等*","県域*"}))</f>
        <v>0</v>
      </c>
      <c r="HH82" s="928"/>
      <c r="HI82" s="928"/>
      <c r="HJ82" s="920"/>
      <c r="IE82" s="927"/>
      <c r="IF82" s="927"/>
      <c r="IG82" s="927"/>
      <c r="IH82" s="927"/>
    </row>
    <row r="83" spans="2:242" s="889" customFormat="1" ht="20.100000000000001"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918">
        <f t="shared" si="84"/>
        <v>0</v>
      </c>
      <c r="HD83" s="928"/>
      <c r="HE83" s="928"/>
      <c r="HF83" s="920"/>
      <c r="HG83" s="918">
        <f>SUM(SUMIFS(K83:HB83,$K$13:$HB$13,{"エネルギー管理指定工場等*","県域*"}))</f>
        <v>0</v>
      </c>
      <c r="HH83" s="928"/>
      <c r="HI83" s="928"/>
      <c r="HJ83" s="920"/>
      <c r="IE83" s="927"/>
      <c r="IF83" s="927"/>
      <c r="IG83" s="927"/>
      <c r="IH83" s="927"/>
    </row>
    <row r="84" spans="2:242" s="889" customFormat="1" ht="20.100000000000001"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918">
        <f t="shared" si="84"/>
        <v>0</v>
      </c>
      <c r="HD84" s="928"/>
      <c r="HE84" s="928"/>
      <c r="HF84" s="920"/>
      <c r="HG84" s="918">
        <f>SUM(SUMIFS(K84:HB84,$K$13:$HB$13,{"エネルギー管理指定工場等*","県域*"}))</f>
        <v>0</v>
      </c>
      <c r="HH84" s="928"/>
      <c r="HI84" s="928"/>
      <c r="HJ84" s="920"/>
      <c r="IE84" s="927"/>
      <c r="IF84" s="927"/>
      <c r="IG84" s="927"/>
      <c r="IH84" s="927"/>
    </row>
    <row r="85" spans="2:242" s="889" customFormat="1" ht="20.100000000000001"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918">
        <f t="shared" si="84"/>
        <v>0</v>
      </c>
      <c r="HD85" s="928"/>
      <c r="HE85" s="928"/>
      <c r="HF85" s="920"/>
      <c r="HG85" s="918">
        <f>SUM(SUMIFS(K85:HB85,$K$13:$HB$13,{"エネルギー管理指定工場等*","県域*"}))</f>
        <v>0</v>
      </c>
      <c r="HH85" s="928"/>
      <c r="HI85" s="928"/>
      <c r="HJ85" s="920"/>
      <c r="IE85" s="927"/>
      <c r="IF85" s="927"/>
      <c r="IG85" s="927"/>
      <c r="IH85" s="927"/>
    </row>
    <row r="86" spans="2:242" s="889" customFormat="1" ht="20.100000000000001"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918">
        <f t="shared" si="84"/>
        <v>0</v>
      </c>
      <c r="HD86" s="928"/>
      <c r="HE86" s="928"/>
      <c r="HF86" s="920"/>
      <c r="HG86" s="918">
        <f>SUM(SUMIFS(K86:HB86,$K$13:$HB$13,{"エネルギー管理指定工場等*","県域*"}))</f>
        <v>0</v>
      </c>
      <c r="HH86" s="928"/>
      <c r="HI86" s="928"/>
      <c r="HJ86" s="920"/>
      <c r="IE86" s="927"/>
      <c r="IF86" s="927"/>
      <c r="IG86" s="927"/>
      <c r="IH86" s="927"/>
    </row>
    <row r="87" spans="2:242" s="889" customFormat="1" ht="20.100000000000001"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918">
        <f t="shared" si="84"/>
        <v>0</v>
      </c>
      <c r="HD87" s="928"/>
      <c r="HE87" s="928"/>
      <c r="HF87" s="920"/>
      <c r="HG87" s="918">
        <f>SUM(SUMIFS(K87:HB87,$K$13:$HB$13,{"エネルギー管理指定工場等*","県域*"}))</f>
        <v>0</v>
      </c>
      <c r="HH87" s="928"/>
      <c r="HI87" s="928"/>
      <c r="HJ87" s="920"/>
      <c r="IE87" s="927"/>
      <c r="IF87" s="927"/>
      <c r="IG87" s="927"/>
      <c r="IH87" s="927"/>
    </row>
    <row r="88" spans="2:242" s="889" customFormat="1" ht="20.100000000000001"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918">
        <f t="shared" si="84"/>
        <v>0</v>
      </c>
      <c r="HD88" s="928"/>
      <c r="HE88" s="928"/>
      <c r="HF88" s="920"/>
      <c r="HG88" s="918">
        <f>SUM(SUMIFS(K88:HB88,$K$13:$HB$13,{"エネルギー管理指定工場等*","県域*"}))</f>
        <v>0</v>
      </c>
      <c r="HH88" s="928"/>
      <c r="HI88" s="928"/>
      <c r="HJ88" s="920"/>
      <c r="IE88" s="927"/>
      <c r="IF88" s="927"/>
      <c r="IG88" s="927"/>
      <c r="IH88" s="927"/>
    </row>
    <row r="89" spans="2:242" s="889" customFormat="1" ht="20.100000000000001" customHeight="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918">
        <f t="shared" si="84"/>
        <v>0</v>
      </c>
      <c r="HD89" s="928"/>
      <c r="HE89" s="928"/>
      <c r="HF89" s="920"/>
      <c r="HG89" s="918">
        <f>SUM(SUMIFS(K89:HB89,$K$13:$HB$13,{"エネルギー管理指定工場等*","県域*"}))</f>
        <v>0</v>
      </c>
      <c r="HH89" s="928"/>
      <c r="HI89" s="928"/>
      <c r="HJ89" s="920"/>
      <c r="IE89" s="927"/>
      <c r="IF89" s="927"/>
      <c r="IG89" s="927"/>
      <c r="IH89" s="927"/>
    </row>
    <row r="90" spans="2:242" s="889" customFormat="1" ht="20.100000000000001"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918">
        <f t="shared" si="84"/>
        <v>0</v>
      </c>
      <c r="HD90" s="928"/>
      <c r="HE90" s="928"/>
      <c r="HF90" s="920"/>
      <c r="HG90" s="918">
        <f>SUM(SUMIFS(K90:HB90,$K$13:$HB$13,{"エネルギー管理指定工場等*","県域*"}))</f>
        <v>0</v>
      </c>
      <c r="HH90" s="928"/>
      <c r="HI90" s="928"/>
      <c r="HJ90" s="920"/>
      <c r="IE90" s="927"/>
      <c r="IF90" s="927"/>
      <c r="IG90" s="927"/>
      <c r="IH90" s="927"/>
    </row>
    <row r="91" spans="2:242" s="889" customFormat="1" ht="20.100000000000001"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918">
        <f t="shared" si="84"/>
        <v>0</v>
      </c>
      <c r="HD91" s="928"/>
      <c r="HE91" s="928"/>
      <c r="HF91" s="920"/>
      <c r="HG91" s="918">
        <f>SUM(SUMIFS(K91:HB91,$K$13:$HB$13,{"エネルギー管理指定工場等*","県域*"}))</f>
        <v>0</v>
      </c>
      <c r="HH91" s="928"/>
      <c r="HI91" s="928"/>
      <c r="HJ91" s="920"/>
      <c r="IE91" s="927"/>
      <c r="IF91" s="927"/>
      <c r="IG91" s="927"/>
      <c r="IH91" s="927"/>
    </row>
    <row r="92" spans="2:242" s="889" customFormat="1" ht="20.100000000000001"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918">
        <f t="shared" si="84"/>
        <v>0</v>
      </c>
      <c r="HD92" s="928"/>
      <c r="HE92" s="921">
        <f t="shared" ref="HE92:HE107" si="85">M92+Q92+U92+Y92+AC92+AG92+AK92+AO92+AS92+AW92+BA92+BE92+BI92+BM92+BQ92+BU92+BY92+CC92+CG92+CK92+CO92+CS92+CW92+DA92+DE92+DI92+DM92+DQ92+DU92+DY92+EC92+EG92+EK92+EO92+ES92+EW92+FA92+FE92+FI92+FM92+FQ92+FU92+FY92+GC92+GG92+GK92+GO92+GS92+GW92+HA92</f>
        <v>0</v>
      </c>
      <c r="HF92" s="920"/>
      <c r="HG92" s="918">
        <f>SUM(SUMIFS(K92:HB92,$K$13:$HB$13,{"エネルギー管理指定工場等*","県域*"}))</f>
        <v>0</v>
      </c>
      <c r="HH92" s="928"/>
      <c r="HI92" s="921">
        <f>SUM(SUMIFS(M92:HD92,$K$13:$HB$13,{"エネルギー管理指定工場等*","県域*"}))</f>
        <v>0</v>
      </c>
      <c r="HJ92" s="920"/>
      <c r="IE92" s="927"/>
      <c r="IF92" s="927"/>
      <c r="IG92" s="927"/>
      <c r="IH92" s="927"/>
    </row>
    <row r="93" spans="2:242" s="889" customFormat="1" ht="20.100000000000001"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918">
        <f t="shared" si="84"/>
        <v>0</v>
      </c>
      <c r="HD93" s="928"/>
      <c r="HE93" s="928"/>
      <c r="HF93" s="920"/>
      <c r="HG93" s="918">
        <f>SUM(SUMIFS(K93:HB93,$K$13:$HB$13,{"エネルギー管理指定工場等*","県域*"}))</f>
        <v>0</v>
      </c>
      <c r="HH93" s="928"/>
      <c r="HI93" s="928"/>
      <c r="HJ93" s="920"/>
      <c r="IE93" s="927"/>
      <c r="IF93" s="927"/>
      <c r="IG93" s="927"/>
      <c r="IH93" s="927"/>
    </row>
    <row r="94" spans="2:242" s="889" customFormat="1" ht="20.100000000000001"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918">
        <f t="shared" si="84"/>
        <v>0</v>
      </c>
      <c r="HD94" s="928"/>
      <c r="HE94" s="921">
        <f t="shared" ref="HE94" si="86">M94+Q94+U94+Y94+AC94+AG94+AK94+AO94+AS94+AW94+BA94+BE94+BI94+BM94+BQ94+BU94+BY94+CC94+CG94+CK94+CO94+CS94+CW94+DA94+DE94+DI94+DM94+DQ94+DU94+DY94+EC94+EG94+EK94+EO94+ES94+EW94+FA94+FE94+FI94+FM94+FQ94+FU94+FY94+GC94+GG94+GK94+GO94+GS94+GW94+HA94</f>
        <v>0</v>
      </c>
      <c r="HF94" s="920"/>
      <c r="HG94" s="918">
        <f>SUM(SUMIFS(K94:HB94,$K$13:$HB$13,{"エネルギー管理指定工場等*","県域*"}))</f>
        <v>0</v>
      </c>
      <c r="HH94" s="928"/>
      <c r="HI94" s="921">
        <f>SUM(SUMIFS(M94:HD94,$K$13:$HB$13,{"エネルギー管理指定工場等*","県域*"}))</f>
        <v>0</v>
      </c>
      <c r="HJ94" s="920"/>
      <c r="IE94" s="927"/>
      <c r="IF94" s="927"/>
      <c r="IG94" s="927"/>
      <c r="IH94" s="927"/>
    </row>
    <row r="95" spans="2:242" s="889" customFormat="1" ht="20.100000000000001"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918">
        <f t="shared" si="84"/>
        <v>0</v>
      </c>
      <c r="HD95" s="928"/>
      <c r="HE95" s="928"/>
      <c r="HF95" s="920"/>
      <c r="HG95" s="918">
        <f>SUM(SUMIFS(K95:HB95,$K$13:$HB$13,{"エネルギー管理指定工場等*","県域*"}))</f>
        <v>0</v>
      </c>
      <c r="HH95" s="928"/>
      <c r="HI95" s="928"/>
      <c r="HJ95" s="920"/>
      <c r="IE95" s="927"/>
      <c r="IF95" s="927"/>
      <c r="IG95" s="927"/>
      <c r="IH95" s="927"/>
    </row>
    <row r="96" spans="2:242" s="889" customFormat="1" ht="20.100000000000001"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918">
        <f t="shared" si="84"/>
        <v>0</v>
      </c>
      <c r="HD96" s="928"/>
      <c r="HE96" s="921">
        <f t="shared" si="85"/>
        <v>0</v>
      </c>
      <c r="HF96" s="920"/>
      <c r="HG96" s="918">
        <f>SUM(SUMIFS(K96:HB96,$K$13:$HB$13,{"エネルギー管理指定工場等*","県域*"}))</f>
        <v>0</v>
      </c>
      <c r="HH96" s="928"/>
      <c r="HI96" s="921">
        <f>SUM(SUMIFS(M96:HD96,$K$13:$HB$13,{"エネルギー管理指定工場等*","県域*"}))</f>
        <v>0</v>
      </c>
      <c r="HJ96" s="920"/>
      <c r="IE96" s="927"/>
      <c r="IF96" s="927"/>
      <c r="IG96" s="927"/>
      <c r="IH96" s="927"/>
    </row>
    <row r="97" spans="2:242" s="889" customFormat="1" ht="20.100000000000001"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918">
        <f t="shared" si="84"/>
        <v>0</v>
      </c>
      <c r="HD97" s="928"/>
      <c r="HE97" s="928"/>
      <c r="HF97" s="920"/>
      <c r="HG97" s="918">
        <f>SUM(SUMIFS(K97:HB97,$K$13:$HB$13,{"エネルギー管理指定工場等*","県域*"}))</f>
        <v>0</v>
      </c>
      <c r="HH97" s="928"/>
      <c r="HI97" s="928"/>
      <c r="HJ97" s="920"/>
      <c r="IE97" s="927"/>
      <c r="IF97" s="927"/>
      <c r="IG97" s="927"/>
      <c r="IH97" s="927"/>
    </row>
    <row r="98" spans="2:242" s="889" customFormat="1" ht="20.100000000000001"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918">
        <f t="shared" si="84"/>
        <v>0</v>
      </c>
      <c r="HD98" s="928"/>
      <c r="HE98" s="921">
        <f t="shared" si="85"/>
        <v>0</v>
      </c>
      <c r="HF98" s="920"/>
      <c r="HG98" s="918">
        <f>SUM(SUMIFS(K98:HB98,$K$13:$HB$13,{"エネルギー管理指定工場等*","県域*"}))</f>
        <v>0</v>
      </c>
      <c r="HH98" s="928"/>
      <c r="HI98" s="921">
        <f>SUM(SUMIFS(M98:HD98,$K$13:$HB$13,{"エネルギー管理指定工場等*","県域*"}))</f>
        <v>0</v>
      </c>
      <c r="HJ98" s="920"/>
      <c r="IE98" s="927"/>
      <c r="IF98" s="927"/>
      <c r="IG98" s="927"/>
      <c r="IH98" s="927"/>
    </row>
    <row r="99" spans="2:242" s="889" customFormat="1" ht="20.100000000000001"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918">
        <f t="shared" si="84"/>
        <v>0</v>
      </c>
      <c r="HD99" s="928"/>
      <c r="HE99" s="928"/>
      <c r="HF99" s="920"/>
      <c r="HG99" s="918">
        <f>SUM(SUMIFS(K99:HB99,$K$13:$HB$13,{"エネルギー管理指定工場等*","県域*"}))</f>
        <v>0</v>
      </c>
      <c r="HH99" s="928"/>
      <c r="HI99" s="928"/>
      <c r="HJ99" s="920"/>
      <c r="IE99" s="927"/>
      <c r="IF99" s="927"/>
      <c r="IG99" s="927"/>
      <c r="IH99" s="927"/>
    </row>
    <row r="100" spans="2:242" s="889" customFormat="1" ht="99">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918">
        <f t="shared" si="84"/>
        <v>0</v>
      </c>
      <c r="HD100" s="928"/>
      <c r="HE100" s="921">
        <f t="shared" si="85"/>
        <v>0</v>
      </c>
      <c r="HF100" s="920"/>
      <c r="HG100" s="918">
        <f>SUM(SUMIFS(K100:HB100,$K$13:$HB$13,{"エネルギー管理指定工場等*","県域*"}))</f>
        <v>0</v>
      </c>
      <c r="HH100" s="928"/>
      <c r="HI100" s="921">
        <f>SUM(SUMIFS(M100:HD100,$K$13:$HB$13,{"エネルギー管理指定工場等*","県域*"}))</f>
        <v>0</v>
      </c>
      <c r="HJ100" s="920"/>
      <c r="IE100" s="927"/>
      <c r="IF100" s="927"/>
      <c r="IG100" s="927"/>
      <c r="IH100" s="927"/>
    </row>
    <row r="101" spans="2:242" s="889" customFormat="1" ht="20.100000000000001"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918">
        <f t="shared" si="84"/>
        <v>0</v>
      </c>
      <c r="HD101" s="928"/>
      <c r="HE101" s="928"/>
      <c r="HF101" s="920"/>
      <c r="HG101" s="918">
        <f>SUM(SUMIFS(K101:HB101,$K$13:$HB$13,{"エネルギー管理指定工場等*","県域*"}))</f>
        <v>0</v>
      </c>
      <c r="HH101" s="928"/>
      <c r="HI101" s="928"/>
      <c r="HJ101" s="920"/>
      <c r="IE101" s="927"/>
      <c r="IF101" s="927"/>
      <c r="IG101" s="927"/>
      <c r="IH101" s="927"/>
    </row>
    <row r="102" spans="2:242" s="889" customFormat="1" ht="19.8">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918">
        <f t="shared" si="84"/>
        <v>0</v>
      </c>
      <c r="HD102" s="928"/>
      <c r="HE102" s="921">
        <f t="shared" si="85"/>
        <v>0</v>
      </c>
      <c r="HF102" s="920"/>
      <c r="HG102" s="918">
        <f>SUM(SUMIFS(K102:HB102,$K$13:$HB$13,{"エネルギー管理指定工場等*","県域*"}))</f>
        <v>0</v>
      </c>
      <c r="HH102" s="928"/>
      <c r="HI102" s="921">
        <f>SUM(SUMIFS(M102:HD102,$K$13:$HB$13,{"エネルギー管理指定工場等*","県域*"}))</f>
        <v>0</v>
      </c>
      <c r="HJ102" s="920"/>
      <c r="IE102" s="927"/>
      <c r="IF102" s="927"/>
      <c r="IG102" s="927"/>
      <c r="IH102" s="927"/>
    </row>
    <row r="103" spans="2:242" s="889" customFormat="1" ht="20.100000000000001"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918">
        <f t="shared" si="84"/>
        <v>0</v>
      </c>
      <c r="HD103" s="928"/>
      <c r="HE103" s="928"/>
      <c r="HF103" s="920"/>
      <c r="HG103" s="918">
        <f>SUM(SUMIFS(K103:HB103,$K$13:$HB$13,{"エネルギー管理指定工場等*","県域*"}))</f>
        <v>0</v>
      </c>
      <c r="HH103" s="928"/>
      <c r="HI103" s="928"/>
      <c r="HJ103" s="920"/>
      <c r="IE103" s="927"/>
      <c r="IF103" s="927"/>
      <c r="IG103" s="927"/>
      <c r="IH103" s="927"/>
    </row>
    <row r="104" spans="2:242" s="889" customFormat="1" ht="20.100000000000001"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918">
        <f t="shared" si="84"/>
        <v>0</v>
      </c>
      <c r="HD104" s="928"/>
      <c r="HE104" s="921">
        <f t="shared" si="85"/>
        <v>0</v>
      </c>
      <c r="HF104" s="920"/>
      <c r="HG104" s="918">
        <f>SUM(SUMIFS(K104:HB104,$K$13:$HB$13,{"エネルギー管理指定工場等*","県域*"}))</f>
        <v>0</v>
      </c>
      <c r="HH104" s="928"/>
      <c r="HI104" s="921">
        <f>SUM(SUMIFS(M104:HD104,$K$13:$HB$13,{"エネルギー管理指定工場等*","県域*"}))</f>
        <v>0</v>
      </c>
      <c r="HJ104" s="920"/>
      <c r="IE104" s="927"/>
      <c r="IF104" s="927"/>
      <c r="IG104" s="927"/>
      <c r="IH104" s="927"/>
    </row>
    <row r="105" spans="2:242" s="889" customFormat="1" ht="20.100000000000001"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918">
        <f t="shared" si="84"/>
        <v>0</v>
      </c>
      <c r="HD105" s="928"/>
      <c r="HE105" s="921">
        <f t="shared" si="85"/>
        <v>0</v>
      </c>
      <c r="HF105" s="920"/>
      <c r="HG105" s="918">
        <f>SUM(SUMIFS(K105:HB105,$K$13:$HB$13,{"エネルギー管理指定工場等*","県域*"}))</f>
        <v>0</v>
      </c>
      <c r="HH105" s="928"/>
      <c r="HI105" s="921">
        <f>SUM(SUMIFS(M105:HD105,$K$13:$HB$13,{"エネルギー管理指定工場等*","県域*"}))</f>
        <v>0</v>
      </c>
      <c r="HJ105" s="920"/>
      <c r="IE105" s="927"/>
      <c r="IF105" s="927"/>
      <c r="IG105" s="927"/>
      <c r="IH105" s="927"/>
    </row>
    <row r="106" spans="2:242" s="889" customFormat="1" ht="20.100000000000001"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918">
        <f t="shared" si="84"/>
        <v>0</v>
      </c>
      <c r="HD106" s="928"/>
      <c r="HE106" s="921">
        <f t="shared" si="85"/>
        <v>0</v>
      </c>
      <c r="HF106" s="920"/>
      <c r="HG106" s="918">
        <f>SUM(SUMIFS(K106:HB106,$K$13:$HB$13,{"エネルギー管理指定工場等*","県域*"}))</f>
        <v>0</v>
      </c>
      <c r="HH106" s="928"/>
      <c r="HI106" s="921">
        <f>SUM(SUMIFS(M106:HD106,$K$13:$HB$13,{"エネルギー管理指定工場等*","県域*"}))</f>
        <v>0</v>
      </c>
      <c r="HJ106" s="920"/>
      <c r="IE106" s="927"/>
      <c r="IF106" s="927"/>
      <c r="IG106" s="927"/>
      <c r="IH106" s="927"/>
    </row>
    <row r="107" spans="2:242" s="889" customFormat="1" ht="20.100000000000001"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933">
        <f t="shared" si="84"/>
        <v>0</v>
      </c>
      <c r="HD107" s="934"/>
      <c r="HE107" s="936">
        <f t="shared" si="85"/>
        <v>0</v>
      </c>
      <c r="HF107" s="935"/>
      <c r="HG107" s="933">
        <f>SUM(SUMIFS(K107:HB107,$K$13:$HB$13,{"エネルギー管理指定工場等*","県域*"}))</f>
        <v>0</v>
      </c>
      <c r="HH107" s="934"/>
      <c r="HI107" s="936">
        <f>SUM(SUMIFS(M107:HD107,$K$13:$HB$13,{"エネルギー管理指定工場等*","県域*"}))</f>
        <v>0</v>
      </c>
      <c r="HJ107" s="935"/>
      <c r="IE107" s="927"/>
      <c r="IF107" s="927"/>
      <c r="IG107" s="927"/>
      <c r="IH107" s="927"/>
    </row>
    <row r="108" spans="2:242" s="889" customFormat="1" ht="20.100000000000001"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881"/>
      <c r="HD108" s="881"/>
      <c r="HE108" s="881"/>
      <c r="HF108" s="881"/>
      <c r="HG108" s="881"/>
      <c r="HH108" s="881"/>
      <c r="HI108" s="881"/>
      <c r="HJ108" s="881"/>
      <c r="IE108" s="927"/>
      <c r="IF108" s="927"/>
      <c r="IG108" s="927"/>
      <c r="IH108" s="927"/>
    </row>
    <row r="109" spans="2:242" s="889" customFormat="1" ht="20.100000000000001"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881"/>
      <c r="HD109" s="881"/>
      <c r="HE109" s="881"/>
      <c r="HF109" s="881"/>
      <c r="HG109" s="881"/>
      <c r="HH109" s="881"/>
      <c r="HI109" s="881"/>
      <c r="HJ109" s="881"/>
      <c r="IE109" s="927"/>
      <c r="IF109" s="927"/>
      <c r="IG109" s="927"/>
      <c r="IH109" s="927"/>
    </row>
    <row r="110" spans="2:242" s="889" customFormat="1" ht="20.100000000000001"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881"/>
      <c r="HD110" s="881"/>
      <c r="HE110" s="881"/>
      <c r="HF110" s="881"/>
      <c r="HG110" s="881"/>
      <c r="HH110" s="881"/>
      <c r="HI110" s="881"/>
      <c r="HJ110" s="881"/>
      <c r="IE110" s="927"/>
      <c r="IF110" s="927"/>
      <c r="IG110" s="927"/>
      <c r="IH110" s="927"/>
    </row>
    <row r="111" spans="2:242" s="889" customFormat="1" ht="20.100000000000001"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937" t="s">
        <v>579</v>
      </c>
      <c r="HD111" s="938" t="s">
        <v>536</v>
      </c>
      <c r="HE111" s="938" t="s">
        <v>537</v>
      </c>
      <c r="HF111" s="939" t="s">
        <v>538</v>
      </c>
      <c r="HG111" s="937" t="s">
        <v>579</v>
      </c>
      <c r="HH111" s="938" t="s">
        <v>536</v>
      </c>
      <c r="HI111" s="938" t="s">
        <v>537</v>
      </c>
      <c r="HJ111" s="939" t="s">
        <v>538</v>
      </c>
      <c r="IE111" s="927"/>
      <c r="IF111" s="927"/>
      <c r="IG111" s="927"/>
      <c r="IH111" s="927"/>
    </row>
    <row r="112" spans="2:242" s="889" customFormat="1" ht="20.100000000000001"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94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942">
        <f t="shared" si="87"/>
        <v>0</v>
      </c>
      <c r="HE112" s="942">
        <f t="shared" si="87"/>
        <v>0</v>
      </c>
      <c r="HF112" s="940"/>
      <c r="HG112" s="941">
        <f>SUM(SUMIFS(K112:HB112,$K$13:$HB$13,{"エネルギー管理指定工場等*","県域*"}))</f>
        <v>0</v>
      </c>
      <c r="HH112" s="942">
        <f>SUM(SUMIFS(L112:HC112,$K$13:$HB$13,{"エネルギー管理指定工場等*","県域*"}))</f>
        <v>0</v>
      </c>
      <c r="HI112" s="942">
        <f>SUM(SUMIFS(M112:HD112,$K$13:$HB$13,{"エネルギー管理指定工場等*","県域*"}))</f>
        <v>0</v>
      </c>
      <c r="HJ112" s="940"/>
      <c r="IE112" s="927"/>
      <c r="IF112" s="927"/>
      <c r="IG112" s="927"/>
      <c r="IH112" s="927"/>
    </row>
    <row r="113" spans="2:242" s="889" customFormat="1" ht="20.100000000000001"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944">
        <f t="shared" si="87"/>
        <v>0</v>
      </c>
      <c r="HD113" s="945">
        <f t="shared" si="87"/>
        <v>0</v>
      </c>
      <c r="HE113" s="945">
        <f t="shared" si="87"/>
        <v>0</v>
      </c>
      <c r="HF113" s="946"/>
      <c r="HG113" s="944">
        <f>SUM(SUMIFS(K113:HB113,$K$13:$HB$13,{"エネルギー管理指定工場等*","県域*"}))</f>
        <v>0</v>
      </c>
      <c r="HH113" s="947">
        <f>SUM(SUMIFS(L113:HC113,$K$13:$HB$13,{"エネルギー管理指定工場等*","県域*"}))</f>
        <v>0</v>
      </c>
      <c r="HI113" s="947">
        <f>SUM(SUMIFS(M113:HD113,$K$13:$HB$13,{"エネルギー管理指定工場等*","県域*"}))</f>
        <v>0</v>
      </c>
      <c r="HJ113" s="943"/>
      <c r="IE113" s="927"/>
      <c r="IF113" s="927"/>
      <c r="IG113" s="927"/>
      <c r="IH113" s="927"/>
    </row>
    <row r="114" spans="2:242" s="889" customFormat="1" ht="20.100000000000001"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948">
        <f t="shared" si="87"/>
        <v>0</v>
      </c>
      <c r="HD114" s="947">
        <f t="shared" si="87"/>
        <v>0</v>
      </c>
      <c r="HE114" s="947">
        <f t="shared" si="87"/>
        <v>0</v>
      </c>
      <c r="HF114" s="943"/>
      <c r="HG114" s="948">
        <f>SUM(SUMIFS(K114:HB114,$K$13:$HB$13,{"エネルギー管理指定工場等*","県域*"}))</f>
        <v>0</v>
      </c>
      <c r="HH114" s="947">
        <f>SUM(SUMIFS(L114:HC114,$K$13:$HB$13,{"エネルギー管理指定工場等*","県域*"}))</f>
        <v>0</v>
      </c>
      <c r="HI114" s="947">
        <f>SUM(SUMIFS(M114:HD114,$K$13:$HB$13,{"エネルギー管理指定工場等*","県域*"}))</f>
        <v>0</v>
      </c>
      <c r="HJ114" s="943"/>
      <c r="IE114" s="927"/>
      <c r="IF114" s="927"/>
      <c r="IG114" s="927"/>
      <c r="IH114" s="927"/>
    </row>
    <row r="115" spans="2:242" s="889" customFormat="1" ht="20.100000000000001"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948">
        <f t="shared" si="87"/>
        <v>0</v>
      </c>
      <c r="HD115" s="947">
        <f t="shared" si="87"/>
        <v>0</v>
      </c>
      <c r="HE115" s="947">
        <f t="shared" si="87"/>
        <v>0</v>
      </c>
      <c r="HF115" s="943"/>
      <c r="HG115" s="948">
        <f>SUM(SUMIFS(K115:HB115,$K$13:$HB$13,{"エネルギー管理指定工場等*","県域*"}))</f>
        <v>0</v>
      </c>
      <c r="HH115" s="947">
        <f>SUM(SUMIFS(L115:HC115,$K$13:$HB$13,{"エネルギー管理指定工場等*","県域*"}))</f>
        <v>0</v>
      </c>
      <c r="HI115" s="947">
        <f>SUM(SUMIFS(M115:HD115,$K$13:$HB$13,{"エネルギー管理指定工場等*","県域*"}))</f>
        <v>0</v>
      </c>
      <c r="HJ115" s="943"/>
      <c r="IE115" s="927"/>
      <c r="IF115" s="927"/>
      <c r="IG115" s="927"/>
      <c r="IH115" s="927"/>
    </row>
    <row r="116" spans="2:242" s="889" customFormat="1" ht="20.100000000000001"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948">
        <f t="shared" si="87"/>
        <v>0</v>
      </c>
      <c r="HD116" s="947">
        <f t="shared" si="87"/>
        <v>0</v>
      </c>
      <c r="HE116" s="947">
        <f t="shared" si="87"/>
        <v>0</v>
      </c>
      <c r="HF116" s="943"/>
      <c r="HG116" s="948">
        <f>SUM(SUMIFS(K116:HB116,$K$13:$HB$13,{"エネルギー管理指定工場等*","県域*"}))</f>
        <v>0</v>
      </c>
      <c r="HH116" s="947">
        <f>SUM(SUMIFS(L116:HC116,$K$13:$HB$13,{"エネルギー管理指定工場等*","県域*"}))</f>
        <v>0</v>
      </c>
      <c r="HI116" s="947">
        <f>SUM(SUMIFS(M116:HD116,$K$13:$HB$13,{"エネルギー管理指定工場等*","県域*"}))</f>
        <v>0</v>
      </c>
      <c r="HJ116" s="943"/>
      <c r="IE116" s="927"/>
      <c r="IF116" s="927"/>
      <c r="IG116" s="927"/>
      <c r="IH116" s="927"/>
    </row>
    <row r="117" spans="2:242" s="889" customFormat="1" ht="20.100000000000001"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944">
        <f t="shared" si="87"/>
        <v>0</v>
      </c>
      <c r="HD117" s="945">
        <f t="shared" si="87"/>
        <v>0</v>
      </c>
      <c r="HE117" s="945">
        <f t="shared" si="87"/>
        <v>0</v>
      </c>
      <c r="HF117" s="946"/>
      <c r="HG117" s="944">
        <f>SUM(SUMIFS(K117:HB117,$K$13:$HB$13,{"エネルギー管理指定工場等*","県域*"}))</f>
        <v>0</v>
      </c>
      <c r="HH117" s="945">
        <f>SUM(SUMIFS(L117:HC117,$K$13:$HB$13,{"エネルギー管理指定工場等*","県域*"}))</f>
        <v>0</v>
      </c>
      <c r="HI117" s="945">
        <f>SUM(SUMIFS(M117:HD117,$K$13:$HB$13,{"エネルギー管理指定工場等*","県域*"}))</f>
        <v>0</v>
      </c>
      <c r="HJ117" s="946"/>
      <c r="IE117" s="927"/>
      <c r="IF117" s="927"/>
      <c r="IG117" s="927"/>
      <c r="IH117" s="927"/>
    </row>
    <row r="118" spans="2:242" s="889" customFormat="1" ht="20.100000000000001"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948">
        <f t="shared" si="87"/>
        <v>0</v>
      </c>
      <c r="HD118" s="947">
        <f t="shared" si="87"/>
        <v>0</v>
      </c>
      <c r="HE118" s="947">
        <f t="shared" si="87"/>
        <v>0</v>
      </c>
      <c r="HF118" s="943"/>
      <c r="HG118" s="948">
        <f>SUM(SUMIFS(K118:HB118,$K$13:$HB$13,{"エネルギー管理指定工場等*","県域*"}))</f>
        <v>0</v>
      </c>
      <c r="HH118" s="947">
        <f>SUM(SUMIFS(L118:HC118,$K$13:$HB$13,{"エネルギー管理指定工場等*","県域*"}))</f>
        <v>0</v>
      </c>
      <c r="HI118" s="947">
        <f>SUM(SUMIFS(M118:HD118,$K$13:$HB$13,{"エネルギー管理指定工場等*","県域*"}))</f>
        <v>0</v>
      </c>
      <c r="HJ118" s="943"/>
      <c r="IE118" s="927"/>
      <c r="IF118" s="927"/>
      <c r="IG118" s="927"/>
      <c r="IH118" s="927"/>
    </row>
    <row r="119" spans="2:242" s="889" customFormat="1" ht="20.100000000000001"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948">
        <f t="shared" si="87"/>
        <v>0</v>
      </c>
      <c r="HD119" s="947">
        <f t="shared" si="87"/>
        <v>0</v>
      </c>
      <c r="HE119" s="947">
        <f t="shared" si="87"/>
        <v>0</v>
      </c>
      <c r="HF119" s="943"/>
      <c r="HG119" s="948">
        <f>SUM(SUMIFS(K119:HB119,$K$13:$HB$13,{"エネルギー管理指定工場等*","県域*"}))</f>
        <v>0</v>
      </c>
      <c r="HH119" s="947">
        <f>SUM(SUMIFS(L119:HC119,$K$13:$HB$13,{"エネルギー管理指定工場等*","県域*"}))</f>
        <v>0</v>
      </c>
      <c r="HI119" s="947">
        <f>SUM(SUMIFS(M119:HD119,$K$13:$HB$13,{"エネルギー管理指定工場等*","県域*"}))</f>
        <v>0</v>
      </c>
      <c r="HJ119" s="943"/>
      <c r="IE119" s="927"/>
      <c r="IF119" s="927"/>
      <c r="IG119" s="927"/>
      <c r="IH119" s="927"/>
    </row>
    <row r="120" spans="2:242" s="889" customFormat="1" ht="20.100000000000001"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948">
        <f t="shared" si="87"/>
        <v>0</v>
      </c>
      <c r="HD120" s="947">
        <f t="shared" si="87"/>
        <v>0</v>
      </c>
      <c r="HE120" s="947">
        <f t="shared" si="87"/>
        <v>0</v>
      </c>
      <c r="HF120" s="943"/>
      <c r="HG120" s="948">
        <f>SUM(SUMIFS(K120:HB120,$K$13:$HB$13,{"エネルギー管理指定工場等*","県域*"}))</f>
        <v>0</v>
      </c>
      <c r="HH120" s="947">
        <f>SUM(SUMIFS(L120:HC120,$K$13:$HB$13,{"エネルギー管理指定工場等*","県域*"}))</f>
        <v>0</v>
      </c>
      <c r="HI120" s="947">
        <f>SUM(SUMIFS(M120:HD120,$K$13:$HB$13,{"エネルギー管理指定工場等*","県域*"}))</f>
        <v>0</v>
      </c>
      <c r="HJ120" s="943"/>
      <c r="IE120" s="927"/>
      <c r="IF120" s="927"/>
      <c r="IG120" s="927"/>
      <c r="IH120" s="927"/>
    </row>
    <row r="121" spans="2:242" s="889" customFormat="1" ht="20.100000000000001"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949">
        <f t="shared" si="87"/>
        <v>0</v>
      </c>
      <c r="HD121" s="950">
        <f t="shared" si="87"/>
        <v>0</v>
      </c>
      <c r="HE121" s="950">
        <f t="shared" si="87"/>
        <v>0</v>
      </c>
      <c r="HF121" s="951"/>
      <c r="HG121" s="949">
        <f>SUM(SUMIFS(K121:HB121,$K$13:$HB$13,{"エネルギー管理指定工場等*","県域*"}))</f>
        <v>0</v>
      </c>
      <c r="HH121" s="950">
        <f>SUM(SUMIFS(L121:HC121,$K$13:$HB$13,{"エネルギー管理指定工場等*","県域*"}))</f>
        <v>0</v>
      </c>
      <c r="HI121" s="950">
        <f>SUM(SUMIFS(M121:HD121,$K$13:$HB$13,{"エネルギー管理指定工場等*","県域*"}))</f>
        <v>0</v>
      </c>
      <c r="HJ121" s="951"/>
      <c r="IE121" s="927"/>
      <c r="IF121" s="927"/>
      <c r="IG121" s="927"/>
      <c r="IH121" s="927"/>
    </row>
    <row r="122" spans="2:242" s="889" customFormat="1" ht="20.100000000000001"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941">
        <f t="shared" si="87"/>
        <v>0</v>
      </c>
      <c r="HD122" s="952"/>
      <c r="HE122" s="942">
        <f t="shared" si="87"/>
        <v>0</v>
      </c>
      <c r="HF122" s="942">
        <f t="shared" si="87"/>
        <v>0</v>
      </c>
      <c r="HG122" s="941">
        <f>SUM(SUMIFS(K122:HB122,$K$13:$HB$13,{"エネルギー管理指定工場等*","県域*"}))</f>
        <v>0</v>
      </c>
      <c r="HH122" s="952"/>
      <c r="HI122" s="942">
        <f>SUM(SUMIFS(M122:HD122,$K$13:$HB$13,{"エネルギー管理指定工場等*","県域*"}))</f>
        <v>0</v>
      </c>
      <c r="HJ122" s="953">
        <f>SUM(SUMIFS(N122:HE122,$K$13:$HB$13,{"エネルギー管理指定工場等*","県域*"}))</f>
        <v>0</v>
      </c>
      <c r="IE122" s="927"/>
      <c r="IF122" s="927"/>
      <c r="IG122" s="927"/>
      <c r="IH122" s="927"/>
    </row>
    <row r="123" spans="2:242" s="889" customFormat="1" ht="20.100000000000001"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948">
        <f t="shared" si="87"/>
        <v>0</v>
      </c>
      <c r="HD123" s="954"/>
      <c r="HE123" s="947">
        <f t="shared" si="87"/>
        <v>0</v>
      </c>
      <c r="HF123" s="947">
        <f t="shared" si="87"/>
        <v>0</v>
      </c>
      <c r="HG123" s="948">
        <f>SUM(SUMIFS(K123:HB123,$K$13:$HB$13,{"エネルギー管理指定工場等*","県域*"}))</f>
        <v>0</v>
      </c>
      <c r="HH123" s="954"/>
      <c r="HI123" s="947">
        <f>SUM(SUMIFS(M123:HD123,$K$13:$HB$13,{"エネルギー管理指定工場等*","県域*"}))</f>
        <v>0</v>
      </c>
      <c r="HJ123" s="955">
        <f>SUM(SUMIFS(N123:HE123,$K$13:$HB$13,{"エネルギー管理指定工場等*","県域*"}))</f>
        <v>0</v>
      </c>
      <c r="IE123" s="927"/>
      <c r="IF123" s="927"/>
      <c r="IG123" s="927"/>
      <c r="IH123" s="927"/>
    </row>
    <row r="124" spans="2:242" s="889" customFormat="1" ht="20.100000000000001"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957">
        <f t="shared" si="87"/>
        <v>0</v>
      </c>
      <c r="HD124" s="956"/>
      <c r="HE124" s="958">
        <f t="shared" si="87"/>
        <v>0</v>
      </c>
      <c r="HF124" s="958">
        <f t="shared" si="87"/>
        <v>0</v>
      </c>
      <c r="HG124" s="957">
        <f>SUM(SUMIFS(K124:HB124,$K$13:$HB$13,{"エネルギー管理指定工場等*","県域*"}))</f>
        <v>0</v>
      </c>
      <c r="HH124" s="956"/>
      <c r="HI124" s="958">
        <f>SUM(SUMIFS(M124:HD124,$K$13:$HB$13,{"エネルギー管理指定工場等*","県域*"}))</f>
        <v>0</v>
      </c>
      <c r="HJ124" s="959">
        <f>SUM(SUMIFS(N124:HE124,$K$13:$HB$13,{"エネルギー管理指定工場等*","県域*"}))</f>
        <v>0</v>
      </c>
      <c r="IE124" s="927"/>
      <c r="IF124" s="927"/>
      <c r="IG124" s="927"/>
      <c r="IH124" s="927"/>
    </row>
    <row r="125" spans="2:242" s="889" customFormat="1" ht="20.100000000000001"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941">
        <f t="shared" si="87"/>
        <v>0</v>
      </c>
      <c r="HD125" s="952"/>
      <c r="HE125" s="942">
        <f t="shared" si="87"/>
        <v>0</v>
      </c>
      <c r="HF125" s="942">
        <f t="shared" si="87"/>
        <v>0</v>
      </c>
      <c r="HG125" s="941">
        <f>SUM(SUMIFS(K125:HB125,$K$13:$HB$13,{"エネルギー管理指定工場等*","県域*"}))</f>
        <v>0</v>
      </c>
      <c r="HH125" s="952"/>
      <c r="HI125" s="942">
        <f>SUM(SUMIFS(M125:HD125,$K$13:$HB$13,{"エネルギー管理指定工場等*","県域*"}))</f>
        <v>0</v>
      </c>
      <c r="HJ125" s="953">
        <f>SUM(SUMIFS(N125:HE125,$K$13:$HB$13,{"エネルギー管理指定工場等*","県域*"}))</f>
        <v>0</v>
      </c>
      <c r="IE125" s="927"/>
      <c r="IF125" s="927"/>
      <c r="IG125" s="927"/>
      <c r="IH125" s="927"/>
    </row>
    <row r="126" spans="2:242" s="889" customFormat="1" ht="20.100000000000001"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948">
        <f t="shared" si="87"/>
        <v>0</v>
      </c>
      <c r="HD126" s="954"/>
      <c r="HE126" s="947">
        <f t="shared" si="87"/>
        <v>0</v>
      </c>
      <c r="HF126" s="947">
        <f t="shared" si="87"/>
        <v>0</v>
      </c>
      <c r="HG126" s="948">
        <f>SUM(SUMIFS(K126:HB126,$K$13:$HB$13,{"エネルギー管理指定工場等*","県域*"}))</f>
        <v>0</v>
      </c>
      <c r="HH126" s="954"/>
      <c r="HI126" s="947">
        <f>SUM(SUMIFS(M126:HD126,$K$13:$HB$13,{"エネルギー管理指定工場等*","県域*"}))</f>
        <v>0</v>
      </c>
      <c r="HJ126" s="955">
        <f>SUM(SUMIFS(N126:HE126,$K$13:$HB$13,{"エネルギー管理指定工場等*","県域*"}))</f>
        <v>0</v>
      </c>
      <c r="IE126" s="927"/>
      <c r="IF126" s="927"/>
      <c r="IG126" s="927"/>
      <c r="IH126" s="927"/>
    </row>
    <row r="127" spans="2:242" s="889" customFormat="1" ht="20.100000000000001"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949">
        <f t="shared" si="87"/>
        <v>0</v>
      </c>
      <c r="HD127" s="960"/>
      <c r="HE127" s="950">
        <f t="shared" si="87"/>
        <v>0</v>
      </c>
      <c r="HF127" s="950">
        <f t="shared" si="87"/>
        <v>0</v>
      </c>
      <c r="HG127" s="949">
        <f>SUM(SUMIFS(K127:HB127,$K$13:$HB$13,{"エネルギー管理指定工場等*","県域*"}))</f>
        <v>0</v>
      </c>
      <c r="HH127" s="960"/>
      <c r="HI127" s="950">
        <f>SUM(SUMIFS(M127:HD127,$K$13:$HB$13,{"エネルギー管理指定工場等*","県域*"}))</f>
        <v>0</v>
      </c>
      <c r="HJ127" s="961">
        <f>SUM(SUMIFS(N127:HE127,$K$13:$HB$13,{"エネルギー管理指定工場等*","県域*"}))</f>
        <v>0</v>
      </c>
      <c r="IE127" s="927"/>
      <c r="IF127" s="927"/>
      <c r="IG127" s="927"/>
      <c r="IH127" s="927"/>
    </row>
    <row r="128" spans="2:242" s="889" customFormat="1" ht="20.100000000000001"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917">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962"/>
      <c r="HE128" s="923">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923">
        <f t="shared" si="89"/>
        <v>0</v>
      </c>
      <c r="HG128" s="917">
        <f>SUM(SUMIFS(K128:HB128,$K$13:$HB$13,{"エネルギー管理指定工場等*","県域*"}))</f>
        <v>0</v>
      </c>
      <c r="HH128" s="962"/>
      <c r="HI128" s="923">
        <f>SUM(SUMIFS(M128:HD128,$K$13:$HB$13,{"エネルギー管理指定工場等*","県域*"}))</f>
        <v>0</v>
      </c>
      <c r="HJ128" s="963">
        <f>SUM(SUMIFS(N128:HE128,$K$13:$HB$13,{"エネルギー管理指定工場等*","県域*"}))</f>
        <v>0</v>
      </c>
      <c r="IE128" s="927"/>
      <c r="IF128" s="927"/>
      <c r="IG128" s="927"/>
      <c r="IH128" s="927"/>
    </row>
    <row r="129" spans="1:242" s="889" customFormat="1" ht="20.100000000000001"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957">
        <f t="shared" si="88"/>
        <v>0</v>
      </c>
      <c r="HD129" s="956"/>
      <c r="HE129" s="958">
        <f t="shared" si="89"/>
        <v>0</v>
      </c>
      <c r="HF129" s="958">
        <f t="shared" si="89"/>
        <v>0</v>
      </c>
      <c r="HG129" s="957">
        <f>SUM(SUMIFS(K129:HB129,$K$13:$HB$13,{"エネルギー管理指定工場等*","県域*"}))</f>
        <v>0</v>
      </c>
      <c r="HH129" s="956"/>
      <c r="HI129" s="958">
        <f>SUM(SUMIFS(M129:HD129,$K$13:$HB$13,{"エネルギー管理指定工場等*","県域*"}))</f>
        <v>0</v>
      </c>
      <c r="HJ129" s="959">
        <f>SUM(SUMIFS(N129:HE129,$K$13:$HB$13,{"エネルギー管理指定工場等*","県域*"}))</f>
        <v>0</v>
      </c>
      <c r="IE129" s="927"/>
      <c r="IF129" s="927"/>
      <c r="IG129" s="927"/>
      <c r="IH129" s="927"/>
    </row>
    <row r="130" spans="1:242" s="889" customFormat="1" ht="20.100000000000001" customHeight="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949">
        <f t="shared" si="88"/>
        <v>0</v>
      </c>
      <c r="HD130" s="960"/>
      <c r="HE130" s="950">
        <f t="shared" si="89"/>
        <v>0</v>
      </c>
      <c r="HF130" s="950">
        <f t="shared" si="89"/>
        <v>0</v>
      </c>
      <c r="HG130" s="949">
        <f>SUM(SUMIFS(K130:HB130,$K$13:$HB$13,{"エネルギー管理指定工場等*","県域*"}))</f>
        <v>0</v>
      </c>
      <c r="HH130" s="960"/>
      <c r="HI130" s="950">
        <f>SUM(SUMIFS(M130:HD130,$K$13:$HB$13,{"エネルギー管理指定工場等*","県域*"}))</f>
        <v>0</v>
      </c>
      <c r="HJ130" s="961">
        <f>SUM(SUMIFS(N130:HE130,$K$13:$HB$13,{"エネルギー管理指定工場等*","県域*"}))</f>
        <v>0</v>
      </c>
      <c r="IE130" s="927"/>
      <c r="IF130" s="927"/>
      <c r="IG130" s="927"/>
      <c r="IH130" s="927"/>
    </row>
    <row r="131" spans="1:242" ht="20.100000000000001"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941">
        <f t="shared" si="88"/>
        <v>0</v>
      </c>
      <c r="HD131" s="952"/>
      <c r="HE131" s="952"/>
      <c r="HF131" s="940"/>
      <c r="HG131" s="941">
        <f>SUM(SUMIFS(K131:HB131,$K$13:$HB$13,{"エネルギー管理指定工場等*","県域*"}))</f>
        <v>0</v>
      </c>
      <c r="HH131" s="952"/>
      <c r="HI131" s="952"/>
      <c r="HJ131" s="940"/>
    </row>
    <row r="132" spans="1:242" ht="20.100000000000001"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948">
        <f t="shared" si="88"/>
        <v>0</v>
      </c>
      <c r="HD132" s="954"/>
      <c r="HE132" s="954"/>
      <c r="HF132" s="943"/>
      <c r="HG132" s="948">
        <f>SUM(SUMIFS(K132:HB132,$K$13:$HB$13,{"エネルギー管理指定工場等*","県域*"}))</f>
        <v>0</v>
      </c>
      <c r="HH132" s="954"/>
      <c r="HI132" s="954"/>
      <c r="HJ132" s="943"/>
    </row>
    <row r="133" spans="1:242" ht="20.100000000000001"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948">
        <f t="shared" si="88"/>
        <v>0</v>
      </c>
      <c r="HD133" s="954"/>
      <c r="HE133" s="954"/>
      <c r="HF133" s="943"/>
      <c r="HG133" s="948">
        <f>SUM(SUMIFS(K133:HB133,$K$13:$HB$13,{"エネルギー管理指定工場等*","県域*"}))</f>
        <v>0</v>
      </c>
      <c r="HH133" s="954"/>
      <c r="HI133" s="954"/>
      <c r="HJ133" s="943"/>
    </row>
    <row r="134" spans="1:242" ht="20.100000000000001"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948">
        <f t="shared" si="88"/>
        <v>0</v>
      </c>
      <c r="HD134" s="954"/>
      <c r="HE134" s="954"/>
      <c r="HF134" s="943"/>
      <c r="HG134" s="948">
        <f>SUM(SUMIFS(K134:HB134,$K$13:$HB$13,{"エネルギー管理指定工場等*","県域*"}))</f>
        <v>0</v>
      </c>
      <c r="HH134" s="954"/>
      <c r="HI134" s="954"/>
      <c r="HJ134" s="943"/>
    </row>
    <row r="135" spans="1:242" ht="20.100000000000001"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948">
        <f t="shared" si="88"/>
        <v>0</v>
      </c>
      <c r="HD135" s="954"/>
      <c r="HE135" s="954"/>
      <c r="HF135" s="943"/>
      <c r="HG135" s="948">
        <f>SUM(SUMIFS(K135:HB135,$K$13:$HB$13,{"エネルギー管理指定工場等*","県域*"}))</f>
        <v>0</v>
      </c>
      <c r="HH135" s="954"/>
      <c r="HI135" s="954"/>
      <c r="HJ135" s="943"/>
    </row>
    <row r="136" spans="1:242" ht="20.100000000000001"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948">
        <f t="shared" si="88"/>
        <v>0</v>
      </c>
      <c r="HD136" s="954"/>
      <c r="HE136" s="954"/>
      <c r="HF136" s="943"/>
      <c r="HG136" s="948">
        <f>SUM(SUMIFS(K136:HB136,$K$13:$HB$13,{"エネルギー管理指定工場等*","県域*"}))</f>
        <v>0</v>
      </c>
      <c r="HH136" s="954"/>
      <c r="HI136" s="954"/>
      <c r="HJ136" s="943"/>
    </row>
    <row r="137" spans="1:242" ht="20.100000000000001"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948">
        <f t="shared" si="88"/>
        <v>0</v>
      </c>
      <c r="HD137" s="954"/>
      <c r="HE137" s="954"/>
      <c r="HF137" s="943"/>
      <c r="HG137" s="948">
        <f>SUM(SUMIFS(K137:HB137,$K$13:$HB$13,{"エネルギー管理指定工場等*","県域*"}))</f>
        <v>0</v>
      </c>
      <c r="HH137" s="954"/>
      <c r="HI137" s="954"/>
      <c r="HJ137" s="943"/>
    </row>
    <row r="138" spans="1:242" ht="20.100000000000001"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948">
        <f t="shared" si="88"/>
        <v>0</v>
      </c>
      <c r="HD138" s="954"/>
      <c r="HE138" s="954"/>
      <c r="HF138" s="943"/>
      <c r="HG138" s="948">
        <f>SUM(SUMIFS(K138:HB138,$K$13:$HB$13,{"エネルギー管理指定工場等*","県域*"}))</f>
        <v>0</v>
      </c>
      <c r="HH138" s="954"/>
      <c r="HI138" s="954"/>
      <c r="HJ138" s="943"/>
    </row>
    <row r="139" spans="1:242" ht="20.100000000000001"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948">
        <f t="shared" si="88"/>
        <v>0</v>
      </c>
      <c r="HD139" s="954"/>
      <c r="HE139" s="954"/>
      <c r="HF139" s="943"/>
      <c r="HG139" s="948">
        <f>SUM(SUMIFS(K139:HB139,$K$13:$HB$13,{"エネルギー管理指定工場等*","県域*"}))</f>
        <v>0</v>
      </c>
      <c r="HH139" s="954"/>
      <c r="HI139" s="954"/>
      <c r="HJ139" s="943"/>
    </row>
    <row r="140" spans="1:242" ht="20.100000000000001"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949">
        <f t="shared" si="88"/>
        <v>0</v>
      </c>
      <c r="HD140" s="960"/>
      <c r="HE140" s="960"/>
      <c r="HF140" s="951"/>
      <c r="HG140" s="949">
        <f>SUM(SUMIFS(K140:HB140,$K$13:$HB$13,{"エネルギー管理指定工場等*","県域*"}))</f>
        <v>0</v>
      </c>
      <c r="HH140" s="960"/>
      <c r="HI140" s="960"/>
      <c r="HJ140" s="951"/>
    </row>
    <row r="141" spans="1:242" ht="20.100000000000001"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941">
        <f t="shared" si="88"/>
        <v>0</v>
      </c>
      <c r="HD141" s="952"/>
      <c r="HE141" s="952"/>
      <c r="HF141" s="940"/>
      <c r="HG141" s="941">
        <f>SUM(SUMIFS(K141:HB141,$K$13:$HB$13,{"エネルギー管理指定工場等*","県域*"}))</f>
        <v>0</v>
      </c>
      <c r="HH141" s="952"/>
      <c r="HI141" s="952"/>
      <c r="HJ141" s="940"/>
    </row>
    <row r="142" spans="1:242" ht="20.100000000000001"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948">
        <f t="shared" si="88"/>
        <v>0</v>
      </c>
      <c r="HD142" s="954"/>
      <c r="HE142" s="954"/>
      <c r="HF142" s="943"/>
      <c r="HG142" s="948">
        <f>SUM(SUMIFS(K142:HB142,$K$13:$HB$13,{"エネルギー管理指定工場等*","県域*"}))</f>
        <v>0</v>
      </c>
      <c r="HH142" s="954"/>
      <c r="HI142" s="954"/>
      <c r="HJ142" s="943"/>
    </row>
    <row r="143" spans="1:242" ht="20.100000000000001"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948">
        <f t="shared" si="88"/>
        <v>0</v>
      </c>
      <c r="HD143" s="954"/>
      <c r="HE143" s="954"/>
      <c r="HF143" s="943"/>
      <c r="HG143" s="948">
        <f>SUM(SUMIFS(K143:HB143,$K$13:$HB$13,{"エネルギー管理指定工場等*","県域*"}))</f>
        <v>0</v>
      </c>
      <c r="HH143" s="954"/>
      <c r="HI143" s="954"/>
      <c r="HJ143" s="943"/>
    </row>
    <row r="144" spans="1:242" ht="20.100000000000001"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948">
        <f t="shared" si="88"/>
        <v>0</v>
      </c>
      <c r="HD144" s="954"/>
      <c r="HE144" s="954"/>
      <c r="HF144" s="943"/>
      <c r="HG144" s="948">
        <f>SUM(SUMIFS(K144:HB144,$K$13:$HB$13,{"エネルギー管理指定工場等*","県域*"}))</f>
        <v>0</v>
      </c>
      <c r="HH144" s="954"/>
      <c r="HI144" s="954"/>
      <c r="HJ144" s="943"/>
    </row>
    <row r="145" spans="1:218" ht="20.100000000000001"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948">
        <f t="shared" si="88"/>
        <v>0</v>
      </c>
      <c r="HD145" s="954"/>
      <c r="HE145" s="954"/>
      <c r="HF145" s="943"/>
      <c r="HG145" s="948">
        <f>SUM(SUMIFS(K145:HB145,$K$13:$HB$13,{"エネルギー管理指定工場等*","県域*"}))</f>
        <v>0</v>
      </c>
      <c r="HH145" s="954"/>
      <c r="HI145" s="954"/>
      <c r="HJ145" s="943"/>
    </row>
    <row r="146" spans="1:218" ht="20.100000000000001"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948">
        <f t="shared" si="88"/>
        <v>0</v>
      </c>
      <c r="HD146" s="954"/>
      <c r="HE146" s="954"/>
      <c r="HF146" s="943"/>
      <c r="HG146" s="948">
        <f>SUM(SUMIFS(K146:HB146,$K$13:$HB$13,{"エネルギー管理指定工場等*","県域*"}))</f>
        <v>0</v>
      </c>
      <c r="HH146" s="954"/>
      <c r="HI146" s="954"/>
      <c r="HJ146" s="943"/>
    </row>
    <row r="147" spans="1:218" ht="20.100000000000001"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948">
        <f t="shared" si="88"/>
        <v>0</v>
      </c>
      <c r="HD147" s="954"/>
      <c r="HE147" s="954"/>
      <c r="HF147" s="943"/>
      <c r="HG147" s="948">
        <f>SUM(SUMIFS(K147:HB147,$K$13:$HB$13,{"エネルギー管理指定工場等*","県域*"}))</f>
        <v>0</v>
      </c>
      <c r="HH147" s="954"/>
      <c r="HI147" s="954"/>
      <c r="HJ147" s="943"/>
    </row>
    <row r="148" spans="1:218" ht="20.100000000000001"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948">
        <f t="shared" si="88"/>
        <v>0</v>
      </c>
      <c r="HD148" s="954"/>
      <c r="HE148" s="954"/>
      <c r="HF148" s="943"/>
      <c r="HG148" s="948">
        <f>SUM(SUMIFS(K148:HB148,$K$13:$HB$13,{"エネルギー管理指定工場等*","県域*"}))</f>
        <v>0</v>
      </c>
      <c r="HH148" s="954"/>
      <c r="HI148" s="954"/>
      <c r="HJ148" s="943"/>
    </row>
    <row r="149" spans="1:218" ht="20.100000000000001"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948">
        <f t="shared" si="88"/>
        <v>0</v>
      </c>
      <c r="HD149" s="954"/>
      <c r="HE149" s="954"/>
      <c r="HF149" s="943"/>
      <c r="HG149" s="948">
        <f>SUM(SUMIFS(K149:HB149,$K$13:$HB$13,{"エネルギー管理指定工場等*","県域*"}))</f>
        <v>0</v>
      </c>
      <c r="HH149" s="954"/>
      <c r="HI149" s="954"/>
      <c r="HJ149" s="943"/>
    </row>
    <row r="150" spans="1:218" ht="20.100000000000001"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949">
        <f t="shared" si="88"/>
        <v>0</v>
      </c>
      <c r="HD150" s="960"/>
      <c r="HE150" s="960"/>
      <c r="HF150" s="951"/>
      <c r="HG150" s="949">
        <f>SUM(SUMIFS(K150:HB150,$K$13:$HB$13,{"エネルギー管理指定工場等*","県域*"}))</f>
        <v>0</v>
      </c>
      <c r="HH150" s="960"/>
      <c r="HI150" s="960"/>
      <c r="HJ150" s="951"/>
    </row>
    <row r="151" spans="1:218" ht="20.100000000000001"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941">
        <f t="shared" si="88"/>
        <v>0</v>
      </c>
      <c r="HD151" s="952"/>
      <c r="HE151" s="952"/>
      <c r="HF151" s="940"/>
      <c r="HG151" s="941">
        <f>SUM(SUMIFS(K151:HB151,$K$13:$HB$13,{"エネルギー管理指定工場等*","県域*"}))</f>
        <v>0</v>
      </c>
      <c r="HH151" s="952"/>
      <c r="HI151" s="952"/>
      <c r="HJ151" s="940"/>
    </row>
    <row r="152" spans="1:218" ht="20.100000000000001"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948">
        <f t="shared" si="88"/>
        <v>0</v>
      </c>
      <c r="HD152" s="954"/>
      <c r="HE152" s="954"/>
      <c r="HF152" s="943"/>
      <c r="HG152" s="948">
        <f>SUM(SUMIFS(K152:HB152,$K$13:$HB$13,{"エネルギー管理指定工場等*","県域*"}))</f>
        <v>0</v>
      </c>
      <c r="HH152" s="954"/>
      <c r="HI152" s="954"/>
      <c r="HJ152" s="943"/>
    </row>
    <row r="153" spans="1:218" ht="20.100000000000001"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948">
        <f t="shared" si="88"/>
        <v>0</v>
      </c>
      <c r="HD153" s="954"/>
      <c r="HE153" s="954"/>
      <c r="HF153" s="943"/>
      <c r="HG153" s="948">
        <f>SUM(SUMIFS(K153:HB153,$K$13:$HB$13,{"エネルギー管理指定工場等*","県域*"}))</f>
        <v>0</v>
      </c>
      <c r="HH153" s="954"/>
      <c r="HI153" s="954"/>
      <c r="HJ153" s="943"/>
    </row>
    <row r="154" spans="1:218" ht="20.100000000000001"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948">
        <f t="shared" si="88"/>
        <v>0</v>
      </c>
      <c r="HD154" s="954"/>
      <c r="HE154" s="954"/>
      <c r="HF154" s="943"/>
      <c r="HG154" s="948">
        <f>SUM(SUMIFS(K154:HB154,$K$13:$HB$13,{"エネルギー管理指定工場等*","県域*"}))</f>
        <v>0</v>
      </c>
      <c r="HH154" s="954"/>
      <c r="HI154" s="954"/>
      <c r="HJ154" s="943"/>
    </row>
    <row r="155" spans="1:218" ht="20.100000000000001"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948">
        <f t="shared" si="88"/>
        <v>0</v>
      </c>
      <c r="HD155" s="954"/>
      <c r="HE155" s="954"/>
      <c r="HF155" s="943"/>
      <c r="HG155" s="948">
        <f>SUM(SUMIFS(K155:HB155,$K$13:$HB$13,{"エネルギー管理指定工場等*","県域*"}))</f>
        <v>0</v>
      </c>
      <c r="HH155" s="954"/>
      <c r="HI155" s="954"/>
      <c r="HJ155" s="943"/>
    </row>
    <row r="156" spans="1:218" ht="20.100000000000001"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948">
        <f t="shared" si="88"/>
        <v>0</v>
      </c>
      <c r="HD156" s="954"/>
      <c r="HE156" s="954"/>
      <c r="HF156" s="943"/>
      <c r="HG156" s="948">
        <f>SUM(SUMIFS(K156:HB156,$K$13:$HB$13,{"エネルギー管理指定工場等*","県域*"}))</f>
        <v>0</v>
      </c>
      <c r="HH156" s="954"/>
      <c r="HI156" s="954"/>
      <c r="HJ156" s="943"/>
    </row>
    <row r="157" spans="1:218" ht="20.100000000000001"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948">
        <f t="shared" si="88"/>
        <v>0</v>
      </c>
      <c r="HD157" s="954"/>
      <c r="HE157" s="954"/>
      <c r="HF157" s="943"/>
      <c r="HG157" s="948">
        <f>SUM(SUMIFS(K157:HB157,$K$13:$HB$13,{"エネルギー管理指定工場等*","県域*"}))</f>
        <v>0</v>
      </c>
      <c r="HH157" s="954"/>
      <c r="HI157" s="954"/>
      <c r="HJ157" s="943"/>
    </row>
    <row r="158" spans="1:218" ht="20.100000000000001"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948">
        <f t="shared" si="88"/>
        <v>0</v>
      </c>
      <c r="HD158" s="954"/>
      <c r="HE158" s="954"/>
      <c r="HF158" s="943"/>
      <c r="HG158" s="948">
        <f>SUM(SUMIFS(K158:HB158,$K$13:$HB$13,{"エネルギー管理指定工場等*","県域*"}))</f>
        <v>0</v>
      </c>
      <c r="HH158" s="954"/>
      <c r="HI158" s="954"/>
      <c r="HJ158" s="943"/>
    </row>
    <row r="159" spans="1:218" ht="20.100000000000001"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948">
        <f t="shared" si="88"/>
        <v>0</v>
      </c>
      <c r="HD159" s="954"/>
      <c r="HE159" s="954"/>
      <c r="HF159" s="943"/>
      <c r="HG159" s="948">
        <f>SUM(SUMIFS(K159:HB159,$K$13:$HB$13,{"エネルギー管理指定工場等*","県域*"}))</f>
        <v>0</v>
      </c>
      <c r="HH159" s="954"/>
      <c r="HI159" s="954"/>
      <c r="HJ159" s="943"/>
    </row>
    <row r="160" spans="1:218" ht="20.100000000000001"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966">
        <f t="shared" si="88"/>
        <v>0</v>
      </c>
      <c r="HD160" s="964"/>
      <c r="HE160" s="964"/>
      <c r="HF160" s="965"/>
      <c r="HG160" s="966">
        <f>SUM(SUMIFS(K160:HB160,$K$13:$HB$13,{"エネルギー管理指定工場等*","県域*"}))</f>
        <v>0</v>
      </c>
      <c r="HH160" s="964"/>
      <c r="HI160" s="964"/>
      <c r="HJ160" s="965"/>
    </row>
    <row r="161" spans="1:210" ht="20.100000000000001"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20.100000000000001"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20.100000000000001"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20.100000000000001"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20.100000000000001"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20.100000000000001"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889"/>
      <c r="B167" s="617"/>
      <c r="C167" s="812"/>
      <c r="D167" s="815"/>
      <c r="E167" s="808" t="s">
        <v>1349</v>
      </c>
      <c r="F167" s="810"/>
      <c r="G167" s="811" t="s">
        <v>587</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20.100000000000001"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20.100000000000001"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20.100000000000001"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20.100000000000001" customHeight="1">
      <c r="A172" s="889"/>
      <c r="B172" s="617"/>
      <c r="C172" s="812"/>
      <c r="D172" s="816"/>
      <c r="E172" s="808" t="s">
        <v>1354</v>
      </c>
      <c r="F172" s="810"/>
      <c r="G172" s="811" t="s">
        <v>587</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20.100000000000001"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100000000000001"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20.100000000000001"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20.100000000000001"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100000000000001"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20.100000000000001"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20.100000000000001"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20.100000000000001"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20.100000000000001"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20.100000000000001"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20.100000000000001"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20.100000000000001"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20.100000000000001"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20.100000000000001"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20.100000000000001"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20.100000000000001"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20.100000000000001"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20.100000000000001"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20.100000000000001"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20.100000000000001"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20.100000000000001"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20.100000000000001"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20.100000000000001"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20.100000000000001"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20.100000000000001"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20.100000000000001"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20.100000000000001"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20.100000000000001"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20.100000000000001"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20.100000000000001"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20.100000000000001"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20.100000000000001"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20.100000000000001"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20.100000000000001"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ht="20.399999999999999" thickBot="1">
      <c r="A207" s="889"/>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42" s="889" customFormat="1" ht="20.100000000000001"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20.100000000000001"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20.100000000000001"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20.100000000000001"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s="889" customFormat="1" ht="20.100000000000001" customHeight="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IE212" s="927"/>
      <c r="IF212" s="927"/>
      <c r="IG212" s="927"/>
      <c r="IH212" s="927"/>
    </row>
    <row r="213" spans="1:242" ht="20.100000000000001"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20.100000000000001"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20.100000000000001"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20.100000000000001"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20.100000000000001"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20.100000000000001"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20.100000000000001"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20.100000000000001"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20.100000000000001"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20.100000000000001"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20.100000000000001"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42" ht="20.100000000000001" customHeight="1"/>
    <row r="225" spans="1:242" s="879" customFormat="1" ht="20.100000000000001" hidden="1" customHeight="1">
      <c r="A225" s="898" t="s">
        <v>664</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IE225" s="975"/>
      <c r="IF225" s="975"/>
      <c r="IG225" s="975"/>
      <c r="IH225" s="975"/>
    </row>
    <row r="226" spans="1:242" s="889" customFormat="1" ht="20.100000000000001" hidden="1" customHeight="1">
      <c r="A226" s="976">
        <v>0</v>
      </c>
      <c r="B226" s="977" t="s">
        <v>665</v>
      </c>
      <c r="E226" s="881"/>
      <c r="F226" s="1368" t="s">
        <v>596</v>
      </c>
      <c r="G226" s="1369" t="s">
        <v>597</v>
      </c>
      <c r="H226" s="1369"/>
      <c r="I226" s="978" t="s">
        <v>598</v>
      </c>
      <c r="J226" s="979"/>
      <c r="K226" s="980" t="str">
        <f ca="1">OFFSET(貼付け_2027実績,4,SUM(COLUMN()-COLUMN(貼付け_2027実績)))</f>
        <v>横浜1</v>
      </c>
      <c r="L226" s="981"/>
      <c r="M226" s="981"/>
      <c r="N226" s="982"/>
      <c r="O226" s="980" t="str">
        <f ca="1">OFFSET(貼付け_2027実績,4,SUM(COLUMN()-COLUMN(貼付け_2027実績)))</f>
        <v>横浜2</v>
      </c>
      <c r="P226" s="981"/>
      <c r="Q226" s="981"/>
      <c r="R226" s="982"/>
      <c r="S226" s="980" t="str">
        <f ca="1">OFFSET(貼付け_2027実績,4,SUM(COLUMN()-COLUMN(貼付け_2027実績)))</f>
        <v>横浜3</v>
      </c>
      <c r="T226" s="981"/>
      <c r="U226" s="981"/>
      <c r="V226" s="982"/>
      <c r="W226" s="980" t="str">
        <f ca="1">OFFSET(貼付け_2027実績,4,SUM(COLUMN()-COLUMN(貼付け_2027実績)))</f>
        <v>県域1</v>
      </c>
      <c r="X226" s="981"/>
      <c r="Y226" s="981"/>
      <c r="Z226" s="982"/>
      <c r="AA226" s="980" t="str">
        <f ca="1">OFFSET(貼付け_2027実績,4,SUM(COLUMN()-COLUMN(貼付け_2027実績)))</f>
        <v>県域2</v>
      </c>
      <c r="AB226" s="981"/>
      <c r="AC226" s="981"/>
      <c r="AD226" s="982"/>
      <c r="AE226" s="980" t="str">
        <f ca="1">OFFSET(貼付け_2027実績,4,SUM(COLUMN()-COLUMN(貼付け_2027実績)))</f>
        <v>県域3</v>
      </c>
      <c r="AF226" s="981"/>
      <c r="AG226" s="981"/>
      <c r="AH226" s="982"/>
      <c r="AI226" s="980" t="str">
        <f ca="1">OFFSET(貼付け_2027実績,4,SUM(COLUMN()-COLUMN(貼付け_2027実績)))</f>
        <v>エネルギー管理指定工場等1</v>
      </c>
      <c r="AJ226" s="981"/>
      <c r="AK226" s="981"/>
      <c r="AL226" s="982"/>
      <c r="AM226" s="980" t="str">
        <f ca="1">OFFSET(貼付け_2027実績,4,SUM(COLUMN()-COLUMN(貼付け_2027実績)))</f>
        <v>エネルギー管理指定工場等2</v>
      </c>
      <c r="AN226" s="981"/>
      <c r="AO226" s="981"/>
      <c r="AP226" s="982"/>
      <c r="AQ226" s="980" t="str">
        <f ca="1">OFFSET(貼付け_2027実績,4,SUM(COLUMN()-COLUMN(貼付け_2027実績)))</f>
        <v>エネルギー管理指定工場等3</v>
      </c>
      <c r="AR226" s="981"/>
      <c r="AS226" s="981"/>
      <c r="AT226" s="982"/>
      <c r="AU226" s="980" t="str">
        <f ca="1">OFFSET(貼付け_2027実績,4,SUM(COLUMN()-COLUMN(貼付け_2027実績)))</f>
        <v>エネルギー管理指定工場等4</v>
      </c>
      <c r="AV226" s="981"/>
      <c r="AW226" s="981"/>
      <c r="AX226" s="982"/>
      <c r="AY226" s="980" t="str">
        <f ca="1">OFFSET(貼付け_2027実績,4,SUM(COLUMN()-COLUMN(貼付け_2027実績)))</f>
        <v>エネルギー管理指定工場等5</v>
      </c>
      <c r="AZ226" s="981"/>
      <c r="BA226" s="981"/>
      <c r="BB226" s="982"/>
      <c r="BC226" s="980" t="str">
        <f ca="1">OFFSET(貼付け_2027実績,4,SUM(COLUMN()-COLUMN(貼付け_2027実績)))</f>
        <v>エネルギー管理指定工場等6</v>
      </c>
      <c r="BD226" s="981"/>
      <c r="BE226" s="981"/>
      <c r="BF226" s="982"/>
      <c r="BG226" s="980" t="str">
        <f ca="1">OFFSET(貼付け_2027実績,4,SUM(COLUMN()-COLUMN(貼付け_2027実績)))</f>
        <v>エネルギー管理指定工場等7</v>
      </c>
      <c r="BH226" s="981"/>
      <c r="BI226" s="981"/>
      <c r="BJ226" s="982"/>
      <c r="BK226" s="980" t="str">
        <f ca="1">OFFSET(貼付け_2027実績,4,SUM(COLUMN()-COLUMN(貼付け_2027実績)))</f>
        <v>エネルギー管理指定工場等8</v>
      </c>
      <c r="BL226" s="981"/>
      <c r="BM226" s="981"/>
      <c r="BN226" s="982"/>
      <c r="BO226" s="980" t="str">
        <f ca="1">OFFSET(貼付け_2027実績,4,SUM(COLUMN()-COLUMN(貼付け_2027実績)))</f>
        <v>エネルギー管理指定工場等9</v>
      </c>
      <c r="BP226" s="981"/>
      <c r="BQ226" s="981"/>
      <c r="BR226" s="982"/>
      <c r="BS226" s="980" t="str">
        <f ca="1">OFFSET(貼付け_2027実績,4,SUM(COLUMN()-COLUMN(貼付け_2027実績)))</f>
        <v>エネルギー管理指定工場等10</v>
      </c>
      <c r="BT226" s="981"/>
      <c r="BU226" s="981"/>
      <c r="BV226" s="982"/>
      <c r="BW226" s="980">
        <f ca="1">OFFSET(貼付け_2027実績,4,SUM(COLUMN()-COLUMN(貼付け_2027実績)))</f>
        <v>0</v>
      </c>
      <c r="BX226" s="981"/>
      <c r="BY226" s="981"/>
      <c r="BZ226" s="982"/>
      <c r="CA226" s="980" t="str">
        <f ca="1">OFFSET(貼付け_2027実績,4,SUM(COLUMN()-COLUMN(貼付け_2027実績)))</f>
        <v>県域4</v>
      </c>
      <c r="CB226" s="981"/>
      <c r="CC226" s="981"/>
      <c r="CD226" s="982"/>
      <c r="CE226" s="980" t="str">
        <f ca="1">OFFSET(貼付け_2027実績,4,SUM(COLUMN()-COLUMN(貼付け_2027実績)))</f>
        <v>県域5</v>
      </c>
      <c r="CF226" s="981"/>
      <c r="CG226" s="981"/>
      <c r="CH226" s="982"/>
      <c r="CI226" s="980" t="str">
        <f ca="1">OFFSET(貼付け_2027実績,4,SUM(COLUMN()-COLUMN(貼付け_2027実績)))</f>
        <v>県域6</v>
      </c>
      <c r="CJ226" s="981"/>
      <c r="CK226" s="981"/>
      <c r="CL226" s="982"/>
      <c r="CM226" s="980" t="str">
        <f ca="1">OFFSET(貼付け_2027実績,4,SUM(COLUMN()-COLUMN(貼付け_2027実績)))</f>
        <v>県域7</v>
      </c>
      <c r="CN226" s="981"/>
      <c r="CO226" s="981"/>
      <c r="CP226" s="982"/>
      <c r="CQ226" s="980" t="str">
        <f ca="1">OFFSET(貼付け_2027実績,4,SUM(COLUMN()-COLUMN(貼付け_2027実績)))</f>
        <v>県域8</v>
      </c>
      <c r="CR226" s="981"/>
      <c r="CS226" s="981"/>
      <c r="CT226" s="982"/>
      <c r="CU226" s="980" t="str">
        <f ca="1">OFFSET(貼付け_2027実績,4,SUM(COLUMN()-COLUMN(貼付け_2027実績)))</f>
        <v>県域9</v>
      </c>
      <c r="CV226" s="981"/>
      <c r="CW226" s="981"/>
      <c r="CX226" s="982"/>
      <c r="CY226" s="980" t="str">
        <f ca="1">OFFSET(貼付け_2027実績,4,SUM(COLUMN()-COLUMN(貼付け_2027実績)))</f>
        <v>県域10</v>
      </c>
      <c r="CZ226" s="981"/>
      <c r="DA226" s="981"/>
      <c r="DB226" s="982"/>
      <c r="DC226" s="980" t="str">
        <f ca="1">OFFSET(貼付け_2027実績,4,SUM(COLUMN()-COLUMN(貼付け_2027実績)))</f>
        <v>横浜3</v>
      </c>
      <c r="DD226" s="981"/>
      <c r="DE226" s="981"/>
      <c r="DF226" s="982"/>
      <c r="DG226" s="980" t="str">
        <f ca="1">OFFSET(貼付け_2027実績,4,SUM(COLUMN()-COLUMN(貼付け_2027実績)))</f>
        <v>横浜4</v>
      </c>
      <c r="DH226" s="981"/>
      <c r="DI226" s="981"/>
      <c r="DJ226" s="982"/>
      <c r="DK226" s="980" t="str">
        <f ca="1">OFFSET(貼付け_2027実績,4,SUM(COLUMN()-COLUMN(貼付け_2027実績)))</f>
        <v>横浜5</v>
      </c>
      <c r="DL226" s="981"/>
      <c r="DM226" s="981"/>
      <c r="DN226" s="982"/>
      <c r="DO226" s="980" t="str">
        <f ca="1">OFFSET(貼付け_2027実績,4,SUM(COLUMN()-COLUMN(貼付け_2027実績)))</f>
        <v>横浜6</v>
      </c>
      <c r="DP226" s="981"/>
      <c r="DQ226" s="981"/>
      <c r="DR226" s="982"/>
      <c r="DS226" s="980" t="str">
        <f ca="1">OFFSET(貼付け_2027実績,4,SUM(COLUMN()-COLUMN(貼付け_2027実績)))</f>
        <v>横浜7</v>
      </c>
      <c r="DT226" s="981"/>
      <c r="DU226" s="981"/>
      <c r="DV226" s="982"/>
      <c r="DW226" s="980" t="str">
        <f ca="1">OFFSET(貼付け_2027実績,4,SUM(COLUMN()-COLUMN(貼付け_2027実績)))</f>
        <v>横浜8</v>
      </c>
      <c r="DX226" s="981"/>
      <c r="DY226" s="981"/>
      <c r="DZ226" s="982"/>
      <c r="EA226" s="980" t="str">
        <f ca="1">OFFSET(貼付け_2027実績,4,SUM(COLUMN()-COLUMN(貼付け_2027実績)))</f>
        <v>横浜9</v>
      </c>
      <c r="EB226" s="981"/>
      <c r="EC226" s="981"/>
      <c r="ED226" s="982"/>
      <c r="EE226" s="980" t="str">
        <f ca="1">OFFSET(貼付け_2027実績,4,SUM(COLUMN()-COLUMN(貼付け_2027実績)))</f>
        <v>横浜10</v>
      </c>
      <c r="EF226" s="981"/>
      <c r="EG226" s="981"/>
      <c r="EH226" s="982"/>
      <c r="EI226" s="980" t="str">
        <f ca="1">OFFSET(貼付け_2027実績,4,SUM(COLUMN()-COLUMN(貼付け_2027実績)))</f>
        <v>川崎1</v>
      </c>
      <c r="EJ226" s="981"/>
      <c r="EK226" s="981"/>
      <c r="EL226" s="982"/>
      <c r="EM226" s="980" t="str">
        <f ca="1">OFFSET(貼付け_2027実績,4,SUM(COLUMN()-COLUMN(貼付け_2027実績)))</f>
        <v>川崎2</v>
      </c>
      <c r="EN226" s="981"/>
      <c r="EO226" s="981"/>
      <c r="EP226" s="982"/>
      <c r="EQ226" s="980" t="str">
        <f ca="1">OFFSET(貼付け_2027実績,4,SUM(COLUMN()-COLUMN(貼付け_2027実績)))</f>
        <v>川崎3</v>
      </c>
      <c r="ER226" s="981"/>
      <c r="ES226" s="981"/>
      <c r="ET226" s="982"/>
      <c r="EU226" s="980" t="str">
        <f ca="1">OFFSET(貼付け_2027実績,4,SUM(COLUMN()-COLUMN(貼付け_2027実績)))</f>
        <v>川崎6</v>
      </c>
      <c r="EV226" s="981"/>
      <c r="EW226" s="981"/>
      <c r="EX226" s="982"/>
      <c r="EY226" s="980" t="str">
        <f ca="1">OFFSET(貼付け_2027実績,4,SUM(COLUMN()-COLUMN(貼付け_2027実績)))</f>
        <v>川崎7</v>
      </c>
      <c r="EZ226" s="981"/>
      <c r="FA226" s="981"/>
      <c r="FB226" s="982"/>
      <c r="FC226" s="980" t="str">
        <f ca="1">OFFSET(貼付け_2027実績,4,SUM(COLUMN()-COLUMN(貼付け_2027実績)))</f>
        <v>川崎8</v>
      </c>
      <c r="FD226" s="981"/>
      <c r="FE226" s="981"/>
      <c r="FF226" s="982"/>
      <c r="FG226" s="980" t="str">
        <f ca="1">OFFSET(貼付け_2027実績,4,SUM(COLUMN()-COLUMN(貼付け_2027実績)))</f>
        <v>川崎9</v>
      </c>
      <c r="FH226" s="981"/>
      <c r="FI226" s="981"/>
      <c r="FJ226" s="982"/>
      <c r="FK226" s="980" t="str">
        <f ca="1">OFFSET(貼付け_2027実績,4,SUM(COLUMN()-COLUMN(貼付け_2027実績)))</f>
        <v>川崎10</v>
      </c>
      <c r="FL226" s="981"/>
      <c r="FM226" s="981"/>
      <c r="FN226" s="982"/>
      <c r="FO226" s="980" t="str">
        <f ca="1">OFFSET(貼付け_2027実績,4,SUM(COLUMN()-COLUMN(貼付け_2027実績)))</f>
        <v>川崎11</v>
      </c>
      <c r="FP226" s="981"/>
      <c r="FQ226" s="981"/>
      <c r="FR226" s="982"/>
      <c r="FS226" s="980" t="str">
        <f ca="1">OFFSET(貼付け_2027実績,4,SUM(COLUMN()-COLUMN(貼付け_2027実績)))</f>
        <v>川崎12</v>
      </c>
      <c r="FT226" s="981"/>
      <c r="FU226" s="981"/>
      <c r="FV226" s="982"/>
      <c r="FW226" s="980" t="str">
        <f ca="1">OFFSET(貼付け_2027実績,4,SUM(COLUMN()-COLUMN(貼付け_2027実績)))</f>
        <v>川崎13</v>
      </c>
      <c r="FX226" s="981"/>
      <c r="FY226" s="981"/>
      <c r="FZ226" s="982"/>
      <c r="GA226" s="980" t="str">
        <f ca="1">OFFSET(貼付け_2027実績,4,SUM(COLUMN()-COLUMN(貼付け_2027実績)))</f>
        <v>川崎14</v>
      </c>
      <c r="GB226" s="981"/>
      <c r="GC226" s="981"/>
      <c r="GD226" s="982"/>
      <c r="GE226" s="980" t="str">
        <f ca="1">OFFSET(貼付け_2027実績,4,SUM(COLUMN()-COLUMN(貼付け_2027実績)))</f>
        <v>川崎15</v>
      </c>
      <c r="GF226" s="981"/>
      <c r="GG226" s="981"/>
      <c r="GH226" s="982"/>
      <c r="GI226" s="980" t="str">
        <f ca="1">OFFSET(貼付け_2027実績,4,SUM(COLUMN()-COLUMN(貼付け_2027実績)))</f>
        <v>川崎16</v>
      </c>
      <c r="GJ226" s="981"/>
      <c r="GK226" s="981"/>
      <c r="GL226" s="982"/>
      <c r="GM226" s="980" t="str">
        <f ca="1">OFFSET(貼付け_2027実績,4,SUM(COLUMN()-COLUMN(貼付け_2027実績)))</f>
        <v>川崎17</v>
      </c>
      <c r="GN226" s="981"/>
      <c r="GO226" s="981"/>
      <c r="GP226" s="982"/>
      <c r="GQ226" s="980" t="str">
        <f ca="1">OFFSET(貼付け_2027実績,4,SUM(COLUMN()-COLUMN(貼付け_2027実績)))</f>
        <v>川崎18</v>
      </c>
      <c r="GR226" s="981"/>
      <c r="GS226" s="981"/>
      <c r="GT226" s="982"/>
      <c r="GU226" s="980" t="str">
        <f ca="1">OFFSET(貼付け_2027実績,4,SUM(COLUMN()-COLUMN(貼付け_2027実績)))</f>
        <v>川崎19</v>
      </c>
      <c r="GV226" s="981"/>
      <c r="GW226" s="981"/>
      <c r="GX226" s="982"/>
      <c r="GY226" s="980" t="str">
        <f ca="1">OFFSET(貼付け_2027実績,4,SUM(COLUMN()-COLUMN(貼付け_2027実績)))</f>
        <v>川崎20</v>
      </c>
      <c r="GZ226" s="981"/>
      <c r="HA226" s="981"/>
      <c r="HB226" s="982"/>
      <c r="IE226" s="927"/>
      <c r="IF226" s="927"/>
      <c r="IG226" s="927"/>
      <c r="IH226" s="927"/>
    </row>
    <row r="227" spans="1:242" s="889" customFormat="1" ht="19.8" hidden="1">
      <c r="A227" s="976">
        <v>1</v>
      </c>
      <c r="C227" s="881"/>
      <c r="D227" s="881"/>
      <c r="E227" s="881"/>
      <c r="F227" s="1368"/>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SUMPRODUCT(OFFSET(貼付け_2027実績,$F228,6,5,1),OFFSET(貼付け_2027実績,$F228,SUM(COLUMN()-COLUMN(貼付け_2027実績)),5,1))</f>
        <v>0</v>
      </c>
      <c r="J228" s="989">
        <f ca="1">SUMPRODUCT(OFFSET(貼付け_2027実績,$F228,6,5,1),OFFSET(貼付け_2027実績,$F228,SUM(COLUMN()-COLUMN(貼付け_2027実績)),5,1))</f>
        <v>0</v>
      </c>
      <c r="K228" s="989">
        <f t="shared" ref="K228:AP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SUMPRODUCT(OFFSET(貼付け_2027実績,$G230,5,($H230-$G230+1),1),OFFSET(貼付け_2027実績,$G230,SUM(COLUMN()-COLUMN(貼付け_2027実績)),($H230-$G230+1),1))*0.0258</f>
        <v>0</v>
      </c>
      <c r="L230" s="990"/>
      <c r="M230" s="990"/>
      <c r="N230" s="990"/>
      <c r="O230" s="989">
        <f ca="1">SUMPRODUCT(OFFSET(貼付け_2027実績,$G230,5,($H230-$G230+1),1),OFFSET(貼付け_2027実績,$G230,SUM(COLUMN()-COLUMN(貼付け_2027実績)),($H230-$G230+1),1))*0.0258</f>
        <v>0</v>
      </c>
      <c r="P230" s="990"/>
      <c r="Q230" s="990"/>
      <c r="R230" s="990"/>
      <c r="S230" s="989">
        <f ca="1">SUMPRODUCT(OFFSET(貼付け_2027実績,$G230,5,($H230-$G230+1),1),OFFSET(貼付け_2027実績,$G230,SUM(COLUMN()-COLUMN(貼付け_2027実績)),($H230-$G230+1),1))*0.0258</f>
        <v>0</v>
      </c>
      <c r="T230" s="990"/>
      <c r="U230" s="990"/>
      <c r="V230" s="990"/>
      <c r="W230" s="989">
        <f ca="1">SUMPRODUCT(OFFSET(貼付け_2027実績,$G230,5,($H230-$G230+1),1),OFFSET(貼付け_2027実績,$G230,SUM(COLUMN()-COLUMN(貼付け_2027実績)),($H230-$G230+1),1))*0.0258</f>
        <v>0</v>
      </c>
      <c r="X230" s="990"/>
      <c r="Y230" s="990"/>
      <c r="Z230" s="990"/>
      <c r="AA230" s="989">
        <f ca="1">SUMPRODUCT(OFFSET(貼付け_2027実績,$G230,5,($H230-$G230+1),1),OFFSET(貼付け_2027実績,$G230,SUM(COLUMN()-COLUMN(貼付け_2027実績)),($H230-$G230+1),1))*0.0258</f>
        <v>0</v>
      </c>
      <c r="AB230" s="990"/>
      <c r="AC230" s="990"/>
      <c r="AD230" s="990"/>
      <c r="AE230" s="989">
        <f ca="1">SUMPRODUCT(OFFSET(貼付け_2027実績,$G230,5,($H230-$G230+1),1),OFFSET(貼付け_2027実績,$G230,SUM(COLUMN()-COLUMN(貼付け_2027実績)),($H230-$G230+1),1))*0.0258</f>
        <v>0</v>
      </c>
      <c r="AF230" s="990"/>
      <c r="AG230" s="990"/>
      <c r="AH230" s="990"/>
      <c r="AI230" s="989">
        <f ca="1">SUMPRODUCT(OFFSET(貼付け_2027実績,$G230,5,($H230-$G230+1),1),OFFSET(貼付け_2027実績,$G230,SUM(COLUMN()-COLUMN(貼付け_2027実績)),($H230-$G230+1),1))*0.0258</f>
        <v>0</v>
      </c>
      <c r="AJ230" s="990"/>
      <c r="AK230" s="990"/>
      <c r="AL230" s="990"/>
      <c r="AM230" s="989">
        <f ca="1">SUMPRODUCT(OFFSET(貼付け_2027実績,$G230,5,($H230-$G230+1),1),OFFSET(貼付け_2027実績,$G230,SUM(COLUMN()-COLUMN(貼付け_2027実績)),($H230-$G230+1),1))*0.0258</f>
        <v>0</v>
      </c>
      <c r="AN230" s="990"/>
      <c r="AO230" s="990"/>
      <c r="AP230" s="990"/>
      <c r="AQ230" s="989">
        <f ca="1">SUMPRODUCT(OFFSET(貼付け_2027実績,$G230,5,($H230-$G230+1),1),OFFSET(貼付け_2027実績,$G230,SUM(COLUMN()-COLUMN(貼付け_2027実績)),($H230-$G230+1),1))*0.0258</f>
        <v>0</v>
      </c>
      <c r="AR230" s="990"/>
      <c r="AS230" s="990"/>
      <c r="AT230" s="990"/>
      <c r="AU230" s="989">
        <f ca="1">SUMPRODUCT(OFFSET(貼付け_2027実績,$G230,5,($H230-$G230+1),1),OFFSET(貼付け_2027実績,$G230,SUM(COLUMN()-COLUMN(貼付け_2027実績)),($H230-$G230+1),1))*0.0258</f>
        <v>0</v>
      </c>
      <c r="AV230" s="990"/>
      <c r="AW230" s="990"/>
      <c r="AX230" s="990"/>
      <c r="AY230" s="989">
        <f ca="1">SUMPRODUCT(OFFSET(貼付け_2027実績,$G230,5,($H230-$G230+1),1),OFFSET(貼付け_2027実績,$G230,SUM(COLUMN()-COLUMN(貼付け_2027実績)),($H230-$G230+1),1))*0.0258</f>
        <v>0</v>
      </c>
      <c r="AZ230" s="990"/>
      <c r="BA230" s="990"/>
      <c r="BB230" s="990"/>
      <c r="BC230" s="989">
        <f ca="1">SUMPRODUCT(OFFSET(貼付け_2027実績,$G230,5,($H230-$G230+1),1),OFFSET(貼付け_2027実績,$G230,SUM(COLUMN()-COLUMN(貼付け_2027実績)),($H230-$G230+1),1))*0.0258</f>
        <v>0</v>
      </c>
      <c r="BD230" s="990"/>
      <c r="BE230" s="990"/>
      <c r="BF230" s="990"/>
      <c r="BG230" s="989">
        <f ca="1">SUMPRODUCT(OFFSET(貼付け_2027実績,$G230,5,($H230-$G230+1),1),OFFSET(貼付け_2027実績,$G230,SUM(COLUMN()-COLUMN(貼付け_2027実績)),($H230-$G230+1),1))*0.0258</f>
        <v>0</v>
      </c>
      <c r="BH230" s="990"/>
      <c r="BI230" s="990"/>
      <c r="BJ230" s="990"/>
      <c r="BK230" s="989">
        <f ca="1">SUMPRODUCT(OFFSET(貼付け_2027実績,$G230,5,($H230-$G230+1),1),OFFSET(貼付け_2027実績,$G230,SUM(COLUMN()-COLUMN(貼付け_2027実績)),($H230-$G230+1),1))*0.0258</f>
        <v>0</v>
      </c>
      <c r="BL230" s="990"/>
      <c r="BM230" s="990"/>
      <c r="BN230" s="990"/>
      <c r="BO230" s="989">
        <f ca="1">SUMPRODUCT(OFFSET(貼付け_2027実績,$G230,5,($H230-$G230+1),1),OFFSET(貼付け_2027実績,$G230,SUM(COLUMN()-COLUMN(貼付け_2027実績)),($H230-$G230+1),1))*0.0258</f>
        <v>0</v>
      </c>
      <c r="BP230" s="990"/>
      <c r="BQ230" s="990"/>
      <c r="BR230" s="990"/>
      <c r="BS230" s="989">
        <f ca="1">SUMPRODUCT(OFFSET(貼付け_2027実績,$G230,5,($H230-$G230+1),1),OFFSET(貼付け_2027実績,$G230,SUM(COLUMN()-COLUMN(貼付け_2027実績)),($H230-$G230+1),1))*0.0258</f>
        <v>0</v>
      </c>
      <c r="BT230" s="990"/>
      <c r="BU230" s="990"/>
      <c r="BV230" s="990"/>
      <c r="BW230" s="989">
        <f ca="1">SUMPRODUCT(OFFSET(貼付け_2027実績,$G230,5,($H230-$G230+1),1),OFFSET(貼付け_2027実績,$G230,SUM(COLUMN()-COLUMN(貼付け_2027実績)),($H230-$G230+1),1))*0.0258</f>
        <v>0</v>
      </c>
      <c r="BX230" s="990"/>
      <c r="BY230" s="990"/>
      <c r="BZ230" s="990"/>
      <c r="CA230" s="989">
        <f ca="1">SUMPRODUCT(OFFSET(貼付け_2027実績,$G230,5,($H230-$G230+1),1),OFFSET(貼付け_2027実績,$G230,SUM(COLUMN()-COLUMN(貼付け_2027実績)),($H230-$G230+1),1))*0.0258</f>
        <v>0</v>
      </c>
      <c r="CB230" s="990"/>
      <c r="CC230" s="990"/>
      <c r="CD230" s="990"/>
      <c r="CE230" s="989">
        <f ca="1">SUMPRODUCT(OFFSET(貼付け_2027実績,$G230,5,($H230-$G230+1),1),OFFSET(貼付け_2027実績,$G230,SUM(COLUMN()-COLUMN(貼付け_2027実績)),($H230-$G230+1),1))*0.0258</f>
        <v>0</v>
      </c>
      <c r="CF230" s="990"/>
      <c r="CG230" s="990"/>
      <c r="CH230" s="990"/>
      <c r="CI230" s="989">
        <f ca="1">SUMPRODUCT(OFFSET(貼付け_2027実績,$G230,5,($H230-$G230+1),1),OFFSET(貼付け_2027実績,$G230,SUM(COLUMN()-COLUMN(貼付け_2027実績)),($H230-$G230+1),1))*0.0258</f>
        <v>0</v>
      </c>
      <c r="CJ230" s="990"/>
      <c r="CK230" s="990"/>
      <c r="CL230" s="990"/>
      <c r="CM230" s="989">
        <f ca="1">SUMPRODUCT(OFFSET(貼付け_2027実績,$G230,5,($H230-$G230+1),1),OFFSET(貼付け_2027実績,$G230,SUM(COLUMN()-COLUMN(貼付け_2027実績)),($H230-$G230+1),1))*0.0258</f>
        <v>0</v>
      </c>
      <c r="CN230" s="990"/>
      <c r="CO230" s="990"/>
      <c r="CP230" s="990"/>
      <c r="CQ230" s="989">
        <f ca="1">SUMPRODUCT(OFFSET(貼付け_2027実績,$G230,5,($H230-$G230+1),1),OFFSET(貼付け_2027実績,$G230,SUM(COLUMN()-COLUMN(貼付け_2027実績)),($H230-$G230+1),1))*0.0258</f>
        <v>0</v>
      </c>
      <c r="CR230" s="990"/>
      <c r="CS230" s="990"/>
      <c r="CT230" s="990"/>
      <c r="CU230" s="989">
        <f ca="1">SUMPRODUCT(OFFSET(貼付け_2027実績,$G230,5,($H230-$G230+1),1),OFFSET(貼付け_2027実績,$G230,SUM(COLUMN()-COLUMN(貼付け_2027実績)),($H230-$G230+1),1))*0.0258</f>
        <v>0</v>
      </c>
      <c r="CV230" s="990"/>
      <c r="CW230" s="990"/>
      <c r="CX230" s="990"/>
      <c r="CY230" s="989">
        <f ca="1">SUMPRODUCT(OFFSET(貼付け_2027実績,$G230,5,($H230-$G230+1),1),OFFSET(貼付け_2027実績,$G230,SUM(COLUMN()-COLUMN(貼付け_2027実績)),($H230-$G230+1),1))*0.0258</f>
        <v>0</v>
      </c>
      <c r="CZ230" s="990"/>
      <c r="DA230" s="990"/>
      <c r="DB230" s="990"/>
      <c r="DC230" s="989">
        <f ca="1">SUMPRODUCT(OFFSET(貼付け_2027実績,$G230,5,($H230-$G230+1),1),OFFSET(貼付け_2027実績,$G230,SUM(COLUMN()-COLUMN(貼付け_2027実績)),($H230-$G230+1),1))*0.0258</f>
        <v>0</v>
      </c>
      <c r="DD230" s="990"/>
      <c r="DE230" s="990"/>
      <c r="DF230" s="990"/>
      <c r="DG230" s="989">
        <f ca="1">SUMPRODUCT(OFFSET(貼付け_2027実績,$G230,5,($H230-$G230+1),1),OFFSET(貼付け_2027実績,$G230,SUM(COLUMN()-COLUMN(貼付け_2027実績)),($H230-$G230+1),1))*0.0258</f>
        <v>0</v>
      </c>
      <c r="DH230" s="990"/>
      <c r="DI230" s="990"/>
      <c r="DJ230" s="990"/>
      <c r="DK230" s="989">
        <f ca="1">SUMPRODUCT(OFFSET(貼付け_2027実績,$G230,5,($H230-$G230+1),1),OFFSET(貼付け_2027実績,$G230,SUM(COLUMN()-COLUMN(貼付け_2027実績)),($H230-$G230+1),1))*0.0258</f>
        <v>0</v>
      </c>
      <c r="DL230" s="990"/>
      <c r="DM230" s="990"/>
      <c r="DN230" s="990"/>
      <c r="DO230" s="989">
        <f ca="1">SUMPRODUCT(OFFSET(貼付け_2027実績,$G230,5,($H230-$G230+1),1),OFFSET(貼付け_2027実績,$G230,SUM(COLUMN()-COLUMN(貼付け_2027実績)),($H230-$G230+1),1))*0.0258</f>
        <v>0</v>
      </c>
      <c r="DP230" s="990"/>
      <c r="DQ230" s="990"/>
      <c r="DR230" s="990"/>
      <c r="DS230" s="989">
        <f ca="1">SUMPRODUCT(OFFSET(貼付け_2027実績,$G230,5,($H230-$G230+1),1),OFFSET(貼付け_2027実績,$G230,SUM(COLUMN()-COLUMN(貼付け_2027実績)),($H230-$G230+1),1))*0.0258</f>
        <v>0</v>
      </c>
      <c r="DT230" s="990"/>
      <c r="DU230" s="990"/>
      <c r="DV230" s="990"/>
      <c r="DW230" s="989">
        <f ca="1">SUMPRODUCT(OFFSET(貼付け_2027実績,$G230,5,($H230-$G230+1),1),OFFSET(貼付け_2027実績,$G230,SUM(COLUMN()-COLUMN(貼付け_2027実績)),($H230-$G230+1),1))*0.0258</f>
        <v>0</v>
      </c>
      <c r="DX230" s="990"/>
      <c r="DY230" s="990"/>
      <c r="DZ230" s="990"/>
      <c r="EA230" s="989">
        <f ca="1">SUMPRODUCT(OFFSET(貼付け_2027実績,$G230,5,($H230-$G230+1),1),OFFSET(貼付け_2027実績,$G230,SUM(COLUMN()-COLUMN(貼付け_2027実績)),($H230-$G230+1),1))*0.0258</f>
        <v>0</v>
      </c>
      <c r="EB230" s="990"/>
      <c r="EC230" s="990"/>
      <c r="ED230" s="990"/>
      <c r="EE230" s="989">
        <f ca="1">SUMPRODUCT(OFFSET(貼付け_2027実績,$G230,5,($H230-$G230+1),1),OFFSET(貼付け_2027実績,$G230,SUM(COLUMN()-COLUMN(貼付け_2027実績)),($H230-$G230+1),1))*0.0258</f>
        <v>0</v>
      </c>
      <c r="EF230" s="990"/>
      <c r="EG230" s="990"/>
      <c r="EH230" s="990"/>
      <c r="EI230" s="989">
        <f ca="1">SUMPRODUCT(OFFSET(貼付け_2027実績,$G230,5,($H230-$G230+1),1),OFFSET(貼付け_2027実績,$G230,SUM(COLUMN()-COLUMN(貼付け_2027実績)),($H230-$G230+1),1))*0.0258</f>
        <v>0</v>
      </c>
      <c r="EJ230" s="990"/>
      <c r="EK230" s="990"/>
      <c r="EL230" s="990"/>
      <c r="EM230" s="989">
        <f ca="1">SUMPRODUCT(OFFSET(貼付け_2027実績,$G230,5,($H230-$G230+1),1),OFFSET(貼付け_2027実績,$G230,SUM(COLUMN()-COLUMN(貼付け_2027実績)),($H230-$G230+1),1))*0.0258</f>
        <v>0</v>
      </c>
      <c r="EN230" s="990"/>
      <c r="EO230" s="990"/>
      <c r="EP230" s="990"/>
      <c r="EQ230" s="989">
        <f ca="1">SUMPRODUCT(OFFSET(貼付け_2027実績,$G230,5,($H230-$G230+1),1),OFFSET(貼付け_2027実績,$G230,SUM(COLUMN()-COLUMN(貼付け_2027実績)),($H230-$G230+1),1))*0.0258</f>
        <v>0</v>
      </c>
      <c r="ER230" s="990"/>
      <c r="ES230" s="990"/>
      <c r="ET230" s="990"/>
      <c r="EU230" s="989">
        <f ca="1">SUMPRODUCT(OFFSET(貼付け_2027実績,$G230,5,($H230-$G230+1),1),OFFSET(貼付け_2027実績,$G230,SUM(COLUMN()-COLUMN(貼付け_2027実績)),($H230-$G230+1),1))*0.0258</f>
        <v>0</v>
      </c>
      <c r="EV230" s="990"/>
      <c r="EW230" s="990"/>
      <c r="EX230" s="990"/>
      <c r="EY230" s="989">
        <f ca="1">SUMPRODUCT(OFFSET(貼付け_2027実績,$G230,5,($H230-$G230+1),1),OFFSET(貼付け_2027実績,$G230,SUM(COLUMN()-COLUMN(貼付け_2027実績)),($H230-$G230+1),1))*0.0258</f>
        <v>0</v>
      </c>
      <c r="EZ230" s="990"/>
      <c r="FA230" s="990"/>
      <c r="FB230" s="990"/>
      <c r="FC230" s="989">
        <f ca="1">SUMPRODUCT(OFFSET(貼付け_2027実績,$G230,5,($H230-$G230+1),1),OFFSET(貼付け_2027実績,$G230,SUM(COLUMN()-COLUMN(貼付け_2027実績)),($H230-$G230+1),1))*0.0258</f>
        <v>0</v>
      </c>
      <c r="FD230" s="990"/>
      <c r="FE230" s="990"/>
      <c r="FF230" s="990"/>
      <c r="FG230" s="989">
        <f ca="1">SUMPRODUCT(OFFSET(貼付け_2027実績,$G230,5,($H230-$G230+1),1),OFFSET(貼付け_2027実績,$G230,SUM(COLUMN()-COLUMN(貼付け_2027実績)),($H230-$G230+1),1))*0.0258</f>
        <v>0</v>
      </c>
      <c r="FH230" s="990"/>
      <c r="FI230" s="990"/>
      <c r="FJ230" s="990"/>
      <c r="FK230" s="989">
        <f ca="1">SUMPRODUCT(OFFSET(貼付け_2027実績,$G230,5,($H230-$G230+1),1),OFFSET(貼付け_2027実績,$G230,SUM(COLUMN()-COLUMN(貼付け_2027実績)),($H230-$G230+1),1))*0.0258</f>
        <v>0</v>
      </c>
      <c r="FL230" s="990"/>
      <c r="FM230" s="990"/>
      <c r="FN230" s="990"/>
      <c r="FO230" s="989">
        <f ca="1">SUMPRODUCT(OFFSET(貼付け_2027実績,$G230,5,($H230-$G230+1),1),OFFSET(貼付け_2027実績,$G230,SUM(COLUMN()-COLUMN(貼付け_2027実績)),($H230-$G230+1),1))*0.0258</f>
        <v>0</v>
      </c>
      <c r="FP230" s="990"/>
      <c r="FQ230" s="990"/>
      <c r="FR230" s="990"/>
      <c r="FS230" s="989">
        <f ca="1">SUMPRODUCT(OFFSET(貼付け_2027実績,$G230,5,($H230-$G230+1),1),OFFSET(貼付け_2027実績,$G230,SUM(COLUMN()-COLUMN(貼付け_2027実績)),($H230-$G230+1),1))*0.0258</f>
        <v>0</v>
      </c>
      <c r="FT230" s="990"/>
      <c r="FU230" s="990"/>
      <c r="FV230" s="990"/>
      <c r="FW230" s="989">
        <f ca="1">SUMPRODUCT(OFFSET(貼付け_2027実績,$G230,5,($H230-$G230+1),1),OFFSET(貼付け_2027実績,$G230,SUM(COLUMN()-COLUMN(貼付け_2027実績)),($H230-$G230+1),1))*0.0258</f>
        <v>0</v>
      </c>
      <c r="FX230" s="990"/>
      <c r="FY230" s="990"/>
      <c r="FZ230" s="990"/>
      <c r="GA230" s="989">
        <f ca="1">SUMPRODUCT(OFFSET(貼付け_2027実績,$G230,5,($H230-$G230+1),1),OFFSET(貼付け_2027実績,$G230,SUM(COLUMN()-COLUMN(貼付け_2027実績)),($H230-$G230+1),1))*0.0258</f>
        <v>0</v>
      </c>
      <c r="GB230" s="990"/>
      <c r="GC230" s="990"/>
      <c r="GD230" s="990"/>
      <c r="GE230" s="989">
        <f ca="1">SUMPRODUCT(OFFSET(貼付け_2027実績,$G230,5,($H230-$G230+1),1),OFFSET(貼付け_2027実績,$G230,SUM(COLUMN()-COLUMN(貼付け_2027実績)),($H230-$G230+1),1))*0.0258</f>
        <v>0</v>
      </c>
      <c r="GF230" s="990"/>
      <c r="GG230" s="990"/>
      <c r="GH230" s="990"/>
      <c r="GI230" s="989">
        <f ca="1">SUMPRODUCT(OFFSET(貼付け_2027実績,$G230,5,($H230-$G230+1),1),OFFSET(貼付け_2027実績,$G230,SUM(COLUMN()-COLUMN(貼付け_2027実績)),($H230-$G230+1),1))*0.0258</f>
        <v>0</v>
      </c>
      <c r="GJ230" s="990"/>
      <c r="GK230" s="990"/>
      <c r="GL230" s="990"/>
      <c r="GM230" s="989">
        <f ca="1">SUMPRODUCT(OFFSET(貼付け_2027実績,$G230,5,($H230-$G230+1),1),OFFSET(貼付け_2027実績,$G230,SUM(COLUMN()-COLUMN(貼付け_2027実績)),($H230-$G230+1),1))*0.0258</f>
        <v>0</v>
      </c>
      <c r="GN230" s="990"/>
      <c r="GO230" s="990"/>
      <c r="GP230" s="990"/>
      <c r="GQ230" s="989">
        <f ca="1">SUMPRODUCT(OFFSET(貼付け_2027実績,$G230,5,($H230-$G230+1),1),OFFSET(貼付け_2027実績,$G230,SUM(COLUMN()-COLUMN(貼付け_2027実績)),($H230-$G230+1),1))*0.0258</f>
        <v>0</v>
      </c>
      <c r="GR230" s="990"/>
      <c r="GS230" s="990"/>
      <c r="GT230" s="990"/>
      <c r="GU230" s="989">
        <f ca="1">SUMPRODUCT(OFFSET(貼付け_2027実績,$G230,5,($H230-$G230+1),1),OFFSET(貼付け_2027実績,$G230,SUM(COLUMN()-COLUMN(貼付け_2027実績)),($H230-$G230+1),1))*0.0258</f>
        <v>0</v>
      </c>
      <c r="GV230" s="990"/>
      <c r="GW230" s="990"/>
      <c r="GX230" s="990"/>
      <c r="GY230" s="989">
        <f ca="1">SUMPRODUCT(OFFSET(貼付け_2027実績,$G230,5,($H230-$G230+1),1),OFFSET(貼付け_2027実績,$G230,SUM(COLUMN()-COLUMN(貼付け_2027実績)),($H230-$G230+1),1))*0.0258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OFFSET(貼付け_2027実績,$G232,SUM(COLUMN()-COLUMN(貼付け_2027実績))-1)</f>
        <v>0</v>
      </c>
      <c r="M232" s="989" t="str">
        <f ca="1">IFERROR(K232/L232,"")</f>
        <v/>
      </c>
      <c r="N232" s="991"/>
      <c r="O232" s="989">
        <f ca="1">O231-Q229-R229</f>
        <v>0</v>
      </c>
      <c r="P232" s="989">
        <f ca="1">OFFSET(貼付け_2027実績,$G232,SUM(COLUMN()-COLUMN(貼付け_2027実績))-1)</f>
        <v>0</v>
      </c>
      <c r="Q232" s="989" t="str">
        <f ca="1">IFERROR(O232/P232,"")</f>
        <v/>
      </c>
      <c r="R232" s="991"/>
      <c r="S232" s="989">
        <f ca="1">S231-U229-V229</f>
        <v>0</v>
      </c>
      <c r="T232" s="989">
        <f ca="1">OFFSET(貼付け_2027実績,$G232,SUM(COLUMN()-COLUMN(貼付け_2027実績))-1)</f>
        <v>0</v>
      </c>
      <c r="U232" s="989" t="str">
        <f ca="1">IFERROR(S232/T232,"")</f>
        <v/>
      </c>
      <c r="V232" s="991"/>
      <c r="W232" s="989">
        <f ca="1">W231-Y229-Z229</f>
        <v>0</v>
      </c>
      <c r="X232" s="989">
        <f ca="1">OFFSET(貼付け_2027実績,$G232,SUM(COLUMN()-COLUMN(貼付け_2027実績))-1)</f>
        <v>0</v>
      </c>
      <c r="Y232" s="989" t="str">
        <f ca="1">IFERROR(W232/X232,"")</f>
        <v/>
      </c>
      <c r="Z232" s="991"/>
      <c r="AA232" s="989">
        <f ca="1">AA231-AC229-AD229</f>
        <v>0</v>
      </c>
      <c r="AB232" s="989">
        <f ca="1">OFFSET(貼付け_2027実績,$G232,SUM(COLUMN()-COLUMN(貼付け_2027実績))-1)</f>
        <v>0</v>
      </c>
      <c r="AC232" s="989" t="str">
        <f ca="1">IFERROR(AA232/AB232,"")</f>
        <v/>
      </c>
      <c r="AD232" s="991"/>
      <c r="AE232" s="989">
        <f ca="1">AE231-AG229-AH229</f>
        <v>0</v>
      </c>
      <c r="AF232" s="989">
        <f ca="1">OFFSET(貼付け_2027実績,$G232,SUM(COLUMN()-COLUMN(貼付け_2027実績))-1)</f>
        <v>0</v>
      </c>
      <c r="AG232" s="989" t="str">
        <f ca="1">IFERROR(AE232/AF232,"")</f>
        <v/>
      </c>
      <c r="AH232" s="991"/>
      <c r="AI232" s="989">
        <f ca="1">AI231-AK229-AL229</f>
        <v>0</v>
      </c>
      <c r="AJ232" s="989">
        <f ca="1">OFFSET(貼付け_2027実績,$G232,SUM(COLUMN()-COLUMN(貼付け_2027実績))-1)</f>
        <v>0</v>
      </c>
      <c r="AK232" s="989" t="str">
        <f ca="1">IFERROR(AI232/AJ232,"")</f>
        <v/>
      </c>
      <c r="AL232" s="991"/>
      <c r="AM232" s="989">
        <f ca="1">AM231-AO229-AP229</f>
        <v>0</v>
      </c>
      <c r="AN232" s="989">
        <f ca="1">OFFSET(貼付け_2027実績,$G232,SUM(COLUMN()-COLUMN(貼付け_2027実績))-1)</f>
        <v>0</v>
      </c>
      <c r="AO232" s="989" t="str">
        <f ca="1">IFERROR(AM232/AN232,"")</f>
        <v/>
      </c>
      <c r="AP232" s="991"/>
      <c r="AQ232" s="989">
        <f ca="1">AQ231-AS229-AT229</f>
        <v>0</v>
      </c>
      <c r="AR232" s="989">
        <f ca="1">OFFSET(貼付け_2027実績,$G232,SUM(COLUMN()-COLUMN(貼付け_2027実績))-1)</f>
        <v>0</v>
      </c>
      <c r="AS232" s="989" t="str">
        <f ca="1">IFERROR(AQ232/AR232,"")</f>
        <v/>
      </c>
      <c r="AT232" s="991"/>
      <c r="AU232" s="989">
        <f ca="1">AU231-AW229-AX229</f>
        <v>0</v>
      </c>
      <c r="AV232" s="989">
        <f ca="1">OFFSET(貼付け_2027実績,$G232,SUM(COLUMN()-COLUMN(貼付け_2027実績))-1)</f>
        <v>0</v>
      </c>
      <c r="AW232" s="989" t="str">
        <f ca="1">IFERROR(AU232/AV232,"")</f>
        <v/>
      </c>
      <c r="AX232" s="991"/>
      <c r="AY232" s="989">
        <f ca="1">AY231-BA229-BB229</f>
        <v>0</v>
      </c>
      <c r="AZ232" s="989">
        <f ca="1">OFFSET(貼付け_2027実績,$G232,SUM(COLUMN()-COLUMN(貼付け_2027実績))-1)</f>
        <v>0</v>
      </c>
      <c r="BA232" s="989" t="str">
        <f ca="1">IFERROR(AY232/AZ232,"")</f>
        <v/>
      </c>
      <c r="BB232" s="991"/>
      <c r="BC232" s="989">
        <f ca="1">BC231-BE229-BF229</f>
        <v>0</v>
      </c>
      <c r="BD232" s="989">
        <f ca="1">OFFSET(貼付け_2027実績,$G232,SUM(COLUMN()-COLUMN(貼付け_2027実績))-1)</f>
        <v>0</v>
      </c>
      <c r="BE232" s="989" t="str">
        <f ca="1">IFERROR(BC232/BD232,"")</f>
        <v/>
      </c>
      <c r="BF232" s="991"/>
      <c r="BG232" s="989">
        <f ca="1">BG231-BI229-BJ229</f>
        <v>0</v>
      </c>
      <c r="BH232" s="989">
        <f ca="1">OFFSET(貼付け_2027実績,$G232,SUM(COLUMN()-COLUMN(貼付け_2027実績))-1)</f>
        <v>0</v>
      </c>
      <c r="BI232" s="989" t="str">
        <f ca="1">IFERROR(BG232/BH232,"")</f>
        <v/>
      </c>
      <c r="BJ232" s="991"/>
      <c r="BK232" s="989">
        <f ca="1">BK231-BM229-BN229</f>
        <v>0</v>
      </c>
      <c r="BL232" s="989">
        <f ca="1">OFFSET(貼付け_2027実績,$G232,SUM(COLUMN()-COLUMN(貼付け_2027実績))-1)</f>
        <v>0</v>
      </c>
      <c r="BM232" s="989" t="str">
        <f ca="1">IFERROR(BK232/BL232,"")</f>
        <v/>
      </c>
      <c r="BN232" s="991"/>
      <c r="BO232" s="989">
        <f ca="1">BO231-BQ229-BR229</f>
        <v>0</v>
      </c>
      <c r="BP232" s="989">
        <f ca="1">OFFSET(貼付け_2027実績,$G232,SUM(COLUMN()-COLUMN(貼付け_2027実績))-1)</f>
        <v>0</v>
      </c>
      <c r="BQ232" s="989" t="str">
        <f ca="1">IFERROR(BO232/BP232,"")</f>
        <v/>
      </c>
      <c r="BR232" s="991"/>
      <c r="BS232" s="989">
        <f ca="1">BS231-BU229-BV229</f>
        <v>0</v>
      </c>
      <c r="BT232" s="989">
        <f ca="1">OFFSET(貼付け_2027実績,$G232,SUM(COLUMN()-COLUMN(貼付け_2027実績))-1)</f>
        <v>0</v>
      </c>
      <c r="BU232" s="989" t="str">
        <f ca="1">IFERROR(BS232/BT232,"")</f>
        <v/>
      </c>
      <c r="BV232" s="991"/>
      <c r="BW232" s="989">
        <f ca="1">BW231-BY229-BZ229</f>
        <v>0</v>
      </c>
      <c r="BX232" s="989">
        <f ca="1">OFFSET(貼付け_2027実績,$G232,SUM(COLUMN()-COLUMN(貼付け_2027実績))-1)</f>
        <v>0</v>
      </c>
      <c r="BY232" s="989" t="str">
        <f ca="1">IFERROR(BW232/BX232,"")</f>
        <v/>
      </c>
      <c r="BZ232" s="991"/>
      <c r="CA232" s="989">
        <f ca="1">CA231-CC229-CD229</f>
        <v>0</v>
      </c>
      <c r="CB232" s="989">
        <f ca="1">OFFSET(貼付け_2027実績,$G232,SUM(COLUMN()-COLUMN(貼付け_2027実績))-1)</f>
        <v>0</v>
      </c>
      <c r="CC232" s="989" t="str">
        <f ca="1">IFERROR(CA232/CB232,"")</f>
        <v/>
      </c>
      <c r="CD232" s="991"/>
      <c r="CE232" s="989">
        <f ca="1">CE231-CG229-CH229</f>
        <v>0</v>
      </c>
      <c r="CF232" s="989">
        <f ca="1">OFFSET(貼付け_2027実績,$G232,SUM(COLUMN()-COLUMN(貼付け_2027実績))-1)</f>
        <v>0</v>
      </c>
      <c r="CG232" s="989" t="str">
        <f ca="1">IFERROR(CE232/CF232,"")</f>
        <v/>
      </c>
      <c r="CH232" s="991"/>
      <c r="CI232" s="989">
        <f ca="1">CI231-CK229-CL229</f>
        <v>0</v>
      </c>
      <c r="CJ232" s="989">
        <f ca="1">OFFSET(貼付け_2027実績,$G232,SUM(COLUMN()-COLUMN(貼付け_2027実績))-1)</f>
        <v>0</v>
      </c>
      <c r="CK232" s="989" t="str">
        <f ca="1">IFERROR(CI232/CJ232,"")</f>
        <v/>
      </c>
      <c r="CL232" s="991"/>
      <c r="CM232" s="989">
        <f ca="1">CM231-CO229-CP229</f>
        <v>0</v>
      </c>
      <c r="CN232" s="989">
        <f ca="1">OFFSET(貼付け_2027実績,$G232,SUM(COLUMN()-COLUMN(貼付け_2027実績))-1)</f>
        <v>0</v>
      </c>
      <c r="CO232" s="989" t="str">
        <f ca="1">IFERROR(CM232/CN232,"")</f>
        <v/>
      </c>
      <c r="CP232" s="991"/>
      <c r="CQ232" s="989">
        <f ca="1">CQ231-CS229-CT229</f>
        <v>0</v>
      </c>
      <c r="CR232" s="989">
        <f ca="1">OFFSET(貼付け_2027実績,$G232,SUM(COLUMN()-COLUMN(貼付け_2027実績))-1)</f>
        <v>0</v>
      </c>
      <c r="CS232" s="989" t="str">
        <f ca="1">IFERROR(CQ232/CR232,"")</f>
        <v/>
      </c>
      <c r="CT232" s="991"/>
      <c r="CU232" s="989">
        <f ca="1">CU231-CW229-CX229</f>
        <v>0</v>
      </c>
      <c r="CV232" s="989">
        <f ca="1">OFFSET(貼付け_2027実績,$G232,SUM(COLUMN()-COLUMN(貼付け_2027実績))-1)</f>
        <v>0</v>
      </c>
      <c r="CW232" s="989" t="str">
        <f ca="1">IFERROR(CU232/CV232,"")</f>
        <v/>
      </c>
      <c r="CX232" s="991"/>
      <c r="CY232" s="989">
        <f ca="1">CY231-DA229-DB229</f>
        <v>0</v>
      </c>
      <c r="CZ232" s="989">
        <f ca="1">OFFSET(貼付け_2027実績,$G232,SUM(COLUMN()-COLUMN(貼付け_2027実績))-1)</f>
        <v>0</v>
      </c>
      <c r="DA232" s="989" t="str">
        <f ca="1">IFERROR(CY232/CZ232,"")</f>
        <v/>
      </c>
      <c r="DB232" s="991"/>
      <c r="DC232" s="989">
        <f ca="1">DC231-DE229-DF229</f>
        <v>0</v>
      </c>
      <c r="DD232" s="989">
        <f ca="1">OFFSET(貼付け_2027実績,$G232,SUM(COLUMN()-COLUMN(貼付け_2027実績))-1)</f>
        <v>0</v>
      </c>
      <c r="DE232" s="989" t="str">
        <f ca="1">IFERROR(DC232/DD232,"")</f>
        <v/>
      </c>
      <c r="DF232" s="991"/>
      <c r="DG232" s="989">
        <f ca="1">DG231-DI229-DJ229</f>
        <v>0</v>
      </c>
      <c r="DH232" s="989">
        <f ca="1">OFFSET(貼付け_2027実績,$G232,SUM(COLUMN()-COLUMN(貼付け_2027実績))-1)</f>
        <v>0</v>
      </c>
      <c r="DI232" s="989" t="str">
        <f ca="1">IFERROR(DG232/DH232,"")</f>
        <v/>
      </c>
      <c r="DJ232" s="991"/>
      <c r="DK232" s="989">
        <f ca="1">DK231-DM229-DN229</f>
        <v>0</v>
      </c>
      <c r="DL232" s="989">
        <f ca="1">OFFSET(貼付け_2027実績,$G232,SUM(COLUMN()-COLUMN(貼付け_2027実績))-1)</f>
        <v>0</v>
      </c>
      <c r="DM232" s="989" t="str">
        <f ca="1">IFERROR(DK232/DL232,"")</f>
        <v/>
      </c>
      <c r="DN232" s="991"/>
      <c r="DO232" s="989">
        <f ca="1">DO231-DQ229-DR229</f>
        <v>0</v>
      </c>
      <c r="DP232" s="989">
        <f ca="1">OFFSET(貼付け_2027実績,$G232,SUM(COLUMN()-COLUMN(貼付け_2027実績))-1)</f>
        <v>0</v>
      </c>
      <c r="DQ232" s="989" t="str">
        <f ca="1">IFERROR(DO232/DP232,"")</f>
        <v/>
      </c>
      <c r="DR232" s="991"/>
      <c r="DS232" s="989">
        <f ca="1">DS231-DU229-DV229</f>
        <v>0</v>
      </c>
      <c r="DT232" s="989">
        <f ca="1">OFFSET(貼付け_2027実績,$G232,SUM(COLUMN()-COLUMN(貼付け_2027実績))-1)</f>
        <v>0</v>
      </c>
      <c r="DU232" s="989" t="str">
        <f ca="1">IFERROR(DS232/DT232,"")</f>
        <v/>
      </c>
      <c r="DV232" s="991"/>
      <c r="DW232" s="989">
        <f ca="1">DW231-DY229-DZ229</f>
        <v>0</v>
      </c>
      <c r="DX232" s="989">
        <f ca="1">OFFSET(貼付け_2027実績,$G232,SUM(COLUMN()-COLUMN(貼付け_2027実績))-1)</f>
        <v>0</v>
      </c>
      <c r="DY232" s="989" t="str">
        <f ca="1">IFERROR(DW232/DX232,"")</f>
        <v/>
      </c>
      <c r="DZ232" s="991"/>
      <c r="EA232" s="989">
        <f ca="1">EA231-EC229-ED229</f>
        <v>0</v>
      </c>
      <c r="EB232" s="989">
        <f ca="1">OFFSET(貼付け_2027実績,$G232,SUM(COLUMN()-COLUMN(貼付け_2027実績))-1)</f>
        <v>0</v>
      </c>
      <c r="EC232" s="989" t="str">
        <f ca="1">IFERROR(EA232/EB232,"")</f>
        <v/>
      </c>
      <c r="ED232" s="991"/>
      <c r="EE232" s="989">
        <f ca="1">EE231-EG229-EH229</f>
        <v>0</v>
      </c>
      <c r="EF232" s="989">
        <f ca="1">OFFSET(貼付け_2027実績,$G232,SUM(COLUMN()-COLUMN(貼付け_2027実績))-1)</f>
        <v>0</v>
      </c>
      <c r="EG232" s="989" t="str">
        <f ca="1">IFERROR(EE232/EF232,"")</f>
        <v/>
      </c>
      <c r="EH232" s="991"/>
      <c r="EI232" s="989">
        <f ca="1">EI231-EK229-EL229</f>
        <v>0</v>
      </c>
      <c r="EJ232" s="989">
        <f ca="1">OFFSET(貼付け_2027実績,$G232,SUM(COLUMN()-COLUMN(貼付け_2027実績))-1)</f>
        <v>0</v>
      </c>
      <c r="EK232" s="989" t="str">
        <f ca="1">IFERROR(EI232/EJ232,"")</f>
        <v/>
      </c>
      <c r="EL232" s="991"/>
      <c r="EM232" s="989">
        <f ca="1">EM231-EO229-EP229</f>
        <v>0</v>
      </c>
      <c r="EN232" s="989">
        <f ca="1">OFFSET(貼付け_2027実績,$G232,SUM(COLUMN()-COLUMN(貼付け_2027実績))-1)</f>
        <v>0</v>
      </c>
      <c r="EO232" s="989" t="str">
        <f ca="1">IFERROR(EM232/EN232,"")</f>
        <v/>
      </c>
      <c r="EP232" s="991"/>
      <c r="EQ232" s="989">
        <f ca="1">EQ231-ES229-ET229</f>
        <v>0</v>
      </c>
      <c r="ER232" s="989">
        <f ca="1">OFFSET(貼付け_2027実績,$G232,SUM(COLUMN()-COLUMN(貼付け_2027実績))-1)</f>
        <v>0</v>
      </c>
      <c r="ES232" s="989" t="str">
        <f ca="1">IFERROR(EQ232/ER232,"")</f>
        <v/>
      </c>
      <c r="ET232" s="991"/>
      <c r="EU232" s="989">
        <f ca="1">EU231-EW229-EX229</f>
        <v>0</v>
      </c>
      <c r="EV232" s="989">
        <f ca="1">OFFSET(貼付け_2027実績,$G232,SUM(COLUMN()-COLUMN(貼付け_2027実績))-1)</f>
        <v>0</v>
      </c>
      <c r="EW232" s="989" t="str">
        <f ca="1">IFERROR(EU232/EV232,"")</f>
        <v/>
      </c>
      <c r="EX232" s="991"/>
      <c r="EY232" s="989">
        <f ca="1">EY231-FA229-FB229</f>
        <v>0</v>
      </c>
      <c r="EZ232" s="989">
        <f ca="1">OFFSET(貼付け_2027実績,$G232,SUM(COLUMN()-COLUMN(貼付け_2027実績))-1)</f>
        <v>0</v>
      </c>
      <c r="FA232" s="989" t="str">
        <f ca="1">IFERROR(EY232/EZ232,"")</f>
        <v/>
      </c>
      <c r="FB232" s="991"/>
      <c r="FC232" s="989">
        <f ca="1">FC231-FE229-FF229</f>
        <v>0</v>
      </c>
      <c r="FD232" s="989">
        <f ca="1">OFFSET(貼付け_2027実績,$G232,SUM(COLUMN()-COLUMN(貼付け_2027実績))-1)</f>
        <v>0</v>
      </c>
      <c r="FE232" s="989" t="str">
        <f ca="1">IFERROR(FC232/FD232,"")</f>
        <v/>
      </c>
      <c r="FF232" s="991"/>
      <c r="FG232" s="989">
        <f ca="1">FG231-FI229-FJ229</f>
        <v>0</v>
      </c>
      <c r="FH232" s="989">
        <f ca="1">OFFSET(貼付け_2027実績,$G232,SUM(COLUMN()-COLUMN(貼付け_2027実績))-1)</f>
        <v>0</v>
      </c>
      <c r="FI232" s="989" t="str">
        <f ca="1">IFERROR(FG232/FH232,"")</f>
        <v/>
      </c>
      <c r="FJ232" s="991"/>
      <c r="FK232" s="989">
        <f ca="1">FK231-FM229-FN229</f>
        <v>0</v>
      </c>
      <c r="FL232" s="989">
        <f ca="1">OFFSET(貼付け_2027実績,$G232,SUM(COLUMN()-COLUMN(貼付け_2027実績))-1)</f>
        <v>0</v>
      </c>
      <c r="FM232" s="989" t="str">
        <f ca="1">IFERROR(FK232/FL232,"")</f>
        <v/>
      </c>
      <c r="FN232" s="991"/>
      <c r="FO232" s="989">
        <f ca="1">FO231-FQ229-FR229</f>
        <v>0</v>
      </c>
      <c r="FP232" s="989">
        <f ca="1">OFFSET(貼付け_2027実績,$G232,SUM(COLUMN()-COLUMN(貼付け_2027実績))-1)</f>
        <v>0</v>
      </c>
      <c r="FQ232" s="989" t="str">
        <f ca="1">IFERROR(FO232/FP232,"")</f>
        <v/>
      </c>
      <c r="FR232" s="991"/>
      <c r="FS232" s="989">
        <f ca="1">FS231-FU229-FV229</f>
        <v>0</v>
      </c>
      <c r="FT232" s="989">
        <f ca="1">OFFSET(貼付け_2027実績,$G232,SUM(COLUMN()-COLUMN(貼付け_2027実績))-1)</f>
        <v>0</v>
      </c>
      <c r="FU232" s="989" t="str">
        <f ca="1">IFERROR(FS232/FT232,"")</f>
        <v/>
      </c>
      <c r="FV232" s="991"/>
      <c r="FW232" s="989">
        <f ca="1">FW231-FY229-FZ229</f>
        <v>0</v>
      </c>
      <c r="FX232" s="989">
        <f ca="1">OFFSET(貼付け_2027実績,$G232,SUM(COLUMN()-COLUMN(貼付け_2027実績))-1)</f>
        <v>0</v>
      </c>
      <c r="FY232" s="989" t="str">
        <f ca="1">IFERROR(FW232/FX232,"")</f>
        <v/>
      </c>
      <c r="FZ232" s="991"/>
      <c r="GA232" s="989">
        <f ca="1">GA231-GC229-GD229</f>
        <v>0</v>
      </c>
      <c r="GB232" s="989">
        <f ca="1">OFFSET(貼付け_2027実績,$G232,SUM(COLUMN()-COLUMN(貼付け_2027実績))-1)</f>
        <v>0</v>
      </c>
      <c r="GC232" s="989" t="str">
        <f ca="1">IFERROR(GA232/GB232,"")</f>
        <v/>
      </c>
      <c r="GD232" s="991"/>
      <c r="GE232" s="989">
        <f ca="1">GE231-GG229-GH229</f>
        <v>0</v>
      </c>
      <c r="GF232" s="989">
        <f ca="1">OFFSET(貼付け_2027実績,$G232,SUM(COLUMN()-COLUMN(貼付け_2027実績))-1)</f>
        <v>0</v>
      </c>
      <c r="GG232" s="989" t="str">
        <f ca="1">IFERROR(GE232/GF232,"")</f>
        <v/>
      </c>
      <c r="GH232" s="991"/>
      <c r="GI232" s="989">
        <f ca="1">GI231-GK229-GL229</f>
        <v>0</v>
      </c>
      <c r="GJ232" s="989">
        <f ca="1">OFFSET(貼付け_2027実績,$G232,SUM(COLUMN()-COLUMN(貼付け_2027実績))-1)</f>
        <v>0</v>
      </c>
      <c r="GK232" s="989" t="str">
        <f ca="1">IFERROR(GI232/GJ232,"")</f>
        <v/>
      </c>
      <c r="GL232" s="991"/>
      <c r="GM232" s="989">
        <f ca="1">GM231-GO229-GP229</f>
        <v>0</v>
      </c>
      <c r="GN232" s="989">
        <f ca="1">OFFSET(貼付け_2027実績,$G232,SUM(COLUMN()-COLUMN(貼付け_2027実績))-1)</f>
        <v>0</v>
      </c>
      <c r="GO232" s="989" t="str">
        <f ca="1">IFERROR(GM232/GN232,"")</f>
        <v/>
      </c>
      <c r="GP232" s="991"/>
      <c r="GQ232" s="989">
        <f ca="1">GQ231-GS229-GT229</f>
        <v>0</v>
      </c>
      <c r="GR232" s="989">
        <f ca="1">OFFSET(貼付け_2027実績,$G232,SUM(COLUMN()-COLUMN(貼付け_2027実績))-1)</f>
        <v>0</v>
      </c>
      <c r="GS232" s="989" t="str">
        <f ca="1">IFERROR(GQ232/GR232,"")</f>
        <v/>
      </c>
      <c r="GT232" s="991"/>
      <c r="GU232" s="989">
        <f ca="1">GU231-GW229-GX229</f>
        <v>0</v>
      </c>
      <c r="GV232" s="989">
        <f ca="1">OFFSET(貼付け_2027実績,$G232,SUM(COLUMN()-COLUMN(貼付け_2027実績))-1)</f>
        <v>0</v>
      </c>
      <c r="GW232" s="989" t="str">
        <f ca="1">IFERROR(GU232/GV232,"")</f>
        <v/>
      </c>
      <c r="GX232" s="991"/>
      <c r="GY232" s="989">
        <f ca="1">GY231-HA229-HB229</f>
        <v>0</v>
      </c>
      <c r="GZ232" s="989">
        <f ca="1">OFFSET(貼付け_2027実績,$G232,SUM(COLUMN()-COLUMN(貼付け_2027実績))-1)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SUMPRODUCT(OFFSET(貼付け_2027実績,$F233,4,5,1),OFFSET(貼付け_2027実績,$F233,SUM(COLUMN()-COLUMN(貼付け_2027実績)),5,1))</f>
        <v>0</v>
      </c>
      <c r="J233" s="989">
        <f ca="1">SUMPRODUCT(OFFSET(貼付け_2027実績,$F233,4,5,1),OFFSET(貼付け_2027実績,$F233,SUM(COLUMN()-COLUMN(貼付け_2027実績)),5,1))</f>
        <v>0</v>
      </c>
      <c r="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991"/>
      <c r="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991"/>
      <c r="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991"/>
      <c r="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991"/>
      <c r="A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991"/>
      <c r="A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991"/>
      <c r="A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991"/>
      <c r="A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991"/>
      <c r="A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991"/>
      <c r="A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991"/>
      <c r="A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991"/>
      <c r="B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991"/>
      <c r="B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991"/>
      <c r="B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991"/>
      <c r="B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991"/>
      <c r="B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991"/>
      <c r="B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991"/>
      <c r="C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991"/>
      <c r="C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991"/>
      <c r="C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991"/>
      <c r="C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991"/>
      <c r="C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991"/>
      <c r="C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991"/>
      <c r="C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991"/>
      <c r="D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991"/>
      <c r="D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991"/>
      <c r="D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991"/>
      <c r="D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991"/>
      <c r="D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991"/>
      <c r="D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991"/>
      <c r="E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991"/>
      <c r="E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991"/>
      <c r="E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991"/>
      <c r="E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991"/>
      <c r="E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991"/>
      <c r="E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991"/>
      <c r="E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991"/>
      <c r="F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991"/>
      <c r="F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991"/>
      <c r="F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991"/>
      <c r="F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991"/>
      <c r="F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991"/>
      <c r="F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991"/>
      <c r="G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991"/>
      <c r="G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991"/>
      <c r="G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991"/>
      <c r="G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991"/>
      <c r="G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991"/>
      <c r="G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991"/>
      <c r="G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SUMPRODUCT(OFFSET(貼付け_2027実績,$F234,5,5,1),OFFSET(貼付け_2027実績,$F234,SUM(COLUMN()-COLUMN(貼付け_2027実績)),5,1))</f>
        <v>0</v>
      </c>
      <c r="J234" s="989">
        <f ca="1">SUMPRODUCT(OFFSET(貼付け_2027実績,$F234,5,5,1),OFFSET(貼付け_2027実績,$F234,SUM(COLUMN()-COLUMN(貼付け_2027実績)),5,1))</f>
        <v>0</v>
      </c>
      <c r="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991"/>
      <c r="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991"/>
      <c r="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991"/>
      <c r="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991"/>
      <c r="A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991"/>
      <c r="A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991"/>
      <c r="A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991"/>
      <c r="A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991"/>
      <c r="A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991"/>
      <c r="A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991"/>
      <c r="A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991"/>
      <c r="B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991"/>
      <c r="B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991"/>
      <c r="B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991"/>
      <c r="B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991"/>
      <c r="B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991"/>
      <c r="B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991"/>
      <c r="C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991"/>
      <c r="C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991"/>
      <c r="C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991"/>
      <c r="C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991"/>
      <c r="C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991"/>
      <c r="C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991"/>
      <c r="C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991"/>
      <c r="D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991"/>
      <c r="D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991"/>
      <c r="D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991"/>
      <c r="D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991"/>
      <c r="D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991"/>
      <c r="D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991"/>
      <c r="E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991"/>
      <c r="E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991"/>
      <c r="E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991"/>
      <c r="E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991"/>
      <c r="E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991"/>
      <c r="E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991"/>
      <c r="E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991"/>
      <c r="F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991"/>
      <c r="F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991"/>
      <c r="F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991"/>
      <c r="F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991"/>
      <c r="F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991"/>
      <c r="F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991"/>
      <c r="G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991"/>
      <c r="G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991"/>
      <c r="G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991"/>
      <c r="G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991"/>
      <c r="G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991"/>
      <c r="G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991"/>
      <c r="G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991"/>
      <c r="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991"/>
      <c r="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991"/>
      <c r="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991"/>
      <c r="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991"/>
      <c r="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991"/>
      <c r="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991"/>
      <c r="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991"/>
      <c r="A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991"/>
      <c r="A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991"/>
      <c r="A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991"/>
      <c r="A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991"/>
      <c r="A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991"/>
      <c r="A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991"/>
      <c r="A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991"/>
      <c r="A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991"/>
      <c r="A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991"/>
      <c r="A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991"/>
      <c r="A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991"/>
      <c r="A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991"/>
      <c r="A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991"/>
      <c r="B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991"/>
      <c r="B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991"/>
      <c r="B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991"/>
      <c r="B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991"/>
      <c r="B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991"/>
      <c r="B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991"/>
      <c r="B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991"/>
      <c r="B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991"/>
      <c r="B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991"/>
      <c r="B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991"/>
      <c r="B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991"/>
      <c r="B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991"/>
      <c r="B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991"/>
      <c r="C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991"/>
      <c r="C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991"/>
      <c r="C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991"/>
      <c r="C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991"/>
      <c r="C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991"/>
      <c r="C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991"/>
      <c r="C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991"/>
      <c r="C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991"/>
      <c r="C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991"/>
      <c r="C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991"/>
      <c r="C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991"/>
      <c r="C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991"/>
      <c r="C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991"/>
      <c r="D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991"/>
      <c r="D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991"/>
      <c r="D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991"/>
      <c r="D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991"/>
      <c r="D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991"/>
      <c r="D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991"/>
      <c r="D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991"/>
      <c r="D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991"/>
      <c r="D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991"/>
      <c r="D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991"/>
      <c r="D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991"/>
      <c r="D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991"/>
      <c r="D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991"/>
      <c r="E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991"/>
      <c r="E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991"/>
      <c r="E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991"/>
      <c r="E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991"/>
      <c r="E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991"/>
      <c r="E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991"/>
      <c r="E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991"/>
      <c r="E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991"/>
      <c r="E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991"/>
      <c r="E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991"/>
      <c r="E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991"/>
      <c r="E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991"/>
      <c r="E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991"/>
      <c r="F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991"/>
      <c r="F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991"/>
      <c r="F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991"/>
      <c r="F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991"/>
      <c r="F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991"/>
      <c r="F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991"/>
      <c r="F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991"/>
      <c r="F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991"/>
      <c r="F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991"/>
      <c r="F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991"/>
      <c r="F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991"/>
      <c r="F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991"/>
      <c r="F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991"/>
      <c r="G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991"/>
      <c r="G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991"/>
      <c r="G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991"/>
      <c r="G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991"/>
      <c r="G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991"/>
      <c r="G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991"/>
      <c r="G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991"/>
      <c r="G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991"/>
      <c r="G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991"/>
      <c r="G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991"/>
      <c r="G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991"/>
      <c r="G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991"/>
      <c r="G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991"/>
      <c r="H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991"/>
      <c r="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991"/>
      <c r="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991"/>
      <c r="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991"/>
      <c r="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991"/>
      <c r="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991"/>
      <c r="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991"/>
      <c r="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991"/>
      <c r="A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991"/>
      <c r="A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991"/>
      <c r="A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991"/>
      <c r="A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991"/>
      <c r="A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991"/>
      <c r="A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991"/>
      <c r="A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991"/>
      <c r="A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991"/>
      <c r="A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991"/>
      <c r="A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991"/>
      <c r="A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991"/>
      <c r="A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991"/>
      <c r="A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991"/>
      <c r="B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991"/>
      <c r="B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991"/>
      <c r="B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991"/>
      <c r="B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991"/>
      <c r="B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991"/>
      <c r="B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991"/>
      <c r="B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991"/>
      <c r="B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991"/>
      <c r="B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991"/>
      <c r="B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991"/>
      <c r="B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991"/>
      <c r="B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991"/>
      <c r="B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991"/>
      <c r="C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991"/>
      <c r="C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991"/>
      <c r="C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991"/>
      <c r="C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991"/>
      <c r="C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991"/>
      <c r="C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991"/>
      <c r="C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991"/>
      <c r="C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991"/>
      <c r="C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991"/>
      <c r="C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991"/>
      <c r="C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991"/>
      <c r="C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991"/>
      <c r="C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991"/>
      <c r="D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991"/>
      <c r="D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991"/>
      <c r="D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991"/>
      <c r="D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991"/>
      <c r="D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991"/>
      <c r="D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991"/>
      <c r="D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991"/>
      <c r="D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991"/>
      <c r="D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991"/>
      <c r="D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991"/>
      <c r="D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991"/>
      <c r="D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991"/>
      <c r="D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991"/>
      <c r="E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991"/>
      <c r="E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991"/>
      <c r="E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991"/>
      <c r="E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991"/>
      <c r="E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991"/>
      <c r="E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991"/>
      <c r="E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991"/>
      <c r="E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991"/>
      <c r="E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991"/>
      <c r="E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991"/>
      <c r="E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991"/>
      <c r="E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991"/>
      <c r="E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991"/>
      <c r="F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991"/>
      <c r="F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991"/>
      <c r="F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991"/>
      <c r="F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991"/>
      <c r="F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991"/>
      <c r="F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991"/>
      <c r="F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991"/>
      <c r="F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991"/>
      <c r="F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991"/>
      <c r="F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991"/>
      <c r="F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991"/>
      <c r="F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991"/>
      <c r="F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991"/>
      <c r="G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991"/>
      <c r="G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991"/>
      <c r="G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991"/>
      <c r="G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991"/>
      <c r="G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991"/>
      <c r="G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991"/>
      <c r="G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991"/>
      <c r="G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991"/>
      <c r="G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991"/>
      <c r="G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991"/>
      <c r="G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991"/>
      <c r="G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991"/>
      <c r="G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991"/>
      <c r="H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991"/>
      <c r="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991"/>
      <c r="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991"/>
      <c r="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991"/>
      <c r="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991"/>
      <c r="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991"/>
      <c r="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991"/>
      <c r="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991"/>
      <c r="A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991"/>
      <c r="A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991"/>
      <c r="A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991"/>
      <c r="A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991"/>
      <c r="A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991"/>
      <c r="A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991"/>
      <c r="A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991"/>
      <c r="A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991"/>
      <c r="A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991"/>
      <c r="A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991"/>
      <c r="A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991"/>
      <c r="A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991"/>
      <c r="A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991"/>
      <c r="B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991"/>
      <c r="B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991"/>
      <c r="B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991"/>
      <c r="B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991"/>
      <c r="B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991"/>
      <c r="B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991"/>
      <c r="B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991"/>
      <c r="B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991"/>
      <c r="B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991"/>
      <c r="B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991"/>
      <c r="B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991"/>
      <c r="B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991"/>
      <c r="B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991"/>
      <c r="C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991"/>
      <c r="C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991"/>
      <c r="C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991"/>
      <c r="C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991"/>
      <c r="C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991"/>
      <c r="C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991"/>
      <c r="C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991"/>
      <c r="C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991"/>
      <c r="C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991"/>
      <c r="C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991"/>
      <c r="C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991"/>
      <c r="C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991"/>
      <c r="C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991"/>
      <c r="D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991"/>
      <c r="D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991"/>
      <c r="D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991"/>
      <c r="D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991"/>
      <c r="D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991"/>
      <c r="D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991"/>
      <c r="D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991"/>
      <c r="D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991"/>
      <c r="D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991"/>
      <c r="D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991"/>
      <c r="D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991"/>
      <c r="D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991"/>
      <c r="D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991"/>
      <c r="E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991"/>
      <c r="E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991"/>
      <c r="E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991"/>
      <c r="E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991"/>
      <c r="E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991"/>
      <c r="E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991"/>
      <c r="E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991"/>
      <c r="E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991"/>
      <c r="E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991"/>
      <c r="E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991"/>
      <c r="E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991"/>
      <c r="E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991"/>
      <c r="E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991"/>
      <c r="F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991"/>
      <c r="F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991"/>
      <c r="F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991"/>
      <c r="F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991"/>
      <c r="F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991"/>
      <c r="F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991"/>
      <c r="F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991"/>
      <c r="F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991"/>
      <c r="F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991"/>
      <c r="F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991"/>
      <c r="F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991"/>
      <c r="F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991"/>
      <c r="F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991"/>
      <c r="G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991"/>
      <c r="G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991"/>
      <c r="G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991"/>
      <c r="G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991"/>
      <c r="G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991"/>
      <c r="G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991"/>
      <c r="G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991"/>
      <c r="G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991"/>
      <c r="G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991"/>
      <c r="G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991"/>
      <c r="G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991"/>
      <c r="G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991"/>
      <c r="G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991"/>
      <c r="H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991"/>
      <c r="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991"/>
      <c r="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991"/>
      <c r="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991"/>
      <c r="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991"/>
      <c r="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991"/>
      <c r="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991"/>
      <c r="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991"/>
      <c r="A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991"/>
      <c r="A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991"/>
      <c r="A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991"/>
      <c r="A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991"/>
      <c r="A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991"/>
      <c r="A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991"/>
      <c r="A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991"/>
      <c r="A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991"/>
      <c r="A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991"/>
      <c r="A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991"/>
      <c r="A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991"/>
      <c r="A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991"/>
      <c r="A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991"/>
      <c r="B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991"/>
      <c r="B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991"/>
      <c r="B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991"/>
      <c r="B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991"/>
      <c r="B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991"/>
      <c r="B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991"/>
      <c r="B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991"/>
      <c r="B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991"/>
      <c r="B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991"/>
      <c r="B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991"/>
      <c r="B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991"/>
      <c r="B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991"/>
      <c r="B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991"/>
      <c r="C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991"/>
      <c r="C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991"/>
      <c r="C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991"/>
      <c r="C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991"/>
      <c r="C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991"/>
      <c r="C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991"/>
      <c r="C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991"/>
      <c r="C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991"/>
      <c r="C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991"/>
      <c r="C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991"/>
      <c r="C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991"/>
      <c r="C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991"/>
      <c r="C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991"/>
      <c r="D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991"/>
      <c r="D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991"/>
      <c r="D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991"/>
      <c r="D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991"/>
      <c r="D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991"/>
      <c r="D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991"/>
      <c r="D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991"/>
      <c r="D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991"/>
      <c r="D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991"/>
      <c r="D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991"/>
      <c r="D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991"/>
      <c r="D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991"/>
      <c r="D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991"/>
      <c r="E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991"/>
      <c r="E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991"/>
      <c r="E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991"/>
      <c r="E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991"/>
      <c r="E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991"/>
      <c r="E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991"/>
      <c r="E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991"/>
      <c r="E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991"/>
      <c r="E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991"/>
      <c r="E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991"/>
      <c r="E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991"/>
      <c r="E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991"/>
      <c r="E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991"/>
      <c r="F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991"/>
      <c r="F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991"/>
      <c r="F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991"/>
      <c r="F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991"/>
      <c r="F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991"/>
      <c r="F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991"/>
      <c r="F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991"/>
      <c r="F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991"/>
      <c r="F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991"/>
      <c r="F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991"/>
      <c r="F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991"/>
      <c r="F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991"/>
      <c r="F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991"/>
      <c r="G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991"/>
      <c r="G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991"/>
      <c r="G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991"/>
      <c r="G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991"/>
      <c r="G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991"/>
      <c r="G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991"/>
      <c r="G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991"/>
      <c r="G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991"/>
      <c r="G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991"/>
      <c r="G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991"/>
      <c r="G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991"/>
      <c r="G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991"/>
      <c r="G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991"/>
      <c r="H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991"/>
      <c r="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991"/>
      <c r="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991"/>
      <c r="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991"/>
      <c r="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991"/>
      <c r="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991"/>
      <c r="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991"/>
      <c r="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991"/>
      <c r="A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991"/>
      <c r="A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991"/>
      <c r="A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991"/>
      <c r="A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991"/>
      <c r="A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991"/>
      <c r="A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991"/>
      <c r="A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991"/>
      <c r="A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991"/>
      <c r="A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991"/>
      <c r="A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991"/>
      <c r="A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991"/>
      <c r="A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991"/>
      <c r="A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991"/>
      <c r="B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991"/>
      <c r="B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991"/>
      <c r="B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991"/>
      <c r="B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991"/>
      <c r="B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991"/>
      <c r="B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991"/>
      <c r="B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991"/>
      <c r="B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991"/>
      <c r="B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991"/>
      <c r="B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991"/>
      <c r="B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991"/>
      <c r="B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991"/>
      <c r="B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991"/>
      <c r="C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991"/>
      <c r="C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991"/>
      <c r="C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991"/>
      <c r="C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991"/>
      <c r="C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991"/>
      <c r="C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991"/>
      <c r="C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991"/>
      <c r="C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991"/>
      <c r="C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991"/>
      <c r="C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991"/>
      <c r="C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991"/>
      <c r="C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991"/>
      <c r="C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991"/>
      <c r="D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991"/>
      <c r="D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991"/>
      <c r="D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991"/>
      <c r="D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991"/>
      <c r="D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991"/>
      <c r="D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991"/>
      <c r="D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991"/>
      <c r="D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991"/>
      <c r="D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991"/>
      <c r="D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991"/>
      <c r="D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991"/>
      <c r="D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991"/>
      <c r="D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991"/>
      <c r="E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991"/>
      <c r="E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991"/>
      <c r="E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991"/>
      <c r="E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991"/>
      <c r="E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991"/>
      <c r="E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991"/>
      <c r="E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991"/>
      <c r="E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991"/>
      <c r="E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991"/>
      <c r="E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991"/>
      <c r="E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991"/>
      <c r="E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991"/>
      <c r="E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991"/>
      <c r="F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991"/>
      <c r="F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991"/>
      <c r="F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991"/>
      <c r="F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991"/>
      <c r="F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991"/>
      <c r="F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991"/>
      <c r="F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991"/>
      <c r="F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991"/>
      <c r="F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991"/>
      <c r="F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991"/>
      <c r="F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991"/>
      <c r="F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991"/>
      <c r="F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991"/>
      <c r="G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991"/>
      <c r="G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991"/>
      <c r="G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991"/>
      <c r="G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991"/>
      <c r="G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991"/>
      <c r="G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991"/>
      <c r="G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991"/>
      <c r="G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991"/>
      <c r="G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991"/>
      <c r="G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991"/>
      <c r="G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991"/>
      <c r="G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991"/>
      <c r="G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991"/>
      <c r="H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991"/>
      <c r="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991"/>
      <c r="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991"/>
      <c r="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991"/>
      <c r="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991"/>
      <c r="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991"/>
      <c r="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991"/>
      <c r="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991"/>
      <c r="A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991"/>
      <c r="A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991"/>
      <c r="A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991"/>
      <c r="A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991"/>
      <c r="A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991"/>
      <c r="A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991"/>
      <c r="A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991"/>
      <c r="A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991"/>
      <c r="A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991"/>
      <c r="A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991"/>
      <c r="A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991"/>
      <c r="A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991"/>
      <c r="A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991"/>
      <c r="B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991"/>
      <c r="B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991"/>
      <c r="B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991"/>
      <c r="B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991"/>
      <c r="B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991"/>
      <c r="B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991"/>
      <c r="B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991"/>
      <c r="B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991"/>
      <c r="B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991"/>
      <c r="B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991"/>
      <c r="B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991"/>
      <c r="B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991"/>
      <c r="B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991"/>
      <c r="C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991"/>
      <c r="C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991"/>
      <c r="C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991"/>
      <c r="C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991"/>
      <c r="C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991"/>
      <c r="C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991"/>
      <c r="C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991"/>
      <c r="C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991"/>
      <c r="C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991"/>
      <c r="C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991"/>
      <c r="C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991"/>
      <c r="C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991"/>
      <c r="C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991"/>
      <c r="D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991"/>
      <c r="D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991"/>
      <c r="D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991"/>
      <c r="D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991"/>
      <c r="D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991"/>
      <c r="D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991"/>
      <c r="D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991"/>
      <c r="D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991"/>
      <c r="D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991"/>
      <c r="D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991"/>
      <c r="D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991"/>
      <c r="D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991"/>
      <c r="D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991"/>
      <c r="E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991"/>
      <c r="E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991"/>
      <c r="E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991"/>
      <c r="E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991"/>
      <c r="E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991"/>
      <c r="E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991"/>
      <c r="E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991"/>
      <c r="E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991"/>
      <c r="E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991"/>
      <c r="E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991"/>
      <c r="E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991"/>
      <c r="E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991"/>
      <c r="E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991"/>
      <c r="F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991"/>
      <c r="F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991"/>
      <c r="F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991"/>
      <c r="F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991"/>
      <c r="F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991"/>
      <c r="F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991"/>
      <c r="F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991"/>
      <c r="F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991"/>
      <c r="F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991"/>
      <c r="F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991"/>
      <c r="F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991"/>
      <c r="F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991"/>
      <c r="F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991"/>
      <c r="G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991"/>
      <c r="G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991"/>
      <c r="G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991"/>
      <c r="G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991"/>
      <c r="G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991"/>
      <c r="G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991"/>
      <c r="G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991"/>
      <c r="G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991"/>
      <c r="G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991"/>
      <c r="G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991"/>
      <c r="G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991"/>
      <c r="G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991"/>
      <c r="G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991"/>
      <c r="H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SUMPRODUCT(OFFSET(貼付け_2027実績,$F241,4,10,1),OFFSET(貼付け_2027実績,$F241,SUM(COLUMN()-COLUMN(貼付け_2027実績)),10,1))*1000</f>
        <v>0</v>
      </c>
      <c r="J241" s="989">
        <f ca="1">SUMPRODUCT(OFFSET(貼付け_2027実績,$F241,4,10,1),OFFSET(貼付け_2027実績,$F241,SUM(COLUMN()-COLUMN(貼付け_2027実績)),10,1))*1000</f>
        <v>0</v>
      </c>
      <c r="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991"/>
      <c r="M241" s="991"/>
      <c r="N241" s="991"/>
      <c r="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991"/>
      <c r="Q241" s="991"/>
      <c r="R241" s="991"/>
      <c r="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991"/>
      <c r="U241" s="991"/>
      <c r="V241" s="991"/>
      <c r="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991"/>
      <c r="Y241" s="991"/>
      <c r="Z241" s="991"/>
      <c r="A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991"/>
      <c r="AC241" s="991"/>
      <c r="AD241" s="991"/>
      <c r="A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991"/>
      <c r="AG241" s="991"/>
      <c r="AH241" s="991"/>
      <c r="A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991"/>
      <c r="AK241" s="991"/>
      <c r="AL241" s="991"/>
      <c r="A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991"/>
      <c r="AO241" s="991"/>
      <c r="AP241" s="991"/>
      <c r="A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991"/>
      <c r="AS241" s="991"/>
      <c r="AT241" s="991"/>
      <c r="A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991"/>
      <c r="AW241" s="991"/>
      <c r="AX241" s="991"/>
      <c r="A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991"/>
      <c r="BA241" s="991"/>
      <c r="BB241" s="991"/>
      <c r="B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991"/>
      <c r="BE241" s="991"/>
      <c r="BF241" s="991"/>
      <c r="B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991"/>
      <c r="BI241" s="991"/>
      <c r="BJ241" s="991"/>
      <c r="B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991"/>
      <c r="BM241" s="991"/>
      <c r="BN241" s="991"/>
      <c r="B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991"/>
      <c r="BQ241" s="991"/>
      <c r="BR241" s="991"/>
      <c r="B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991"/>
      <c r="BU241" s="991"/>
      <c r="BV241" s="991"/>
      <c r="B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991"/>
      <c r="BY241" s="991"/>
      <c r="BZ241" s="991"/>
      <c r="C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991"/>
      <c r="CC241" s="991"/>
      <c r="CD241" s="991"/>
      <c r="C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991"/>
      <c r="CG241" s="991"/>
      <c r="CH241" s="991"/>
      <c r="C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991"/>
      <c r="CK241" s="991"/>
      <c r="CL241" s="991"/>
      <c r="C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991"/>
      <c r="CO241" s="991"/>
      <c r="CP241" s="991"/>
      <c r="C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991"/>
      <c r="CS241" s="991"/>
      <c r="CT241" s="991"/>
      <c r="C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991"/>
      <c r="CW241" s="991"/>
      <c r="CX241" s="991"/>
      <c r="C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991"/>
      <c r="DA241" s="991"/>
      <c r="DB241" s="991"/>
      <c r="D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991"/>
      <c r="DE241" s="991"/>
      <c r="DF241" s="991"/>
      <c r="D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991"/>
      <c r="DI241" s="991"/>
      <c r="DJ241" s="991"/>
      <c r="D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991"/>
      <c r="DM241" s="991"/>
      <c r="DN241" s="991"/>
      <c r="D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991"/>
      <c r="DQ241" s="991"/>
      <c r="DR241" s="991"/>
      <c r="D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991"/>
      <c r="DU241" s="991"/>
      <c r="DV241" s="991"/>
      <c r="D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991"/>
      <c r="DY241" s="991"/>
      <c r="DZ241" s="991"/>
      <c r="E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991"/>
      <c r="EC241" s="991"/>
      <c r="ED241" s="991"/>
      <c r="E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991"/>
      <c r="EG241" s="991"/>
      <c r="EH241" s="991"/>
      <c r="E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991"/>
      <c r="EK241" s="991"/>
      <c r="EL241" s="991"/>
      <c r="E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991"/>
      <c r="EO241" s="991"/>
      <c r="EP241" s="991"/>
      <c r="E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991"/>
      <c r="ES241" s="991"/>
      <c r="ET241" s="991"/>
      <c r="E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991"/>
      <c r="EW241" s="991"/>
      <c r="EX241" s="991"/>
      <c r="E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991"/>
      <c r="FA241" s="991"/>
      <c r="FB241" s="991"/>
      <c r="F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991"/>
      <c r="FE241" s="991"/>
      <c r="FF241" s="991"/>
      <c r="F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991"/>
      <c r="FI241" s="991"/>
      <c r="FJ241" s="991"/>
      <c r="F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991"/>
      <c r="FM241" s="991"/>
      <c r="FN241" s="991"/>
      <c r="F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991"/>
      <c r="FQ241" s="991"/>
      <c r="FR241" s="991"/>
      <c r="F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991"/>
      <c r="FU241" s="991"/>
      <c r="FV241" s="991"/>
      <c r="F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991"/>
      <c r="FY241" s="991"/>
      <c r="FZ241" s="991"/>
      <c r="G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991"/>
      <c r="GC241" s="991"/>
      <c r="GD241" s="991"/>
      <c r="G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991"/>
      <c r="GG241" s="991"/>
      <c r="GH241" s="991"/>
      <c r="G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991"/>
      <c r="GK241" s="991"/>
      <c r="GL241" s="991"/>
      <c r="G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991"/>
      <c r="GO241" s="991"/>
      <c r="GP241" s="991"/>
      <c r="G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991"/>
      <c r="GS241" s="991"/>
      <c r="GT241" s="991"/>
      <c r="G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991"/>
      <c r="GW241" s="991"/>
      <c r="GX241" s="991"/>
      <c r="G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SUMPRODUCT(OFFSET(貼付け_2027実績,$F242,5,10,1),OFFSET(貼付け_2027実績,$F242,SUM(COLUMN()-COLUMN(貼付け_2027実績)),10,1))*1000</f>
        <v>0</v>
      </c>
      <c r="J242" s="989">
        <f ca="1">SUMPRODUCT(OFFSET(貼付け_2027実績,$F242,5,10,1),OFFSET(貼付け_2027実績,$F242,SUM(COLUMN()-COLUMN(貼付け_2027実績)),10,1))*1000</f>
        <v>0</v>
      </c>
      <c r="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71"/>
      <c r="M242" s="471"/>
      <c r="N242" s="471"/>
      <c r="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71"/>
      <c r="Q242" s="471"/>
      <c r="R242" s="471"/>
      <c r="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71"/>
      <c r="U242" s="471"/>
      <c r="V242" s="471"/>
      <c r="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71"/>
      <c r="Y242" s="471"/>
      <c r="Z242" s="471"/>
      <c r="A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71"/>
      <c r="AC242" s="471"/>
      <c r="AD242" s="471"/>
      <c r="A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71"/>
      <c r="AG242" s="471"/>
      <c r="AH242" s="471"/>
      <c r="A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71"/>
      <c r="AK242" s="471"/>
      <c r="AL242" s="471"/>
      <c r="A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71"/>
      <c r="AO242" s="471"/>
      <c r="AP242" s="471"/>
      <c r="A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71"/>
      <c r="AS242" s="471"/>
      <c r="AT242" s="471"/>
      <c r="A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71"/>
      <c r="AW242" s="471"/>
      <c r="AX242" s="471"/>
      <c r="A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71"/>
      <c r="BA242" s="471"/>
      <c r="BB242" s="471"/>
      <c r="B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71"/>
      <c r="BE242" s="471"/>
      <c r="BF242" s="471"/>
      <c r="B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71"/>
      <c r="BI242" s="471"/>
      <c r="BJ242" s="471"/>
      <c r="B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71"/>
      <c r="BM242" s="471"/>
      <c r="BN242" s="471"/>
      <c r="B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71"/>
      <c r="BQ242" s="471"/>
      <c r="BR242" s="471"/>
      <c r="B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71"/>
      <c r="BU242" s="471"/>
      <c r="BV242" s="471"/>
      <c r="B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71"/>
      <c r="BY242" s="471"/>
      <c r="BZ242" s="471"/>
      <c r="C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71"/>
      <c r="CC242" s="471"/>
      <c r="CD242" s="471"/>
      <c r="C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71"/>
      <c r="CG242" s="471"/>
      <c r="CH242" s="471"/>
      <c r="C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71"/>
      <c r="CK242" s="471"/>
      <c r="CL242" s="471"/>
      <c r="C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71"/>
      <c r="CO242" s="471"/>
      <c r="CP242" s="471"/>
      <c r="C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71"/>
      <c r="CS242" s="471"/>
      <c r="CT242" s="471"/>
      <c r="C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71"/>
      <c r="CW242" s="471"/>
      <c r="CX242" s="471"/>
      <c r="C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71"/>
      <c r="DA242" s="471"/>
      <c r="DB242" s="471"/>
      <c r="D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71"/>
      <c r="DE242" s="471"/>
      <c r="DF242" s="471"/>
      <c r="D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71"/>
      <c r="DI242" s="471"/>
      <c r="DJ242" s="471"/>
      <c r="D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71"/>
      <c r="DM242" s="471"/>
      <c r="DN242" s="471"/>
      <c r="D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71"/>
      <c r="DQ242" s="471"/>
      <c r="DR242" s="471"/>
      <c r="D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71"/>
      <c r="DU242" s="471"/>
      <c r="DV242" s="471"/>
      <c r="D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71"/>
      <c r="DY242" s="471"/>
      <c r="DZ242" s="471"/>
      <c r="E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71"/>
      <c r="EC242" s="471"/>
      <c r="ED242" s="471"/>
      <c r="E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71"/>
      <c r="EG242" s="471"/>
      <c r="EH242" s="471"/>
      <c r="E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71"/>
      <c r="EK242" s="471"/>
      <c r="EL242" s="471"/>
      <c r="E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71"/>
      <c r="EO242" s="471"/>
      <c r="EP242" s="471"/>
      <c r="E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71"/>
      <c r="ES242" s="471"/>
      <c r="ET242" s="471"/>
      <c r="E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71"/>
      <c r="EW242" s="471"/>
      <c r="EX242" s="471"/>
      <c r="E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71"/>
      <c r="FA242" s="471"/>
      <c r="FB242" s="471"/>
      <c r="F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71"/>
      <c r="FE242" s="471"/>
      <c r="FF242" s="471"/>
      <c r="F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71"/>
      <c r="FI242" s="471"/>
      <c r="FJ242" s="471"/>
      <c r="F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71"/>
      <c r="FM242" s="471"/>
      <c r="FN242" s="471"/>
      <c r="F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71"/>
      <c r="FQ242" s="471"/>
      <c r="FR242" s="471"/>
      <c r="F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71"/>
      <c r="FU242" s="471"/>
      <c r="FV242" s="471"/>
      <c r="F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71"/>
      <c r="FY242" s="471"/>
      <c r="FZ242" s="471"/>
      <c r="G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71"/>
      <c r="GC242" s="471"/>
      <c r="GD242" s="471"/>
      <c r="G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71"/>
      <c r="GG242" s="471"/>
      <c r="GH242" s="471"/>
      <c r="G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71"/>
      <c r="GK242" s="471"/>
      <c r="GL242" s="471"/>
      <c r="G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71"/>
      <c r="GO242" s="471"/>
      <c r="GP242" s="471"/>
      <c r="G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71"/>
      <c r="GS242" s="471"/>
      <c r="GT242" s="471"/>
      <c r="G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71"/>
      <c r="GW242" s="471"/>
      <c r="GX242" s="471"/>
      <c r="G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991"/>
      <c r="M243" s="991"/>
      <c r="N243" s="991"/>
      <c r="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991"/>
      <c r="Q243" s="991"/>
      <c r="R243" s="991"/>
      <c r="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991"/>
      <c r="U243" s="991"/>
      <c r="V243" s="991"/>
      <c r="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991"/>
      <c r="Y243" s="991"/>
      <c r="Z243" s="991"/>
      <c r="A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991"/>
      <c r="AC243" s="991"/>
      <c r="AD243" s="991"/>
      <c r="A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991"/>
      <c r="AG243" s="991"/>
      <c r="AH243" s="991"/>
      <c r="A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991"/>
      <c r="AK243" s="991"/>
      <c r="AL243" s="991"/>
      <c r="A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991"/>
      <c r="AO243" s="991"/>
      <c r="AP243" s="991"/>
      <c r="A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991"/>
      <c r="AS243" s="991"/>
      <c r="AT243" s="991"/>
      <c r="A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991"/>
      <c r="AW243" s="991"/>
      <c r="AX243" s="991"/>
      <c r="A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991"/>
      <c r="BA243" s="991"/>
      <c r="BB243" s="991"/>
      <c r="B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991"/>
      <c r="BE243" s="991"/>
      <c r="BF243" s="991"/>
      <c r="B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991"/>
      <c r="BI243" s="991"/>
      <c r="BJ243" s="991"/>
      <c r="B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991"/>
      <c r="BM243" s="991"/>
      <c r="BN243" s="991"/>
      <c r="B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991"/>
      <c r="BQ243" s="991"/>
      <c r="BR243" s="991"/>
      <c r="B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991"/>
      <c r="BU243" s="991"/>
      <c r="BV243" s="991"/>
      <c r="B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991"/>
      <c r="BY243" s="991"/>
      <c r="BZ243" s="991"/>
      <c r="C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991"/>
      <c r="CC243" s="991"/>
      <c r="CD243" s="991"/>
      <c r="C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991"/>
      <c r="CG243" s="991"/>
      <c r="CH243" s="991"/>
      <c r="C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991"/>
      <c r="CK243" s="991"/>
      <c r="CL243" s="991"/>
      <c r="C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991"/>
      <c r="CO243" s="991"/>
      <c r="CP243" s="991"/>
      <c r="C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991"/>
      <c r="CS243" s="991"/>
      <c r="CT243" s="991"/>
      <c r="C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991"/>
      <c r="CW243" s="991"/>
      <c r="CX243" s="991"/>
      <c r="C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991"/>
      <c r="DA243" s="991"/>
      <c r="DB243" s="991"/>
      <c r="D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991"/>
      <c r="DE243" s="991"/>
      <c r="DF243" s="991"/>
      <c r="D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991"/>
      <c r="DI243" s="991"/>
      <c r="DJ243" s="991"/>
      <c r="D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991"/>
      <c r="DM243" s="991"/>
      <c r="DN243" s="991"/>
      <c r="D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991"/>
      <c r="DQ243" s="991"/>
      <c r="DR243" s="991"/>
      <c r="D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991"/>
      <c r="DU243" s="991"/>
      <c r="DV243" s="991"/>
      <c r="D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991"/>
      <c r="DY243" s="991"/>
      <c r="DZ243" s="991"/>
      <c r="E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991"/>
      <c r="EC243" s="991"/>
      <c r="ED243" s="991"/>
      <c r="E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991"/>
      <c r="EG243" s="991"/>
      <c r="EH243" s="991"/>
      <c r="E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991"/>
      <c r="EK243" s="991"/>
      <c r="EL243" s="991"/>
      <c r="E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991"/>
      <c r="EO243" s="991"/>
      <c r="EP243" s="991"/>
      <c r="E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991"/>
      <c r="ES243" s="991"/>
      <c r="ET243" s="991"/>
      <c r="E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991"/>
      <c r="EW243" s="991"/>
      <c r="EX243" s="991"/>
      <c r="E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991"/>
      <c r="FA243" s="991"/>
      <c r="FB243" s="991"/>
      <c r="F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991"/>
      <c r="FE243" s="991"/>
      <c r="FF243" s="991"/>
      <c r="F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991"/>
      <c r="FI243" s="991"/>
      <c r="FJ243" s="991"/>
      <c r="F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991"/>
      <c r="FM243" s="991"/>
      <c r="FN243" s="991"/>
      <c r="F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991"/>
      <c r="FQ243" s="991"/>
      <c r="FR243" s="991"/>
      <c r="F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991"/>
      <c r="FU243" s="991"/>
      <c r="FV243" s="991"/>
      <c r="F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991"/>
      <c r="FY243" s="991"/>
      <c r="FZ243" s="991"/>
      <c r="G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991"/>
      <c r="GC243" s="991"/>
      <c r="GD243" s="991"/>
      <c r="G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991"/>
      <c r="GG243" s="991"/>
      <c r="GH243" s="991"/>
      <c r="G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991"/>
      <c r="GK243" s="991"/>
      <c r="GL243" s="991"/>
      <c r="G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991"/>
      <c r="GO243" s="991"/>
      <c r="GP243" s="991"/>
      <c r="G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991"/>
      <c r="GS243" s="991"/>
      <c r="GT243" s="991"/>
      <c r="G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991"/>
      <c r="GW243" s="991"/>
      <c r="GX243" s="991"/>
      <c r="G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991"/>
      <c r="HA243" s="991"/>
      <c r="HB243" s="991"/>
      <c r="IE243" s="927"/>
      <c r="IF243" s="927"/>
      <c r="IG243" s="927"/>
      <c r="IH243" s="927"/>
    </row>
    <row r="244" spans="1:242" hidden="1"/>
    <row r="245" spans="1:242" s="879" customFormat="1" ht="20.100000000000001" hidden="1" customHeight="1">
      <c r="A245" s="898" t="s">
        <v>666</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IE245" s="975"/>
      <c r="IF245" s="975"/>
      <c r="IG245" s="975"/>
      <c r="IH245" s="975"/>
    </row>
    <row r="246" spans="1:242" ht="20.100000000000001" hidden="1" customHeight="1" thickBot="1">
      <c r="B246" s="992" t="s">
        <v>667</v>
      </c>
      <c r="C246" s="1048">
        <v>1</v>
      </c>
      <c r="D246" s="996">
        <v>2</v>
      </c>
      <c r="E246" s="1048">
        <v>3</v>
      </c>
      <c r="F246" s="996">
        <v>4</v>
      </c>
      <c r="G246" s="1048">
        <v>5</v>
      </c>
      <c r="H246" s="996">
        <v>6</v>
      </c>
      <c r="I246" s="1048">
        <v>7</v>
      </c>
      <c r="J246" s="996">
        <v>8</v>
      </c>
      <c r="K246" s="1048">
        <v>9</v>
      </c>
      <c r="L246" s="996">
        <v>10</v>
      </c>
      <c r="M246" s="1048">
        <v>11</v>
      </c>
      <c r="N246" s="996">
        <v>12</v>
      </c>
      <c r="O246" s="1048">
        <v>13</v>
      </c>
      <c r="P246" s="996">
        <v>14</v>
      </c>
      <c r="Q246" s="1048">
        <v>15</v>
      </c>
      <c r="R246" s="996">
        <v>16</v>
      </c>
      <c r="S246" s="1048">
        <v>17</v>
      </c>
      <c r="T246" s="996">
        <v>18</v>
      </c>
      <c r="U246" s="1048">
        <v>19</v>
      </c>
      <c r="V246" s="996">
        <v>20</v>
      </c>
      <c r="W246" s="1048">
        <v>21</v>
      </c>
      <c r="X246" s="996">
        <v>22</v>
      </c>
      <c r="Y246" s="1048">
        <v>23</v>
      </c>
      <c r="Z246" s="996">
        <v>24</v>
      </c>
      <c r="AA246" s="1048">
        <v>25</v>
      </c>
      <c r="AB246" s="996">
        <v>26</v>
      </c>
      <c r="AC246" s="1048">
        <v>27</v>
      </c>
      <c r="AD246" s="996">
        <v>28</v>
      </c>
      <c r="AE246" s="1048">
        <v>29</v>
      </c>
      <c r="AF246" s="996">
        <v>30</v>
      </c>
      <c r="AG246" s="1048">
        <v>31</v>
      </c>
      <c r="AH246" s="996">
        <v>32</v>
      </c>
      <c r="AI246" s="1048">
        <v>33</v>
      </c>
      <c r="AJ246" s="996">
        <v>34</v>
      </c>
      <c r="AK246" s="1048">
        <v>35</v>
      </c>
      <c r="AL246" s="996">
        <v>36</v>
      </c>
      <c r="AM246" s="1048">
        <v>37</v>
      </c>
      <c r="AN246" s="996">
        <v>38</v>
      </c>
      <c r="AO246" s="1048">
        <v>39</v>
      </c>
      <c r="AP246" s="996">
        <v>40</v>
      </c>
      <c r="AQ246" s="1048">
        <v>41</v>
      </c>
      <c r="AR246" s="996">
        <v>42</v>
      </c>
    </row>
    <row r="247" spans="1:242" ht="19.5" hidden="1" customHeight="1" thickBot="1">
      <c r="A247" s="881">
        <v>1</v>
      </c>
      <c r="B247" s="1370" t="s">
        <v>623</v>
      </c>
      <c r="C247" s="1371"/>
      <c r="D247" s="1372"/>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347" t="s">
        <v>624</v>
      </c>
      <c r="C248" s="997" t="s">
        <v>625</v>
      </c>
      <c r="D248" s="998">
        <v>2027</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2027年度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348"/>
      <c r="C249" s="1002" t="str">
        <f>"~"&amp;D248-1&amp;"/"&amp;D248</f>
        <v>~2026/2027</v>
      </c>
      <c r="D249" s="1003" t="str">
        <f>""</f>
        <v/>
      </c>
      <c r="E249" s="1004" t="str">
        <f t="shared" ref="E249:AJ249" ca="1" si="102">IF(OFFSET(A1_原単位2026,6,E$247+2)="",OFFSET(A1_原単位2026,3,E$247+2),OFFSET(A1_原単位2026,6,E$247+2))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IF(OFFSET(A1_原単位2026,6,AK$247+2)="",OFFSET(A1_原単位2026,3,AK$247+2),OFFSET(A1_原単位2026,6,AK$247+2))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IFERROR(OFFSET(貼付け_2027実績,5,E248+1),"")&amp;""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IFERROR(OFFSET(貼付け_2027実績,5,AK248+1),"")&amp;""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348"/>
      <c r="C250" s="1002" t="str">
        <f>"~"&amp;D248-1&amp;"&amp;"&amp;D248</f>
        <v>~2026&amp;2027</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348"/>
      <c r="C251" s="1002" t="s">
        <v>626</v>
      </c>
      <c r="D251" s="1003" t="str">
        <f>""</f>
        <v/>
      </c>
      <c r="E251" s="1004" t="str">
        <f t="shared" ref="E251:AJ251" ca="1" si="106">IF(OFFSET(貼付け_2027実績,2,12)="■",BD249,IFERROR(INDEX($BD249:$DA249,MATCH(E250,$BD249:$DA249,0)),""))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IF(OFFSET(貼付け_2027実績,2,12)="■",CJ249,IFERROR(INDEX($BD249:$DA249,MATCH(AK250,$BD249:$DA249,0)),""))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348"/>
      <c r="C252" s="1006" t="s">
        <v>627</v>
      </c>
      <c r="D252" s="1007">
        <v>2</v>
      </c>
      <c r="E252" s="1008" t="str">
        <f t="shared" ref="E252:AJ252" ca="1" si="108">OFFSET(A1_名称2027,E$247+2,$D252)&amp;""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OFFSET(A1_名称2027,AK$247+2,$D252)&amp;""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348"/>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348"/>
      <c r="C254" s="1011" t="s">
        <v>629</v>
      </c>
      <c r="D254" s="1012">
        <v>6</v>
      </c>
      <c r="E254" s="1013" t="str">
        <f t="shared" ref="E254:AJ254" ca="1" si="111">IFERROR(OFFSET(貼付け_2027実績,$D254,E253+1)&amp;"","")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IFERROR(OFFSET(貼付け_2027実績,$D254,AK253+1)&amp;"","")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348"/>
      <c r="C255" s="1017" t="s">
        <v>630</v>
      </c>
      <c r="D255" s="1018">
        <v>99</v>
      </c>
      <c r="E255" s="1019" t="str">
        <f t="shared" ref="E255:AJ255" ca="1" si="113">IFERROR(OFFSET(貼付け_2027実績,$D255,E253),"")</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IFERROR(OFFSET(貼付け_2027実績,$D255,AK253),"")</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989" t="str">
        <f t="shared" ca="1" si="114"/>
        <v/>
      </c>
      <c r="BB255" s="1020" t="str">
        <f t="shared" ca="1" si="114"/>
        <v/>
      </c>
      <c r="IE255" s="927"/>
      <c r="IF255" s="927"/>
      <c r="IG255" s="927"/>
      <c r="IH255" s="927"/>
    </row>
    <row r="256" spans="1:242" s="889" customFormat="1" ht="20.100000000000001" hidden="1" customHeight="1">
      <c r="A256" s="967">
        <v>10</v>
      </c>
      <c r="B256" s="1348"/>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348"/>
      <c r="C257" s="1017" t="s">
        <v>632</v>
      </c>
      <c r="D257" s="1018">
        <v>101</v>
      </c>
      <c r="E257" s="1019" t="str">
        <f t="shared" ref="E257:AJ257" ca="1" si="115">IFERROR(OFFSET(貼付け_2027実績,$D257,E253),"")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IFERROR(OFFSET(貼付け_2027実績,$D257,AK253),"")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348"/>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349"/>
      <c r="C259" s="1021" t="s">
        <v>634</v>
      </c>
      <c r="D259" s="1022">
        <v>12</v>
      </c>
      <c r="E259" s="1023" t="str">
        <f t="shared" ref="E259:AJ259" ca="1" si="118">IFERROR(1-(E258/OFFSET(A1_原単位2026,$D259,E$247+2)),"")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IFERROR(1-(AK258/OFFSET(A1_原単位2026,$D259,AK$247+2)),"")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347" t="s">
        <v>600</v>
      </c>
      <c r="C260" s="997" t="s">
        <v>625</v>
      </c>
      <c r="D260" s="998">
        <v>2027</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2027年度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348"/>
      <c r="C261" s="1002" t="str">
        <f>"~"&amp;D260-1&amp;"/"&amp;D260</f>
        <v>~2026/2027</v>
      </c>
      <c r="D261" s="1003" t="str">
        <f>""</f>
        <v/>
      </c>
      <c r="E261" s="1004" t="str">
        <f t="shared" ref="E261:AJ261" ca="1" si="121">IF(OFFSET(A1_原単位2026,18,E$247+2)="",OFFSET(A1_原単位2026,15,E$247+2),OFFSET(A1_原単位2026,18,E$247+2))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IF(OFFSET(A1_原単位2026,18,AK$247+2)="",OFFSET(A1_原単位2026,15,AK$247+2),OFFSET(A1_原単位2026,18,AK$247+2))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IFERROR(OFFSET(貼付け_2027実績,5,E260+1),"")&amp;""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IFERROR(OFFSET(貼付け_2027実績,5,AK260+1),"")&amp;""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348"/>
      <c r="C262" s="1002" t="str">
        <f>"~"&amp;D260-1&amp;"&amp;"&amp;D260</f>
        <v>~2026&amp;2027</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348"/>
      <c r="C263" s="1002" t="s">
        <v>626</v>
      </c>
      <c r="D263" s="1003" t="str">
        <f>""</f>
        <v/>
      </c>
      <c r="E263" s="1004" t="str">
        <f t="shared" ref="E263:AJ263" ca="1" si="125">IF(OFFSET(貼付け_2027実績,2,12)="■",BD261,IFERROR(INDEX($BD261:$DA261,MATCH(E262,$BD261:$DA261,0)),""))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IF(OFFSET(貼付け_2027実績,2,12)="■",CJ261,IFERROR(INDEX($BD261:$DA261,MATCH(AK262,$BD261:$DA261,0)),""))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348"/>
      <c r="C264" s="1006" t="s">
        <v>627</v>
      </c>
      <c r="D264" s="1007">
        <v>6</v>
      </c>
      <c r="E264" s="1008" t="str">
        <f t="shared" ref="E264:AJ264" ca="1" si="127">OFFSET(A1_名称2027,E$247+2,$D264)&amp;""</f>
        <v/>
      </c>
      <c r="F264" s="1008" t="str">
        <f t="shared" ca="1" si="127"/>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OFFSET(A1_名称2027,AK$247+2,$D264)&amp;""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348"/>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348"/>
      <c r="C266" s="1011" t="s">
        <v>629</v>
      </c>
      <c r="D266" s="1012">
        <v>6</v>
      </c>
      <c r="E266" s="1013" t="str">
        <f t="shared" ref="E266:AJ266" ca="1" si="130">IFERROR(OFFSET(貼付け_2027実績,$D266,E265+1)&amp;"","")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IFERROR(OFFSET(貼付け_2027実績,$D266,AK265+1)&amp;"","")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348"/>
      <c r="C267" s="1017" t="s">
        <v>630</v>
      </c>
      <c r="D267" s="1018">
        <v>99</v>
      </c>
      <c r="E267" s="1019" t="str">
        <f t="shared" ref="E267:AJ267" ca="1" si="132">IFERROR(OFFSET(貼付け_2027実績,$D267,E265),"")&amp;""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IFERROR(OFFSET(貼付け_2027実績,$D267,AK265),"")&amp;""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348"/>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348"/>
      <c r="C269" s="1017" t="s">
        <v>632</v>
      </c>
      <c r="D269" s="1018">
        <v>101</v>
      </c>
      <c r="E269" s="1019" t="str">
        <f t="shared" ref="E269:AJ269" ca="1" si="134">IFERROR(OFFSET(貼付け_2027実績,$D269,E265),"")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IFERROR(OFFSET(貼付け_2027実績,$D269,AK265),"")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348"/>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349"/>
      <c r="C271" s="1021" t="s">
        <v>634</v>
      </c>
      <c r="D271" s="1022">
        <v>24</v>
      </c>
      <c r="E271" s="1023" t="str">
        <f t="shared" ref="E271:AJ271" ca="1" si="137">IFERROR(1-(E270/OFFSET(A1_原単位2026,$D271,E$247+2)),"")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IFERROR(1-(AK270/OFFSET(A1_原単位2026,$D271,AK$247+2)),"")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347" t="s">
        <v>635</v>
      </c>
      <c r="C272" s="997" t="s">
        <v>625</v>
      </c>
      <c r="D272" s="998">
        <v>2027</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2027年度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348"/>
      <c r="C273" s="1002" t="str">
        <f>"~"&amp;D272-1&amp;"/"&amp;D272</f>
        <v>~2026/2027</v>
      </c>
      <c r="D273" s="1003" t="str">
        <f>""</f>
        <v/>
      </c>
      <c r="E273" s="1004" t="str">
        <f t="shared" ref="E273:AJ273" ca="1" si="140">IF(OFFSET(A1_原単位2026,30,E$247+2)="",OFFSET(A1_原単位2026,27,E$247+2),OFFSET(A1_原単位2026,30,E$247+2))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IF(OFFSET(A1_原単位2026,30,AK$247+2)="",OFFSET(A1_原単位2026,27,AK$247+2),OFFSET(A1_原単位2026,30,AK$247+2))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IFERROR(OFFSET(貼付け_2027実績,5,E272+1),"")&amp;""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IFERROR(OFFSET(貼付け_2027実績,5,AK272+1),"")&amp;""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348"/>
      <c r="C274" s="1002" t="str">
        <f>"~"&amp;D272-1&amp;"&amp;"&amp;D272</f>
        <v>~2026&amp;2027</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348"/>
      <c r="C275" s="1002" t="s">
        <v>626</v>
      </c>
      <c r="D275" s="1003" t="str">
        <f>""</f>
        <v/>
      </c>
      <c r="E275" s="1004" t="str">
        <f t="shared" ref="E275:AJ275" ca="1" si="144">IF(OFFSET(貼付け_2027実績,2,12)="■",BD273,IFERROR(INDEX($BD273:$DA273,MATCH(E274,$BD273:$DA273,0)),""))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IF(OFFSET(貼付け_2027実績,2,12)="■",CJ273,IFERROR(INDEX($BD273:$DA273,MATCH(AK274,$BD273:$DA273,0)),""))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348"/>
      <c r="C276" s="1006" t="s">
        <v>627</v>
      </c>
      <c r="D276" s="1007">
        <v>10</v>
      </c>
      <c r="E276" s="1008" t="str">
        <f t="shared" ref="E276:AJ276" ca="1" si="146">OFFSET(A1_名称2027,E$247+2,$D276)&amp;""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OFFSET(A1_名称2027,AK$247+2,$D276)&amp;""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348"/>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348"/>
      <c r="C278" s="1011" t="s">
        <v>629</v>
      </c>
      <c r="D278" s="1012">
        <v>6</v>
      </c>
      <c r="E278" s="1013" t="str">
        <f t="shared" ref="E278:AJ278" ca="1" si="149">IFERROR(OFFSET(貼付け_2027実績,$D278,E277+1)&amp;"","")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IFERROR(OFFSET(貼付け_2027実績,$D278,AK277+1)&amp;"","")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348"/>
      <c r="C279" s="1017" t="s">
        <v>630</v>
      </c>
      <c r="D279" s="1018">
        <v>99</v>
      </c>
      <c r="E279" s="1019" t="str">
        <f t="shared" ref="E279:AJ279" ca="1" si="151">IFERROR(OFFSET(貼付け_2027実績,$D279,E277),"")&amp;""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IFERROR(OFFSET(貼付け_2027実績,$D279,AK277),"")&amp;""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348"/>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348"/>
      <c r="C281" s="1017" t="s">
        <v>632</v>
      </c>
      <c r="D281" s="1018">
        <v>101</v>
      </c>
      <c r="E281" s="1019" t="str">
        <f t="shared" ref="E281:AJ281" ca="1" si="153">IFERROR(OFFSET(貼付け_2027実績,$D281,E277),"")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IFERROR(OFFSET(貼付け_2027実績,$D281,AK277),"")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348"/>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349"/>
      <c r="C283" s="1021" t="s">
        <v>634</v>
      </c>
      <c r="D283" s="1022">
        <v>36</v>
      </c>
      <c r="E283" s="1023" t="str">
        <f t="shared" ref="E283:AJ283" ca="1" si="156">IFERROR(1-(E282/OFFSET(A1_原単位2026,$D283,E$247+2)),"")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IFERROR(1-(AK282/OFFSET(A1_原単位2026,$D283,AK$247+2)),"")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347" t="s">
        <v>636</v>
      </c>
      <c r="C284" s="997" t="s">
        <v>625</v>
      </c>
      <c r="D284" s="998">
        <v>2027</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2027年度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348"/>
      <c r="C285" s="1002" t="str">
        <f>"~"&amp;D284-1&amp;"/"&amp;D284</f>
        <v>~2026/2027</v>
      </c>
      <c r="D285" s="1003" t="str">
        <f>""</f>
        <v/>
      </c>
      <c r="E285" s="1004" t="str">
        <f t="shared" ref="E285:AJ285" ca="1" si="159">IF(OFFSET(A1_原単位2026,42,E$247+2)="",OFFSET(A1_原単位2026,39,E$247+2),OFFSET(A1_原単位2026,42,E$247+2))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IF(OFFSET(A1_原単位2026,42,AK$247+2)="",OFFSET(A1_原単位2026,39,AK$247+2),OFFSET(A1_原単位2026,42,AK$247+2))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IFERROR(OFFSET(貼付け_2027実績,5,E284+1),"")&amp;""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IFERROR(OFFSET(貼付け_2027実績,5,AK284+1),"")&amp;""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348"/>
      <c r="C286" s="1002" t="str">
        <f>"~"&amp;D284-1&amp;"&amp;"&amp;D284</f>
        <v>~2026&amp;2027</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348"/>
      <c r="C287" s="1002" t="s">
        <v>626</v>
      </c>
      <c r="D287" s="1003" t="str">
        <f>""</f>
        <v/>
      </c>
      <c r="E287" s="1004" t="str">
        <f t="shared" ref="E287:AJ287" ca="1" si="163">IF(OFFSET(貼付け_2027実績,2,12)="■",BD285,IFERROR(INDEX($BD285:$DA285,MATCH(E286,$BD285:$DA285,0)),""))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IF(OFFSET(貼付け_2027実績,2,12)="■",CJ285,IFERROR(INDEX($BD285:$DA285,MATCH(AK286,$BD285:$DA285,0)),""))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348"/>
      <c r="C288" s="1006" t="s">
        <v>627</v>
      </c>
      <c r="D288" s="1007">
        <v>14</v>
      </c>
      <c r="E288" s="1008" t="str">
        <f t="shared" ref="E288:AJ288" ca="1" si="165">OFFSET(A1_名称2027,E$247+2,$D288)&amp;""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OFFSET(A1_名称2027,AK$247+2,$D288)&amp;""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348"/>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348"/>
      <c r="C290" s="1011" t="s">
        <v>629</v>
      </c>
      <c r="D290" s="1012">
        <v>6</v>
      </c>
      <c r="E290" s="1013" t="str">
        <f t="shared" ref="E290:AJ290" ca="1" si="168">IFERROR(OFFSET(貼付け_2027実績,$D290,E289+1)&amp;"","")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IFERROR(OFFSET(貼付け_2027実績,$D290,AK289+1)&amp;"","")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348"/>
      <c r="C291" s="1017" t="s">
        <v>630</v>
      </c>
      <c r="D291" s="1018">
        <v>99</v>
      </c>
      <c r="E291" s="1019" t="str">
        <f t="shared" ref="E291:AJ291" ca="1" si="170">IFERROR(OFFSET(貼付け_2027実績,$D291,E289),"")&amp;""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IFERROR(OFFSET(貼付け_2027実績,$D291,AK289),"")&amp;""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348"/>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348"/>
      <c r="C293" s="1017" t="s">
        <v>632</v>
      </c>
      <c r="D293" s="1018">
        <v>101</v>
      </c>
      <c r="E293" s="1019" t="str">
        <f t="shared" ref="E293:AJ293" ca="1" si="172">IFERROR(OFFSET(貼付け_2027実績,$D293,E289),"")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IFERROR(OFFSET(貼付け_2027実績,$D293,AK289),"")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348"/>
      <c r="C294" s="1017" t="s">
        <v>633</v>
      </c>
      <c r="D294" s="1018"/>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349"/>
      <c r="C295" s="1021" t="s">
        <v>634</v>
      </c>
      <c r="D295" s="1022">
        <v>48</v>
      </c>
      <c r="E295" s="1023" t="str">
        <f t="shared" ref="E295:AJ295" ca="1" si="175">IFERROR(1-(E294/OFFSET(A1_原単位2026,$D295,E$247+2)),"")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IFERROR(1-(AK294/OFFSET(A1_原単位2026,$D295,AK$247+2)),"")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9.8" hidden="1">
      <c r="B296" s="1024" t="s">
        <v>637</v>
      </c>
      <c r="C296" s="1049" t="s">
        <v>638</v>
      </c>
      <c r="D296" s="1050"/>
      <c r="E296" s="1025" t="str">
        <f ca="1">IFERROR((SUMPRODUCT(E283:BB283,E280:BB280)+SUMPRODUCT(E295:BB295,E292:BB292))/SUM(E280:BB280,E292:BB292)*100,"")</f>
        <v/>
      </c>
      <c r="F296" s="1354" t="s">
        <v>640</v>
      </c>
      <c r="G296" s="1025" t="str">
        <f ca="1">IF(ROUND(SUMPRODUCT(1/COUNTIF(E302:BB303,E302:BB303)),0)-1&lt;&gt;1,"-",IFERROR(INDEX(E302:BB302,MATCH(TRUE,INDEX(E302:BB302&lt;&gt;"",),0)),INDEX(E303:BB303,MATCH(TRUE,INDEX(E303:BB303&lt;&gt;"",),0))))</f>
        <v>-</v>
      </c>
      <c r="H296" s="1354" t="s">
        <v>641</v>
      </c>
      <c r="I296" s="1025" t="str">
        <f ca="1">IF(G296="-","-",OFFSET(貼付け_2024実績,100,IFERROR(INDEX(E277:BB277,MATCH(G296,E279:BB279,0)),INDEX(E289:BB289,MATCH(G296,E291:BB291,0)))))</f>
        <v>-</v>
      </c>
      <c r="J296" s="1354" t="s">
        <v>642</v>
      </c>
      <c r="K296" s="1025" t="str">
        <f ca="1">IF(G296="-","-",SUM(E281:BB281,E293:BB293))</f>
        <v>-</v>
      </c>
      <c r="L296" s="1184" t="s">
        <v>1913</v>
      </c>
      <c r="M296" s="1185" t="str">
        <f ca="1">IFERROR((SUMPRODUCT(E283:BB283,E280:BB280)+SUMPRODUCT(E295:BB295,E292:BB292)+(SUMPRODUCT(E271:BB271,E268:BB268)+SUMPRODUCT(E256:BB256,E259:BB259)))/SUM(E280:BB280,E292:BB292,E268:BB268,E256:BB256)*100,"")</f>
        <v/>
      </c>
    </row>
    <row r="297" spans="1:242" ht="18.600000000000001" hidden="1" thickBot="1">
      <c r="B297" s="1026" t="s">
        <v>459</v>
      </c>
      <c r="C297" s="1051" t="s">
        <v>661</v>
      </c>
      <c r="D297" s="1052"/>
      <c r="E297" s="1053" t="str">
        <f ca="1">IFERROR(SUMPRODUCT(E271:BB271,E268:BB268)/SUM(E268:BB268)*100,"")</f>
        <v/>
      </c>
      <c r="F297" s="1355"/>
      <c r="G297" s="1028" t="str">
        <f ca="1">IF(SUMPRODUCT(1/COUNTIF(E301:BB301,E301:BB301))-1&lt;&gt;1,"-",INDEX(E301:BB301,MATCH(TRUE,INDEX(E301:BB301&lt;&gt;"",),0)))</f>
        <v>-</v>
      </c>
      <c r="H297" s="1355"/>
      <c r="I297" s="1028" t="str">
        <f ca="1">IF(G297="-","-",OFFSET(貼付け_2024実績,100,INDEX(E265:BB265,MATCH(G297,E267:BB267,0))))</f>
        <v>-</v>
      </c>
      <c r="J297" s="1355"/>
      <c r="K297" s="1028" t="str">
        <f ca="1">IF(G297="-","-",SUM(E269:BB269))</f>
        <v>-</v>
      </c>
      <c r="L297" s="1186" t="s">
        <v>1914</v>
      </c>
      <c r="M297" s="1187" t="str">
        <f ca="1">IFERROR((SUMPRODUCT(E271:BB271,E268:BB268)+SUMPRODUCT(E256:BB256,E259:BB259))/SUM(E268:BB268,E256:BB256)*100,"")</f>
        <v/>
      </c>
    </row>
    <row r="298" spans="1:242" ht="18.600000000000001" hidden="1" thickBot="1">
      <c r="B298" s="1356" t="s">
        <v>643</v>
      </c>
      <c r="C298" s="1357"/>
      <c r="D298" s="1358"/>
      <c r="E298" s="1029" t="str">
        <f ca="1">IF(E252="",E249,E252)</f>
        <v/>
      </c>
      <c r="F298" s="1030" t="str">
        <f t="shared" ref="F298:BB298" ca="1" si="177">IF(F252="",F249,F252)</f>
        <v/>
      </c>
      <c r="G298" s="1030" t="str">
        <f t="shared" ca="1" si="177"/>
        <v/>
      </c>
      <c r="H298" s="1030" t="str">
        <f t="shared" ca="1" si="177"/>
        <v/>
      </c>
      <c r="I298" s="1030" t="str">
        <f t="shared" ca="1" si="177"/>
        <v/>
      </c>
      <c r="J298" s="1030" t="str">
        <f t="shared" ca="1" si="177"/>
        <v/>
      </c>
      <c r="K298" s="1030" t="str">
        <f t="shared" ca="1" si="177"/>
        <v/>
      </c>
      <c r="L298" s="1030" t="str">
        <f t="shared" ca="1" si="177"/>
        <v/>
      </c>
      <c r="M298" s="1030" t="str">
        <f t="shared" ca="1" si="177"/>
        <v/>
      </c>
      <c r="N298" s="1030" t="str">
        <f t="shared" ca="1" si="177"/>
        <v/>
      </c>
      <c r="O298" s="1030" t="str">
        <f t="shared" ca="1" si="177"/>
        <v/>
      </c>
      <c r="P298" s="1030" t="str">
        <f t="shared" ca="1" si="177"/>
        <v/>
      </c>
      <c r="Q298" s="1030" t="str">
        <f t="shared" ca="1" si="177"/>
        <v/>
      </c>
      <c r="R298" s="1030" t="str">
        <f t="shared" ca="1" si="177"/>
        <v/>
      </c>
      <c r="S298" s="1030" t="str">
        <f t="shared" ca="1" si="177"/>
        <v/>
      </c>
      <c r="T298" s="1030" t="str">
        <f t="shared" ca="1" si="177"/>
        <v/>
      </c>
      <c r="U298" s="1030" t="str">
        <f t="shared" ca="1" si="177"/>
        <v/>
      </c>
      <c r="V298" s="1030" t="str">
        <f t="shared" ca="1" si="177"/>
        <v/>
      </c>
      <c r="W298" s="1030" t="str">
        <f t="shared" ca="1" si="177"/>
        <v/>
      </c>
      <c r="X298" s="1030" t="str">
        <f t="shared" ca="1" si="177"/>
        <v/>
      </c>
      <c r="Y298" s="1030" t="str">
        <f t="shared" ca="1" si="177"/>
        <v/>
      </c>
      <c r="Z298" s="1030" t="str">
        <f t="shared" ca="1" si="177"/>
        <v/>
      </c>
      <c r="AA298" s="1030" t="str">
        <f t="shared" ca="1" si="177"/>
        <v/>
      </c>
      <c r="AB298" s="1030" t="str">
        <f t="shared" ca="1" si="177"/>
        <v/>
      </c>
      <c r="AC298" s="1030" t="str">
        <f t="shared" ca="1" si="177"/>
        <v/>
      </c>
      <c r="AD298" s="1030" t="str">
        <f t="shared" ca="1" si="177"/>
        <v/>
      </c>
      <c r="AE298" s="1030" t="str">
        <f t="shared" ca="1" si="177"/>
        <v/>
      </c>
      <c r="AF298" s="1030" t="str">
        <f t="shared" ca="1" si="177"/>
        <v/>
      </c>
      <c r="AG298" s="1030" t="str">
        <f t="shared" ca="1" si="177"/>
        <v/>
      </c>
      <c r="AH298" s="1030" t="str">
        <f t="shared" ca="1" si="177"/>
        <v/>
      </c>
      <c r="AI298" s="1030" t="str">
        <f t="shared" ca="1" si="177"/>
        <v/>
      </c>
      <c r="AJ298" s="1030" t="str">
        <f t="shared" ca="1" si="177"/>
        <v/>
      </c>
      <c r="AK298" s="1030" t="str">
        <f t="shared" ca="1" si="177"/>
        <v/>
      </c>
      <c r="AL298" s="1030" t="str">
        <f t="shared" ca="1" si="177"/>
        <v/>
      </c>
      <c r="AM298" s="1030" t="str">
        <f t="shared" ca="1" si="177"/>
        <v/>
      </c>
      <c r="AN298" s="1030" t="str">
        <f t="shared" ca="1" si="177"/>
        <v/>
      </c>
      <c r="AO298" s="1030" t="str">
        <f t="shared" ca="1" si="177"/>
        <v/>
      </c>
      <c r="AP298" s="1030" t="str">
        <f t="shared" ca="1" si="177"/>
        <v/>
      </c>
      <c r="AQ298" s="1030" t="str">
        <f t="shared" ca="1" si="177"/>
        <v/>
      </c>
      <c r="AR298" s="1030" t="str">
        <f t="shared" ca="1" si="177"/>
        <v/>
      </c>
      <c r="AS298" s="1030" t="str">
        <f t="shared" ca="1" si="177"/>
        <v/>
      </c>
      <c r="AT298" s="1030" t="str">
        <f t="shared" ca="1" si="177"/>
        <v/>
      </c>
      <c r="AU298" s="1030" t="str">
        <f t="shared" ca="1" si="177"/>
        <v/>
      </c>
      <c r="AV298" s="1030" t="str">
        <f t="shared" ca="1" si="177"/>
        <v/>
      </c>
      <c r="AW298" s="1030" t="str">
        <f t="shared" ca="1" si="177"/>
        <v/>
      </c>
      <c r="AX298" s="1030" t="str">
        <f t="shared" ca="1" si="177"/>
        <v/>
      </c>
      <c r="AY298" s="1030" t="str">
        <f t="shared" ca="1" si="177"/>
        <v/>
      </c>
      <c r="AZ298" s="1030" t="str">
        <f t="shared" ca="1" si="177"/>
        <v/>
      </c>
      <c r="BA298" s="1030" t="str">
        <f t="shared" ca="1" si="177"/>
        <v/>
      </c>
      <c r="BB298" s="1031" t="str">
        <f t="shared" ca="1" si="177"/>
        <v/>
      </c>
    </row>
    <row r="299" spans="1:242" ht="18.600000000000001" hidden="1" thickBot="1">
      <c r="B299" s="1356" t="s">
        <v>643</v>
      </c>
      <c r="C299" s="1357"/>
      <c r="D299" s="1358"/>
      <c r="E299" s="1029" t="str">
        <f t="shared" ref="E299:AJ299" ca="1" si="178">IF(E253="",OFFSET(A1_原単位2026,53,E247+2),IFERROR(OFFSET(貼付け_2027実績,6,E253+1)&amp;"",""))</f>
        <v/>
      </c>
      <c r="F299" s="1030" t="str">
        <f t="shared" ca="1" si="178"/>
        <v/>
      </c>
      <c r="G299" s="1030" t="str">
        <f t="shared" ca="1" si="178"/>
        <v/>
      </c>
      <c r="H299" s="1030" t="str">
        <f t="shared" ca="1" si="178"/>
        <v/>
      </c>
      <c r="I299" s="1030" t="str">
        <f t="shared" ca="1" si="178"/>
        <v/>
      </c>
      <c r="J299" s="1030" t="str">
        <f t="shared" ca="1" si="178"/>
        <v/>
      </c>
      <c r="K299" s="1030" t="str">
        <f t="shared" ca="1" si="178"/>
        <v/>
      </c>
      <c r="L299" s="1030" t="str">
        <f t="shared" ca="1" si="178"/>
        <v/>
      </c>
      <c r="M299" s="1030" t="str">
        <f t="shared" ca="1" si="178"/>
        <v/>
      </c>
      <c r="N299" s="1030" t="str">
        <f t="shared" ca="1" si="178"/>
        <v/>
      </c>
      <c r="O299" s="1030" t="str">
        <f t="shared" ca="1" si="178"/>
        <v/>
      </c>
      <c r="P299" s="1030" t="str">
        <f t="shared" ca="1" si="178"/>
        <v/>
      </c>
      <c r="Q299" s="1030" t="str">
        <f t="shared" ca="1" si="178"/>
        <v/>
      </c>
      <c r="R299" s="1030" t="str">
        <f t="shared" ca="1" si="178"/>
        <v/>
      </c>
      <c r="S299" s="1030" t="str">
        <f t="shared" ca="1" si="178"/>
        <v/>
      </c>
      <c r="T299" s="1030" t="str">
        <f t="shared" ca="1" si="178"/>
        <v/>
      </c>
      <c r="U299" s="1030" t="str">
        <f t="shared" ca="1" si="178"/>
        <v/>
      </c>
      <c r="V299" s="1030" t="str">
        <f t="shared" ca="1" si="178"/>
        <v/>
      </c>
      <c r="W299" s="1030" t="str">
        <f t="shared" ca="1" si="178"/>
        <v/>
      </c>
      <c r="X299" s="1030" t="str">
        <f t="shared" ca="1" si="178"/>
        <v/>
      </c>
      <c r="Y299" s="1030" t="str">
        <f t="shared" ca="1" si="178"/>
        <v/>
      </c>
      <c r="Z299" s="1030" t="str">
        <f t="shared" ca="1" si="178"/>
        <v/>
      </c>
      <c r="AA299" s="1030" t="str">
        <f t="shared" ca="1" si="178"/>
        <v/>
      </c>
      <c r="AB299" s="1030" t="str">
        <f t="shared" ca="1" si="178"/>
        <v/>
      </c>
      <c r="AC299" s="1030" t="str">
        <f t="shared" ca="1" si="178"/>
        <v/>
      </c>
      <c r="AD299" s="1030" t="str">
        <f t="shared" ca="1" si="178"/>
        <v/>
      </c>
      <c r="AE299" s="1030" t="str">
        <f t="shared" ca="1" si="178"/>
        <v/>
      </c>
      <c r="AF299" s="1030" t="str">
        <f t="shared" ca="1" si="178"/>
        <v/>
      </c>
      <c r="AG299" s="1030" t="str">
        <f t="shared" ca="1" si="178"/>
        <v/>
      </c>
      <c r="AH299" s="1030" t="str">
        <f t="shared" ca="1" si="178"/>
        <v/>
      </c>
      <c r="AI299" s="1030" t="str">
        <f t="shared" ca="1" si="178"/>
        <v/>
      </c>
      <c r="AJ299" s="1030" t="str">
        <f t="shared" ca="1" si="178"/>
        <v/>
      </c>
      <c r="AK299" s="1030" t="str">
        <f t="shared" ref="AK299:BB299" ca="1" si="179">IF(AK253="",OFFSET(A1_原単位2026,53,AK247+2),IFERROR(OFFSET(貼付け_2027実績,6,AK253+1)&amp;"",""))</f>
        <v/>
      </c>
      <c r="AL299" s="1030" t="str">
        <f t="shared" ca="1" si="179"/>
        <v/>
      </c>
      <c r="AM299" s="1030" t="str">
        <f t="shared" ca="1" si="179"/>
        <v/>
      </c>
      <c r="AN299" s="1030" t="str">
        <f t="shared" ca="1" si="179"/>
        <v/>
      </c>
      <c r="AO299" s="1030" t="str">
        <f t="shared" ca="1" si="179"/>
        <v/>
      </c>
      <c r="AP299" s="1030" t="str">
        <f t="shared" ca="1" si="179"/>
        <v/>
      </c>
      <c r="AQ299" s="1030" t="str">
        <f t="shared" ca="1" si="179"/>
        <v/>
      </c>
      <c r="AR299" s="1030" t="str">
        <f t="shared" ca="1" si="179"/>
        <v/>
      </c>
      <c r="AS299" s="1030" t="str">
        <f t="shared" ca="1" si="179"/>
        <v/>
      </c>
      <c r="AT299" s="1030" t="str">
        <f t="shared" ca="1" si="179"/>
        <v/>
      </c>
      <c r="AU299" s="1030" t="str">
        <f t="shared" ca="1" si="179"/>
        <v/>
      </c>
      <c r="AV299" s="1030" t="str">
        <f t="shared" ca="1" si="179"/>
        <v/>
      </c>
      <c r="AW299" s="1030" t="str">
        <f t="shared" ca="1" si="179"/>
        <v/>
      </c>
      <c r="AX299" s="1030" t="str">
        <f t="shared" ca="1" si="179"/>
        <v/>
      </c>
      <c r="AY299" s="1030" t="str">
        <f t="shared" ca="1" si="179"/>
        <v/>
      </c>
      <c r="AZ299" s="1030" t="str">
        <f t="shared" ca="1" si="179"/>
        <v/>
      </c>
      <c r="BA299" s="1030" t="str">
        <f t="shared" ca="1" si="179"/>
        <v/>
      </c>
      <c r="BB299" s="1031" t="str">
        <f t="shared" ca="1" si="179"/>
        <v/>
      </c>
    </row>
    <row r="300" spans="1:242" hidden="1">
      <c r="A300" s="967">
        <v>54</v>
      </c>
      <c r="B300" s="1344" t="s">
        <v>644</v>
      </c>
      <c r="C300" s="1032" t="s">
        <v>458</v>
      </c>
      <c r="D300" s="1033"/>
      <c r="E300" s="969" t="str">
        <f ca="1">E255</f>
        <v/>
      </c>
      <c r="F300" s="969" t="str">
        <f t="shared" ref="F300:BB300" ca="1" si="180">F255</f>
        <v/>
      </c>
      <c r="G300" s="969" t="str">
        <f t="shared" ca="1" si="180"/>
        <v/>
      </c>
      <c r="H300" s="969" t="str">
        <f t="shared" ca="1" si="180"/>
        <v/>
      </c>
      <c r="I300" s="969" t="str">
        <f t="shared" ca="1" si="180"/>
        <v/>
      </c>
      <c r="J300" s="969" t="str">
        <f t="shared" ca="1" si="180"/>
        <v/>
      </c>
      <c r="K300" s="969" t="str">
        <f t="shared" ca="1" si="180"/>
        <v/>
      </c>
      <c r="L300" s="969" t="str">
        <f t="shared" ca="1" si="180"/>
        <v/>
      </c>
      <c r="M300" s="969" t="str">
        <f t="shared" ca="1" si="180"/>
        <v/>
      </c>
      <c r="N300" s="969" t="str">
        <f t="shared" ca="1" si="180"/>
        <v/>
      </c>
      <c r="O300" s="969" t="str">
        <f t="shared" ca="1" si="180"/>
        <v/>
      </c>
      <c r="P300" s="969" t="str">
        <f t="shared" ca="1" si="180"/>
        <v/>
      </c>
      <c r="Q300" s="969" t="str">
        <f t="shared" ca="1" si="180"/>
        <v/>
      </c>
      <c r="R300" s="969" t="str">
        <f t="shared" ca="1" si="180"/>
        <v/>
      </c>
      <c r="S300" s="969" t="str">
        <f t="shared" ca="1" si="180"/>
        <v/>
      </c>
      <c r="T300" s="969" t="str">
        <f t="shared" ca="1" si="180"/>
        <v/>
      </c>
      <c r="U300" s="969" t="str">
        <f t="shared" ca="1" si="180"/>
        <v/>
      </c>
      <c r="V300" s="969" t="str">
        <f t="shared" ca="1" si="180"/>
        <v/>
      </c>
      <c r="W300" s="969" t="str">
        <f t="shared" ca="1" si="180"/>
        <v/>
      </c>
      <c r="X300" s="969" t="str">
        <f t="shared" ca="1" si="180"/>
        <v/>
      </c>
      <c r="Y300" s="969" t="str">
        <f t="shared" ca="1" si="180"/>
        <v/>
      </c>
      <c r="Z300" s="969" t="str">
        <f t="shared" ca="1" si="180"/>
        <v/>
      </c>
      <c r="AA300" s="969" t="str">
        <f t="shared" ca="1" si="180"/>
        <v/>
      </c>
      <c r="AB300" s="969" t="str">
        <f t="shared" ca="1" si="180"/>
        <v/>
      </c>
      <c r="AC300" s="969" t="str">
        <f t="shared" ca="1" si="180"/>
        <v/>
      </c>
      <c r="AD300" s="969" t="str">
        <f t="shared" ca="1" si="180"/>
        <v/>
      </c>
      <c r="AE300" s="969" t="str">
        <f t="shared" ca="1" si="180"/>
        <v/>
      </c>
      <c r="AF300" s="969" t="str">
        <f t="shared" ca="1" si="180"/>
        <v/>
      </c>
      <c r="AG300" s="969" t="str">
        <f t="shared" ca="1" si="180"/>
        <v/>
      </c>
      <c r="AH300" s="969" t="str">
        <f t="shared" ca="1" si="180"/>
        <v/>
      </c>
      <c r="AI300" s="969" t="str">
        <f t="shared" ca="1" si="180"/>
        <v/>
      </c>
      <c r="AJ300" s="969" t="str">
        <f t="shared" ca="1" si="180"/>
        <v/>
      </c>
      <c r="AK300" s="969" t="str">
        <f t="shared" ca="1" si="180"/>
        <v/>
      </c>
      <c r="AL300" s="969" t="str">
        <f t="shared" ca="1" si="180"/>
        <v/>
      </c>
      <c r="AM300" s="969" t="str">
        <f t="shared" ca="1" si="180"/>
        <v/>
      </c>
      <c r="AN300" s="969" t="str">
        <f t="shared" ca="1" si="180"/>
        <v/>
      </c>
      <c r="AO300" s="969" t="str">
        <f t="shared" ca="1" si="180"/>
        <v/>
      </c>
      <c r="AP300" s="969" t="str">
        <f t="shared" ca="1" si="180"/>
        <v/>
      </c>
      <c r="AQ300" s="969" t="str">
        <f t="shared" ca="1" si="180"/>
        <v/>
      </c>
      <c r="AR300" s="969" t="str">
        <f t="shared" ca="1" si="180"/>
        <v/>
      </c>
      <c r="AS300" s="969" t="str">
        <f t="shared" ca="1" si="180"/>
        <v/>
      </c>
      <c r="AT300" s="969" t="str">
        <f t="shared" ca="1" si="180"/>
        <v/>
      </c>
      <c r="AU300" s="969" t="str">
        <f t="shared" ca="1" si="180"/>
        <v/>
      </c>
      <c r="AV300" s="969" t="str">
        <f t="shared" ca="1" si="180"/>
        <v/>
      </c>
      <c r="AW300" s="969" t="str">
        <f t="shared" ca="1" si="180"/>
        <v/>
      </c>
      <c r="AX300" s="969" t="str">
        <f t="shared" ca="1" si="180"/>
        <v/>
      </c>
      <c r="AY300" s="969" t="str">
        <f t="shared" ca="1" si="180"/>
        <v/>
      </c>
      <c r="AZ300" s="969" t="str">
        <f t="shared" ca="1" si="180"/>
        <v/>
      </c>
      <c r="BA300" s="969" t="str">
        <f t="shared" ca="1" si="180"/>
        <v/>
      </c>
      <c r="BB300" s="969" t="str">
        <f t="shared" ca="1" si="180"/>
        <v/>
      </c>
    </row>
    <row r="301" spans="1:242" hidden="1">
      <c r="A301" s="967">
        <v>55</v>
      </c>
      <c r="B301" s="1345"/>
      <c r="C301" s="1034" t="s">
        <v>459</v>
      </c>
      <c r="D301" s="1035"/>
      <c r="E301" s="971" t="str">
        <f ca="1">E267</f>
        <v/>
      </c>
      <c r="F301" s="971" t="str">
        <f t="shared" ref="F301:BB301" ca="1" si="181">F267</f>
        <v/>
      </c>
      <c r="G301" s="971" t="str">
        <f t="shared" ca="1" si="181"/>
        <v/>
      </c>
      <c r="H301" s="971" t="str">
        <f t="shared" ca="1" si="181"/>
        <v/>
      </c>
      <c r="I301" s="971" t="str">
        <f t="shared" ca="1" si="181"/>
        <v/>
      </c>
      <c r="J301" s="971" t="str">
        <f t="shared" ca="1" si="181"/>
        <v/>
      </c>
      <c r="K301" s="971" t="str">
        <f t="shared" ca="1" si="181"/>
        <v/>
      </c>
      <c r="L301" s="971" t="str">
        <f t="shared" ca="1" si="181"/>
        <v/>
      </c>
      <c r="M301" s="971" t="str">
        <f t="shared" ca="1" si="181"/>
        <v/>
      </c>
      <c r="N301" s="971" t="str">
        <f t="shared" ca="1" si="181"/>
        <v/>
      </c>
      <c r="O301" s="971" t="str">
        <f t="shared" ca="1" si="181"/>
        <v/>
      </c>
      <c r="P301" s="971" t="str">
        <f t="shared" ca="1" si="181"/>
        <v/>
      </c>
      <c r="Q301" s="971" t="str">
        <f t="shared" ca="1" si="181"/>
        <v/>
      </c>
      <c r="R301" s="971" t="str">
        <f t="shared" ca="1" si="181"/>
        <v/>
      </c>
      <c r="S301" s="971" t="str">
        <f t="shared" ca="1" si="181"/>
        <v/>
      </c>
      <c r="T301" s="971" t="str">
        <f t="shared" ca="1" si="181"/>
        <v/>
      </c>
      <c r="U301" s="971" t="str">
        <f t="shared" ca="1" si="181"/>
        <v/>
      </c>
      <c r="V301" s="971" t="str">
        <f t="shared" ca="1" si="181"/>
        <v/>
      </c>
      <c r="W301" s="971" t="str">
        <f t="shared" ca="1" si="181"/>
        <v/>
      </c>
      <c r="X301" s="971" t="str">
        <f t="shared" ca="1" si="181"/>
        <v/>
      </c>
      <c r="Y301" s="971" t="str">
        <f t="shared" ca="1" si="181"/>
        <v/>
      </c>
      <c r="Z301" s="971" t="str">
        <f t="shared" ca="1" si="181"/>
        <v/>
      </c>
      <c r="AA301" s="971" t="str">
        <f t="shared" ca="1" si="181"/>
        <v/>
      </c>
      <c r="AB301" s="971" t="str">
        <f t="shared" ca="1" si="181"/>
        <v/>
      </c>
      <c r="AC301" s="971" t="str">
        <f t="shared" ca="1" si="181"/>
        <v/>
      </c>
      <c r="AD301" s="971" t="str">
        <f t="shared" ca="1" si="181"/>
        <v/>
      </c>
      <c r="AE301" s="971" t="str">
        <f t="shared" ca="1" si="181"/>
        <v/>
      </c>
      <c r="AF301" s="971" t="str">
        <f t="shared" ca="1" si="181"/>
        <v/>
      </c>
      <c r="AG301" s="971" t="str">
        <f t="shared" ca="1" si="181"/>
        <v/>
      </c>
      <c r="AH301" s="971" t="str">
        <f t="shared" ca="1" si="181"/>
        <v/>
      </c>
      <c r="AI301" s="971" t="str">
        <f t="shared" ca="1" si="181"/>
        <v/>
      </c>
      <c r="AJ301" s="971" t="str">
        <f t="shared" ca="1" si="181"/>
        <v/>
      </c>
      <c r="AK301" s="971" t="str">
        <f t="shared" ca="1" si="181"/>
        <v/>
      </c>
      <c r="AL301" s="971" t="str">
        <f t="shared" ca="1" si="181"/>
        <v/>
      </c>
      <c r="AM301" s="971" t="str">
        <f t="shared" ca="1" si="181"/>
        <v/>
      </c>
      <c r="AN301" s="971" t="str">
        <f t="shared" ca="1" si="181"/>
        <v/>
      </c>
      <c r="AO301" s="971" t="str">
        <f t="shared" ca="1" si="181"/>
        <v/>
      </c>
      <c r="AP301" s="971" t="str">
        <f t="shared" ca="1" si="181"/>
        <v/>
      </c>
      <c r="AQ301" s="971" t="str">
        <f t="shared" ca="1" si="181"/>
        <v/>
      </c>
      <c r="AR301" s="971" t="str">
        <f t="shared" ca="1" si="181"/>
        <v/>
      </c>
      <c r="AS301" s="971" t="str">
        <f t="shared" ca="1" si="181"/>
        <v/>
      </c>
      <c r="AT301" s="971" t="str">
        <f t="shared" ca="1" si="181"/>
        <v/>
      </c>
      <c r="AU301" s="971" t="str">
        <f t="shared" ca="1" si="181"/>
        <v/>
      </c>
      <c r="AV301" s="971" t="str">
        <f t="shared" ca="1" si="181"/>
        <v/>
      </c>
      <c r="AW301" s="971" t="str">
        <f t="shared" ca="1" si="181"/>
        <v/>
      </c>
      <c r="AX301" s="971" t="str">
        <f t="shared" ca="1" si="181"/>
        <v/>
      </c>
      <c r="AY301" s="971" t="str">
        <f t="shared" ca="1" si="181"/>
        <v/>
      </c>
      <c r="AZ301" s="971" t="str">
        <f t="shared" ca="1" si="181"/>
        <v/>
      </c>
      <c r="BA301" s="971" t="str">
        <f t="shared" ca="1" si="181"/>
        <v/>
      </c>
      <c r="BB301" s="971" t="str">
        <f t="shared" ca="1" si="181"/>
        <v/>
      </c>
    </row>
    <row r="302" spans="1:242" hidden="1">
      <c r="A302" s="967">
        <v>56</v>
      </c>
      <c r="B302" s="1345"/>
      <c r="C302" s="1034" t="s">
        <v>460</v>
      </c>
      <c r="D302" s="1035"/>
      <c r="E302" s="971" t="str">
        <f ca="1">E279</f>
        <v/>
      </c>
      <c r="F302" s="971" t="str">
        <f t="shared" ref="F302:BB302" ca="1" si="182">F279</f>
        <v/>
      </c>
      <c r="G302" s="971" t="str">
        <f t="shared" ca="1" si="182"/>
        <v/>
      </c>
      <c r="H302" s="971" t="str">
        <f t="shared" ca="1" si="182"/>
        <v/>
      </c>
      <c r="I302" s="971" t="str">
        <f t="shared" ca="1" si="182"/>
        <v/>
      </c>
      <c r="J302" s="971" t="str">
        <f t="shared" ca="1" si="182"/>
        <v/>
      </c>
      <c r="K302" s="971" t="str">
        <f t="shared" ca="1" si="182"/>
        <v/>
      </c>
      <c r="L302" s="971" t="str">
        <f t="shared" ca="1" si="182"/>
        <v/>
      </c>
      <c r="M302" s="971" t="str">
        <f t="shared" ca="1" si="182"/>
        <v/>
      </c>
      <c r="N302" s="971" t="str">
        <f t="shared" ca="1" si="182"/>
        <v/>
      </c>
      <c r="O302" s="971" t="str">
        <f t="shared" ca="1" si="182"/>
        <v/>
      </c>
      <c r="P302" s="971" t="str">
        <f t="shared" ca="1" si="182"/>
        <v/>
      </c>
      <c r="Q302" s="971" t="str">
        <f t="shared" ca="1" si="182"/>
        <v/>
      </c>
      <c r="R302" s="971" t="str">
        <f t="shared" ca="1" si="182"/>
        <v/>
      </c>
      <c r="S302" s="971" t="str">
        <f t="shared" ca="1" si="182"/>
        <v/>
      </c>
      <c r="T302" s="971" t="str">
        <f t="shared" ca="1" si="182"/>
        <v/>
      </c>
      <c r="U302" s="971" t="str">
        <f t="shared" ca="1" si="182"/>
        <v/>
      </c>
      <c r="V302" s="971" t="str">
        <f t="shared" ca="1" si="182"/>
        <v/>
      </c>
      <c r="W302" s="971" t="str">
        <f t="shared" ca="1" si="182"/>
        <v/>
      </c>
      <c r="X302" s="971" t="str">
        <f t="shared" ca="1" si="182"/>
        <v/>
      </c>
      <c r="Y302" s="971" t="str">
        <f t="shared" ca="1" si="182"/>
        <v/>
      </c>
      <c r="Z302" s="971" t="str">
        <f t="shared" ca="1" si="182"/>
        <v/>
      </c>
      <c r="AA302" s="971" t="str">
        <f t="shared" ca="1" si="182"/>
        <v/>
      </c>
      <c r="AB302" s="971" t="str">
        <f t="shared" ca="1" si="182"/>
        <v/>
      </c>
      <c r="AC302" s="971" t="str">
        <f t="shared" ca="1" si="182"/>
        <v/>
      </c>
      <c r="AD302" s="971" t="str">
        <f t="shared" ca="1" si="182"/>
        <v/>
      </c>
      <c r="AE302" s="971" t="str">
        <f t="shared" ca="1" si="182"/>
        <v/>
      </c>
      <c r="AF302" s="971" t="str">
        <f t="shared" ca="1" si="182"/>
        <v/>
      </c>
      <c r="AG302" s="971" t="str">
        <f t="shared" ca="1" si="182"/>
        <v/>
      </c>
      <c r="AH302" s="971" t="str">
        <f t="shared" ca="1" si="182"/>
        <v/>
      </c>
      <c r="AI302" s="971" t="str">
        <f t="shared" ca="1" si="182"/>
        <v/>
      </c>
      <c r="AJ302" s="971" t="str">
        <f t="shared" ca="1" si="182"/>
        <v/>
      </c>
      <c r="AK302" s="971" t="str">
        <f t="shared" ca="1" si="182"/>
        <v/>
      </c>
      <c r="AL302" s="971" t="str">
        <f t="shared" ca="1" si="182"/>
        <v/>
      </c>
      <c r="AM302" s="971" t="str">
        <f t="shared" ca="1" si="182"/>
        <v/>
      </c>
      <c r="AN302" s="971" t="str">
        <f t="shared" ca="1" si="182"/>
        <v/>
      </c>
      <c r="AO302" s="971" t="str">
        <f t="shared" ca="1" si="182"/>
        <v/>
      </c>
      <c r="AP302" s="971" t="str">
        <f t="shared" ca="1" si="182"/>
        <v/>
      </c>
      <c r="AQ302" s="971" t="str">
        <f t="shared" ca="1" si="182"/>
        <v/>
      </c>
      <c r="AR302" s="971" t="str">
        <f t="shared" ca="1" si="182"/>
        <v/>
      </c>
      <c r="AS302" s="971" t="str">
        <f t="shared" ca="1" si="182"/>
        <v/>
      </c>
      <c r="AT302" s="971" t="str">
        <f t="shared" ca="1" si="182"/>
        <v/>
      </c>
      <c r="AU302" s="971" t="str">
        <f t="shared" ca="1" si="182"/>
        <v/>
      </c>
      <c r="AV302" s="971" t="str">
        <f t="shared" ca="1" si="182"/>
        <v/>
      </c>
      <c r="AW302" s="971" t="str">
        <f t="shared" ca="1" si="182"/>
        <v/>
      </c>
      <c r="AX302" s="971" t="str">
        <f t="shared" ca="1" si="182"/>
        <v/>
      </c>
      <c r="AY302" s="971" t="str">
        <f t="shared" ca="1" si="182"/>
        <v/>
      </c>
      <c r="AZ302" s="971" t="str">
        <f t="shared" ca="1" si="182"/>
        <v/>
      </c>
      <c r="BA302" s="971" t="str">
        <f t="shared" ca="1" si="182"/>
        <v/>
      </c>
      <c r="BB302" s="971" t="str">
        <f t="shared" ca="1" si="182"/>
        <v/>
      </c>
    </row>
    <row r="303" spans="1:242" ht="18.600000000000001" hidden="1" thickBot="1">
      <c r="A303" s="967">
        <v>57</v>
      </c>
      <c r="B303" s="1346"/>
      <c r="C303" s="1036" t="s">
        <v>461</v>
      </c>
      <c r="D303" s="1037"/>
      <c r="E303" s="973" t="str">
        <f ca="1">E291</f>
        <v/>
      </c>
      <c r="F303" s="973" t="str">
        <f t="shared" ref="F303:BB303" ca="1" si="183">F291</f>
        <v/>
      </c>
      <c r="G303" s="973" t="str">
        <f t="shared" ca="1" si="183"/>
        <v/>
      </c>
      <c r="H303" s="973" t="str">
        <f t="shared" ca="1" si="183"/>
        <v/>
      </c>
      <c r="I303" s="973" t="str">
        <f t="shared" ca="1" si="183"/>
        <v/>
      </c>
      <c r="J303" s="973" t="str">
        <f t="shared" ca="1" si="183"/>
        <v/>
      </c>
      <c r="K303" s="973" t="str">
        <f t="shared" ca="1" si="183"/>
        <v/>
      </c>
      <c r="L303" s="973" t="str">
        <f t="shared" ca="1" si="183"/>
        <v/>
      </c>
      <c r="M303" s="973" t="str">
        <f t="shared" ca="1" si="183"/>
        <v/>
      </c>
      <c r="N303" s="973" t="str">
        <f t="shared" ca="1" si="183"/>
        <v/>
      </c>
      <c r="O303" s="973" t="str">
        <f t="shared" ca="1" si="183"/>
        <v/>
      </c>
      <c r="P303" s="973" t="str">
        <f t="shared" ca="1" si="183"/>
        <v/>
      </c>
      <c r="Q303" s="973" t="str">
        <f t="shared" ca="1" si="183"/>
        <v/>
      </c>
      <c r="R303" s="973" t="str">
        <f t="shared" ca="1" si="183"/>
        <v/>
      </c>
      <c r="S303" s="973" t="str">
        <f t="shared" ca="1" si="183"/>
        <v/>
      </c>
      <c r="T303" s="973" t="str">
        <f t="shared" ca="1" si="183"/>
        <v/>
      </c>
      <c r="U303" s="973" t="str">
        <f t="shared" ca="1" si="183"/>
        <v/>
      </c>
      <c r="V303" s="973" t="str">
        <f t="shared" ca="1" si="183"/>
        <v/>
      </c>
      <c r="W303" s="973" t="str">
        <f t="shared" ca="1" si="183"/>
        <v/>
      </c>
      <c r="X303" s="973" t="str">
        <f t="shared" ca="1" si="183"/>
        <v/>
      </c>
      <c r="Y303" s="973" t="str">
        <f t="shared" ca="1" si="183"/>
        <v/>
      </c>
      <c r="Z303" s="973" t="str">
        <f t="shared" ca="1" si="183"/>
        <v/>
      </c>
      <c r="AA303" s="973" t="str">
        <f t="shared" ca="1" si="183"/>
        <v/>
      </c>
      <c r="AB303" s="973" t="str">
        <f t="shared" ca="1" si="183"/>
        <v/>
      </c>
      <c r="AC303" s="973" t="str">
        <f t="shared" ca="1" si="183"/>
        <v/>
      </c>
      <c r="AD303" s="973" t="str">
        <f t="shared" ca="1" si="183"/>
        <v/>
      </c>
      <c r="AE303" s="973" t="str">
        <f t="shared" ca="1" si="183"/>
        <v/>
      </c>
      <c r="AF303" s="973" t="str">
        <f t="shared" ca="1" si="183"/>
        <v/>
      </c>
      <c r="AG303" s="973" t="str">
        <f t="shared" ca="1" si="183"/>
        <v/>
      </c>
      <c r="AH303" s="973" t="str">
        <f t="shared" ca="1" si="183"/>
        <v/>
      </c>
      <c r="AI303" s="973" t="str">
        <f t="shared" ca="1" si="183"/>
        <v/>
      </c>
      <c r="AJ303" s="973" t="str">
        <f t="shared" ca="1" si="183"/>
        <v/>
      </c>
      <c r="AK303" s="973" t="str">
        <f t="shared" ca="1" si="183"/>
        <v/>
      </c>
      <c r="AL303" s="973" t="str">
        <f t="shared" ca="1" si="183"/>
        <v/>
      </c>
      <c r="AM303" s="973" t="str">
        <f t="shared" ca="1" si="183"/>
        <v/>
      </c>
      <c r="AN303" s="973" t="str">
        <f t="shared" ca="1" si="183"/>
        <v/>
      </c>
      <c r="AO303" s="973" t="str">
        <f t="shared" ca="1" si="183"/>
        <v/>
      </c>
      <c r="AP303" s="973" t="str">
        <f t="shared" ca="1" si="183"/>
        <v/>
      </c>
      <c r="AQ303" s="973" t="str">
        <f t="shared" ca="1" si="183"/>
        <v/>
      </c>
      <c r="AR303" s="973" t="str">
        <f t="shared" ca="1" si="183"/>
        <v/>
      </c>
      <c r="AS303" s="973" t="str">
        <f t="shared" ca="1" si="183"/>
        <v/>
      </c>
      <c r="AT303" s="973" t="str">
        <f t="shared" ca="1" si="183"/>
        <v/>
      </c>
      <c r="AU303" s="973" t="str">
        <f t="shared" ca="1" si="183"/>
        <v/>
      </c>
      <c r="AV303" s="973" t="str">
        <f t="shared" ca="1" si="183"/>
        <v/>
      </c>
      <c r="AW303" s="973" t="str">
        <f t="shared" ca="1" si="183"/>
        <v/>
      </c>
      <c r="AX303" s="973" t="str">
        <f t="shared" ca="1" si="183"/>
        <v/>
      </c>
      <c r="AY303" s="973" t="str">
        <f t="shared" ca="1" si="183"/>
        <v/>
      </c>
      <c r="AZ303" s="973" t="str">
        <f t="shared" ca="1" si="183"/>
        <v/>
      </c>
      <c r="BA303" s="973" t="str">
        <f t="shared" ca="1" si="183"/>
        <v/>
      </c>
      <c r="BB303" s="973" t="str">
        <f t="shared" ca="1" si="183"/>
        <v/>
      </c>
    </row>
    <row r="304" spans="1:242" hidden="1">
      <c r="A304" s="967">
        <v>58</v>
      </c>
      <c r="B304" s="1344" t="s">
        <v>645</v>
      </c>
      <c r="C304" s="1032" t="s">
        <v>458</v>
      </c>
      <c r="D304" s="1033"/>
      <c r="E304" s="969" t="str">
        <f t="shared" ref="E304:AJ304" ca="1" si="184">OFFSET(A1_原単位2026,9,E247+2)</f>
        <v/>
      </c>
      <c r="F304" s="969" t="str">
        <f t="shared" ca="1" si="184"/>
        <v/>
      </c>
      <c r="G304" s="969" t="str">
        <f t="shared" ca="1" si="184"/>
        <v/>
      </c>
      <c r="H304" s="969" t="str">
        <f t="shared" ca="1" si="184"/>
        <v/>
      </c>
      <c r="I304" s="969" t="str">
        <f t="shared" ca="1" si="184"/>
        <v/>
      </c>
      <c r="J304" s="969" t="str">
        <f t="shared" ca="1" si="184"/>
        <v/>
      </c>
      <c r="K304" s="969" t="str">
        <f t="shared" ca="1" si="184"/>
        <v/>
      </c>
      <c r="L304" s="969" t="str">
        <f t="shared" ca="1" si="184"/>
        <v/>
      </c>
      <c r="M304" s="969" t="str">
        <f t="shared" ca="1" si="184"/>
        <v/>
      </c>
      <c r="N304" s="969" t="str">
        <f t="shared" ca="1" si="184"/>
        <v/>
      </c>
      <c r="O304" s="969" t="str">
        <f t="shared" ca="1" si="184"/>
        <v/>
      </c>
      <c r="P304" s="969" t="str">
        <f t="shared" ca="1" si="184"/>
        <v/>
      </c>
      <c r="Q304" s="969" t="str">
        <f t="shared" ca="1" si="184"/>
        <v/>
      </c>
      <c r="R304" s="969" t="str">
        <f t="shared" ca="1" si="184"/>
        <v/>
      </c>
      <c r="S304" s="969" t="str">
        <f t="shared" ca="1" si="184"/>
        <v/>
      </c>
      <c r="T304" s="969" t="str">
        <f t="shared" ca="1" si="184"/>
        <v/>
      </c>
      <c r="U304" s="969" t="str">
        <f t="shared" ca="1" si="184"/>
        <v/>
      </c>
      <c r="V304" s="969" t="str">
        <f t="shared" ca="1" si="184"/>
        <v/>
      </c>
      <c r="W304" s="969" t="str">
        <f t="shared" ca="1" si="184"/>
        <v/>
      </c>
      <c r="X304" s="969" t="str">
        <f t="shared" ca="1" si="184"/>
        <v/>
      </c>
      <c r="Y304" s="969" t="str">
        <f t="shared" ca="1" si="184"/>
        <v/>
      </c>
      <c r="Z304" s="969" t="str">
        <f t="shared" ca="1" si="184"/>
        <v/>
      </c>
      <c r="AA304" s="969" t="str">
        <f t="shared" ca="1" si="184"/>
        <v/>
      </c>
      <c r="AB304" s="969" t="str">
        <f t="shared" ca="1" si="184"/>
        <v/>
      </c>
      <c r="AC304" s="969" t="str">
        <f t="shared" ca="1" si="184"/>
        <v/>
      </c>
      <c r="AD304" s="969" t="str">
        <f t="shared" ca="1" si="184"/>
        <v/>
      </c>
      <c r="AE304" s="969" t="str">
        <f t="shared" ca="1" si="184"/>
        <v/>
      </c>
      <c r="AF304" s="969" t="str">
        <f t="shared" ca="1" si="184"/>
        <v/>
      </c>
      <c r="AG304" s="969" t="str">
        <f t="shared" ca="1" si="184"/>
        <v/>
      </c>
      <c r="AH304" s="969" t="str">
        <f t="shared" ca="1" si="184"/>
        <v/>
      </c>
      <c r="AI304" s="969" t="str">
        <f t="shared" ca="1" si="184"/>
        <v/>
      </c>
      <c r="AJ304" s="969" t="str">
        <f t="shared" ca="1" si="184"/>
        <v/>
      </c>
      <c r="AK304" s="969" t="str">
        <f t="shared" ref="AK304:BB304" ca="1" si="185">OFFSET(A1_原単位2026,9,AK247+2)</f>
        <v/>
      </c>
      <c r="AL304" s="969" t="str">
        <f t="shared" ca="1" si="185"/>
        <v/>
      </c>
      <c r="AM304" s="969" t="str">
        <f t="shared" ca="1" si="185"/>
        <v/>
      </c>
      <c r="AN304" s="969" t="str">
        <f t="shared" ca="1" si="185"/>
        <v/>
      </c>
      <c r="AO304" s="969" t="str">
        <f t="shared" ca="1" si="185"/>
        <v/>
      </c>
      <c r="AP304" s="969" t="str">
        <f t="shared" ca="1" si="185"/>
        <v/>
      </c>
      <c r="AQ304" s="969" t="str">
        <f t="shared" ca="1" si="185"/>
        <v/>
      </c>
      <c r="AR304" s="969" t="str">
        <f t="shared" ca="1" si="185"/>
        <v/>
      </c>
      <c r="AS304" s="969" t="str">
        <f t="shared" ca="1" si="185"/>
        <v/>
      </c>
      <c r="AT304" s="969" t="str">
        <f t="shared" ca="1" si="185"/>
        <v/>
      </c>
      <c r="AU304" s="969" t="str">
        <f t="shared" ca="1" si="185"/>
        <v/>
      </c>
      <c r="AV304" s="969" t="str">
        <f t="shared" ca="1" si="185"/>
        <v/>
      </c>
      <c r="AW304" s="969" t="str">
        <f t="shared" ca="1" si="185"/>
        <v/>
      </c>
      <c r="AX304" s="969" t="str">
        <f t="shared" ca="1" si="185"/>
        <v/>
      </c>
      <c r="AY304" s="969" t="str">
        <f t="shared" ca="1" si="185"/>
        <v/>
      </c>
      <c r="AZ304" s="969" t="str">
        <f t="shared" ca="1" si="185"/>
        <v/>
      </c>
      <c r="BA304" s="969" t="str">
        <f t="shared" ca="1" si="185"/>
        <v/>
      </c>
      <c r="BB304" s="969" t="str">
        <f t="shared" ca="1" si="185"/>
        <v/>
      </c>
    </row>
    <row r="305" spans="1:242" hidden="1">
      <c r="A305" s="967">
        <v>59</v>
      </c>
      <c r="B305" s="1345"/>
      <c r="C305" s="1034" t="s">
        <v>459</v>
      </c>
      <c r="D305" s="1035"/>
      <c r="E305" s="971" t="str">
        <f t="shared" ref="E305:AJ305" ca="1" si="186">OFFSET(A1_原単位2026,9+12,E247+2)</f>
        <v/>
      </c>
      <c r="F305" s="971" t="str">
        <f t="shared" ca="1" si="186"/>
        <v/>
      </c>
      <c r="G305" s="971" t="str">
        <f t="shared" ca="1" si="186"/>
        <v/>
      </c>
      <c r="H305" s="971" t="str">
        <f t="shared" ca="1" si="186"/>
        <v/>
      </c>
      <c r="I305" s="971" t="str">
        <f t="shared" ca="1" si="186"/>
        <v/>
      </c>
      <c r="J305" s="971" t="str">
        <f t="shared" ca="1" si="186"/>
        <v/>
      </c>
      <c r="K305" s="971" t="str">
        <f t="shared" ca="1" si="186"/>
        <v/>
      </c>
      <c r="L305" s="971" t="str">
        <f t="shared" ca="1" si="186"/>
        <v/>
      </c>
      <c r="M305" s="971" t="str">
        <f t="shared" ca="1" si="186"/>
        <v/>
      </c>
      <c r="N305" s="971" t="str">
        <f t="shared" ca="1" si="186"/>
        <v/>
      </c>
      <c r="O305" s="971" t="str">
        <f t="shared" ca="1" si="186"/>
        <v/>
      </c>
      <c r="P305" s="971" t="str">
        <f t="shared" ca="1" si="186"/>
        <v/>
      </c>
      <c r="Q305" s="971" t="str">
        <f t="shared" ca="1" si="186"/>
        <v/>
      </c>
      <c r="R305" s="971" t="str">
        <f t="shared" ca="1" si="186"/>
        <v/>
      </c>
      <c r="S305" s="971" t="str">
        <f t="shared" ca="1" si="186"/>
        <v/>
      </c>
      <c r="T305" s="971" t="str">
        <f t="shared" ca="1" si="186"/>
        <v/>
      </c>
      <c r="U305" s="971" t="str">
        <f t="shared" ca="1" si="186"/>
        <v/>
      </c>
      <c r="V305" s="971" t="str">
        <f t="shared" ca="1" si="186"/>
        <v/>
      </c>
      <c r="W305" s="971" t="str">
        <f t="shared" ca="1" si="186"/>
        <v/>
      </c>
      <c r="X305" s="971" t="str">
        <f t="shared" ca="1" si="186"/>
        <v/>
      </c>
      <c r="Y305" s="971" t="str">
        <f t="shared" ca="1" si="186"/>
        <v/>
      </c>
      <c r="Z305" s="971" t="str">
        <f t="shared" ca="1" si="186"/>
        <v/>
      </c>
      <c r="AA305" s="971" t="str">
        <f t="shared" ca="1" si="186"/>
        <v/>
      </c>
      <c r="AB305" s="971" t="str">
        <f t="shared" ca="1" si="186"/>
        <v/>
      </c>
      <c r="AC305" s="971" t="str">
        <f t="shared" ca="1" si="186"/>
        <v/>
      </c>
      <c r="AD305" s="971" t="str">
        <f t="shared" ca="1" si="186"/>
        <v/>
      </c>
      <c r="AE305" s="971" t="str">
        <f t="shared" ca="1" si="186"/>
        <v/>
      </c>
      <c r="AF305" s="971" t="str">
        <f t="shared" ca="1" si="186"/>
        <v/>
      </c>
      <c r="AG305" s="971" t="str">
        <f t="shared" ca="1" si="186"/>
        <v/>
      </c>
      <c r="AH305" s="971" t="str">
        <f t="shared" ca="1" si="186"/>
        <v/>
      </c>
      <c r="AI305" s="971" t="str">
        <f t="shared" ca="1" si="186"/>
        <v/>
      </c>
      <c r="AJ305" s="971" t="str">
        <f t="shared" ca="1" si="186"/>
        <v/>
      </c>
      <c r="AK305" s="971" t="str">
        <f t="shared" ref="AK305:BB305" ca="1" si="187">OFFSET(A1_原単位2026,9+12,AK247+2)</f>
        <v/>
      </c>
      <c r="AL305" s="971" t="str">
        <f t="shared" ca="1" si="187"/>
        <v/>
      </c>
      <c r="AM305" s="971" t="str">
        <f t="shared" ca="1" si="187"/>
        <v/>
      </c>
      <c r="AN305" s="971" t="str">
        <f t="shared" ca="1" si="187"/>
        <v/>
      </c>
      <c r="AO305" s="971" t="str">
        <f t="shared" ca="1" si="187"/>
        <v/>
      </c>
      <c r="AP305" s="971" t="str">
        <f t="shared" ca="1" si="187"/>
        <v/>
      </c>
      <c r="AQ305" s="971" t="str">
        <f t="shared" ca="1" si="187"/>
        <v/>
      </c>
      <c r="AR305" s="971" t="str">
        <f t="shared" ca="1" si="187"/>
        <v/>
      </c>
      <c r="AS305" s="971" t="str">
        <f t="shared" ca="1" si="187"/>
        <v/>
      </c>
      <c r="AT305" s="971" t="str">
        <f t="shared" ca="1" si="187"/>
        <v/>
      </c>
      <c r="AU305" s="971" t="str">
        <f t="shared" ca="1" si="187"/>
        <v/>
      </c>
      <c r="AV305" s="971" t="str">
        <f t="shared" ca="1" si="187"/>
        <v/>
      </c>
      <c r="AW305" s="971" t="str">
        <f t="shared" ca="1" si="187"/>
        <v/>
      </c>
      <c r="AX305" s="971" t="str">
        <f t="shared" ca="1" si="187"/>
        <v/>
      </c>
      <c r="AY305" s="971" t="str">
        <f t="shared" ca="1" si="187"/>
        <v/>
      </c>
      <c r="AZ305" s="971" t="str">
        <f t="shared" ca="1" si="187"/>
        <v/>
      </c>
      <c r="BA305" s="971" t="str">
        <f t="shared" ca="1" si="187"/>
        <v/>
      </c>
      <c r="BB305" s="972" t="str">
        <f t="shared" ca="1" si="187"/>
        <v/>
      </c>
    </row>
    <row r="306" spans="1:242" hidden="1">
      <c r="A306" s="967">
        <v>60</v>
      </c>
      <c r="B306" s="1345"/>
      <c r="C306" s="1034" t="s">
        <v>460</v>
      </c>
      <c r="D306" s="1035"/>
      <c r="E306" s="971" t="str">
        <f t="shared" ref="E306:AJ306" ca="1" si="188">OFFSET(A1_原単位2026,9+24,E247+2)</f>
        <v/>
      </c>
      <c r="F306" s="971" t="str">
        <f t="shared" ca="1" si="188"/>
        <v/>
      </c>
      <c r="G306" s="971" t="str">
        <f t="shared" ca="1" si="188"/>
        <v/>
      </c>
      <c r="H306" s="971" t="str">
        <f t="shared" ca="1" si="188"/>
        <v/>
      </c>
      <c r="I306" s="971" t="str">
        <f t="shared" ca="1" si="188"/>
        <v/>
      </c>
      <c r="J306" s="971" t="str">
        <f t="shared" ca="1" si="188"/>
        <v/>
      </c>
      <c r="K306" s="971" t="str">
        <f t="shared" ca="1" si="188"/>
        <v/>
      </c>
      <c r="L306" s="971" t="str">
        <f t="shared" ca="1" si="188"/>
        <v/>
      </c>
      <c r="M306" s="971" t="str">
        <f t="shared" ca="1" si="188"/>
        <v/>
      </c>
      <c r="N306" s="971" t="str">
        <f t="shared" ca="1" si="188"/>
        <v/>
      </c>
      <c r="O306" s="971" t="str">
        <f t="shared" ca="1" si="188"/>
        <v/>
      </c>
      <c r="P306" s="971" t="str">
        <f t="shared" ca="1" si="188"/>
        <v/>
      </c>
      <c r="Q306" s="971" t="str">
        <f t="shared" ca="1" si="188"/>
        <v/>
      </c>
      <c r="R306" s="971" t="str">
        <f t="shared" ca="1" si="188"/>
        <v/>
      </c>
      <c r="S306" s="971" t="str">
        <f t="shared" ca="1" si="188"/>
        <v/>
      </c>
      <c r="T306" s="971" t="str">
        <f t="shared" ca="1" si="188"/>
        <v/>
      </c>
      <c r="U306" s="971" t="str">
        <f t="shared" ca="1" si="188"/>
        <v/>
      </c>
      <c r="V306" s="971" t="str">
        <f t="shared" ca="1" si="188"/>
        <v/>
      </c>
      <c r="W306" s="971" t="str">
        <f t="shared" ca="1" si="188"/>
        <v/>
      </c>
      <c r="X306" s="971" t="str">
        <f t="shared" ca="1" si="188"/>
        <v/>
      </c>
      <c r="Y306" s="971" t="str">
        <f t="shared" ca="1" si="188"/>
        <v/>
      </c>
      <c r="Z306" s="971" t="str">
        <f t="shared" ca="1" si="188"/>
        <v/>
      </c>
      <c r="AA306" s="971" t="str">
        <f t="shared" ca="1" si="188"/>
        <v/>
      </c>
      <c r="AB306" s="971" t="str">
        <f t="shared" ca="1" si="188"/>
        <v/>
      </c>
      <c r="AC306" s="971" t="str">
        <f t="shared" ca="1" si="188"/>
        <v/>
      </c>
      <c r="AD306" s="971" t="str">
        <f t="shared" ca="1" si="188"/>
        <v/>
      </c>
      <c r="AE306" s="971" t="str">
        <f t="shared" ca="1" si="188"/>
        <v/>
      </c>
      <c r="AF306" s="971" t="str">
        <f t="shared" ca="1" si="188"/>
        <v/>
      </c>
      <c r="AG306" s="971" t="str">
        <f t="shared" ca="1" si="188"/>
        <v/>
      </c>
      <c r="AH306" s="971" t="str">
        <f t="shared" ca="1" si="188"/>
        <v/>
      </c>
      <c r="AI306" s="971" t="str">
        <f t="shared" ca="1" si="188"/>
        <v/>
      </c>
      <c r="AJ306" s="971" t="str">
        <f t="shared" ca="1" si="188"/>
        <v/>
      </c>
      <c r="AK306" s="971" t="str">
        <f t="shared" ref="AK306:BB306" ca="1" si="189">OFFSET(A1_原単位2026,9+24,AK247+2)</f>
        <v/>
      </c>
      <c r="AL306" s="971" t="str">
        <f t="shared" ca="1" si="189"/>
        <v/>
      </c>
      <c r="AM306" s="971" t="str">
        <f t="shared" ca="1" si="189"/>
        <v/>
      </c>
      <c r="AN306" s="971" t="str">
        <f t="shared" ca="1" si="189"/>
        <v/>
      </c>
      <c r="AO306" s="971" t="str">
        <f t="shared" ca="1" si="189"/>
        <v/>
      </c>
      <c r="AP306" s="971" t="str">
        <f t="shared" ca="1" si="189"/>
        <v/>
      </c>
      <c r="AQ306" s="971" t="str">
        <f t="shared" ca="1" si="189"/>
        <v/>
      </c>
      <c r="AR306" s="971" t="str">
        <f t="shared" ca="1" si="189"/>
        <v/>
      </c>
      <c r="AS306" s="971" t="str">
        <f t="shared" ca="1" si="189"/>
        <v/>
      </c>
      <c r="AT306" s="971" t="str">
        <f t="shared" ca="1" si="189"/>
        <v/>
      </c>
      <c r="AU306" s="971" t="str">
        <f t="shared" ca="1" si="189"/>
        <v/>
      </c>
      <c r="AV306" s="971" t="str">
        <f t="shared" ca="1" si="189"/>
        <v/>
      </c>
      <c r="AW306" s="971" t="str">
        <f t="shared" ca="1" si="189"/>
        <v/>
      </c>
      <c r="AX306" s="971" t="str">
        <f t="shared" ca="1" si="189"/>
        <v/>
      </c>
      <c r="AY306" s="971" t="str">
        <f t="shared" ca="1" si="189"/>
        <v/>
      </c>
      <c r="AZ306" s="971" t="str">
        <f t="shared" ca="1" si="189"/>
        <v/>
      </c>
      <c r="BA306" s="971" t="str">
        <f t="shared" ca="1" si="189"/>
        <v/>
      </c>
      <c r="BB306" s="972" t="str">
        <f t="shared" ca="1" si="189"/>
        <v/>
      </c>
    </row>
    <row r="307" spans="1:242" ht="18.600000000000001" hidden="1" thickBot="1">
      <c r="A307" s="967">
        <v>61</v>
      </c>
      <c r="B307" s="1346"/>
      <c r="C307" s="1036" t="s">
        <v>461</v>
      </c>
      <c r="D307" s="1037"/>
      <c r="E307" s="973" t="str">
        <f t="shared" ref="E307:AJ307" ca="1" si="190">OFFSET(A1_原単位2026,9+36,E247+2)</f>
        <v/>
      </c>
      <c r="F307" s="973" t="str">
        <f t="shared" ca="1" si="190"/>
        <v/>
      </c>
      <c r="G307" s="973" t="str">
        <f t="shared" ca="1" si="190"/>
        <v/>
      </c>
      <c r="H307" s="973" t="str">
        <f t="shared" ca="1" si="190"/>
        <v/>
      </c>
      <c r="I307" s="973" t="str">
        <f t="shared" ca="1" si="190"/>
        <v/>
      </c>
      <c r="J307" s="973" t="str">
        <f t="shared" ca="1" si="190"/>
        <v/>
      </c>
      <c r="K307" s="973" t="str">
        <f t="shared" ca="1" si="190"/>
        <v/>
      </c>
      <c r="L307" s="973" t="str">
        <f t="shared" ca="1" si="190"/>
        <v/>
      </c>
      <c r="M307" s="973" t="str">
        <f t="shared" ca="1" si="190"/>
        <v/>
      </c>
      <c r="N307" s="973" t="str">
        <f t="shared" ca="1" si="190"/>
        <v/>
      </c>
      <c r="O307" s="973" t="str">
        <f t="shared" ca="1" si="190"/>
        <v/>
      </c>
      <c r="P307" s="973" t="str">
        <f t="shared" ca="1" si="190"/>
        <v/>
      </c>
      <c r="Q307" s="973" t="str">
        <f t="shared" ca="1" si="190"/>
        <v/>
      </c>
      <c r="R307" s="973" t="str">
        <f t="shared" ca="1" si="190"/>
        <v/>
      </c>
      <c r="S307" s="973" t="str">
        <f t="shared" ca="1" si="190"/>
        <v/>
      </c>
      <c r="T307" s="973" t="str">
        <f t="shared" ca="1" si="190"/>
        <v/>
      </c>
      <c r="U307" s="973" t="str">
        <f t="shared" ca="1" si="190"/>
        <v/>
      </c>
      <c r="V307" s="973" t="str">
        <f t="shared" ca="1" si="190"/>
        <v/>
      </c>
      <c r="W307" s="973" t="str">
        <f t="shared" ca="1" si="190"/>
        <v/>
      </c>
      <c r="X307" s="973" t="str">
        <f t="shared" ca="1" si="190"/>
        <v/>
      </c>
      <c r="Y307" s="973" t="str">
        <f t="shared" ca="1" si="190"/>
        <v/>
      </c>
      <c r="Z307" s="973" t="str">
        <f t="shared" ca="1" si="190"/>
        <v/>
      </c>
      <c r="AA307" s="973" t="str">
        <f t="shared" ca="1" si="190"/>
        <v/>
      </c>
      <c r="AB307" s="973" t="str">
        <f t="shared" ca="1" si="190"/>
        <v/>
      </c>
      <c r="AC307" s="973" t="str">
        <f t="shared" ca="1" si="190"/>
        <v/>
      </c>
      <c r="AD307" s="973" t="str">
        <f t="shared" ca="1" si="190"/>
        <v/>
      </c>
      <c r="AE307" s="973" t="str">
        <f t="shared" ca="1" si="190"/>
        <v/>
      </c>
      <c r="AF307" s="973" t="str">
        <f t="shared" ca="1" si="190"/>
        <v/>
      </c>
      <c r="AG307" s="973" t="str">
        <f t="shared" ca="1" si="190"/>
        <v/>
      </c>
      <c r="AH307" s="973" t="str">
        <f t="shared" ca="1" si="190"/>
        <v/>
      </c>
      <c r="AI307" s="973" t="str">
        <f t="shared" ca="1" si="190"/>
        <v/>
      </c>
      <c r="AJ307" s="973" t="str">
        <f t="shared" ca="1" si="190"/>
        <v/>
      </c>
      <c r="AK307" s="973" t="str">
        <f t="shared" ref="AK307:BB307" ca="1" si="191">OFFSET(A1_原単位2026,9+36,AK247+2)</f>
        <v/>
      </c>
      <c r="AL307" s="973" t="str">
        <f t="shared" ca="1" si="191"/>
        <v/>
      </c>
      <c r="AM307" s="973" t="str">
        <f t="shared" ca="1" si="191"/>
        <v/>
      </c>
      <c r="AN307" s="973" t="str">
        <f t="shared" ca="1" si="191"/>
        <v/>
      </c>
      <c r="AO307" s="973" t="str">
        <f t="shared" ca="1" si="191"/>
        <v/>
      </c>
      <c r="AP307" s="973" t="str">
        <f t="shared" ca="1" si="191"/>
        <v/>
      </c>
      <c r="AQ307" s="973" t="str">
        <f t="shared" ca="1" si="191"/>
        <v/>
      </c>
      <c r="AR307" s="973" t="str">
        <f t="shared" ca="1" si="191"/>
        <v/>
      </c>
      <c r="AS307" s="973" t="str">
        <f t="shared" ca="1" si="191"/>
        <v/>
      </c>
      <c r="AT307" s="973" t="str">
        <f t="shared" ca="1" si="191"/>
        <v/>
      </c>
      <c r="AU307" s="973" t="str">
        <f t="shared" ca="1" si="191"/>
        <v/>
      </c>
      <c r="AV307" s="973" t="str">
        <f t="shared" ca="1" si="191"/>
        <v/>
      </c>
      <c r="AW307" s="973" t="str">
        <f t="shared" ca="1" si="191"/>
        <v/>
      </c>
      <c r="AX307" s="973" t="str">
        <f t="shared" ca="1" si="191"/>
        <v/>
      </c>
      <c r="AY307" s="973" t="str">
        <f t="shared" ca="1" si="191"/>
        <v/>
      </c>
      <c r="AZ307" s="973" t="str">
        <f t="shared" ca="1" si="191"/>
        <v/>
      </c>
      <c r="BA307" s="973" t="str">
        <f t="shared" ca="1" si="191"/>
        <v/>
      </c>
      <c r="BB307" s="974" t="str">
        <f t="shared" ca="1" si="191"/>
        <v/>
      </c>
    </row>
    <row r="308" spans="1:242" hidden="1">
      <c r="A308" s="967">
        <v>62</v>
      </c>
      <c r="B308" s="1344" t="s">
        <v>646</v>
      </c>
      <c r="C308" s="1032" t="s">
        <v>458</v>
      </c>
      <c r="D308" s="1038"/>
      <c r="E308" s="969" t="str">
        <f ca="1">IF(AND($HE$10="",$HG$10=""),IF(AND(E300="",E252&lt;&gt;""),"&lt;"&amp;E312&amp;"&gt;要入力",IF(OR(E300=E304,E300="",E304=""),"","&lt;"&amp;E312&amp;"&gt;要修正("&amp;E300&amp;"→"&amp;E304&amp;")")),"")</f>
        <v/>
      </c>
      <c r="F308" s="969" t="str">
        <f t="shared" ref="F308:BB308" ca="1" si="192">IF(AND($HE$10="",$HG$10=""),IF(AND(F300="",F252&lt;&gt;""),"&lt;"&amp;F312&amp;"&gt;要入力",IF(OR(F300=F304,F300="",F304=""),"","&lt;"&amp;F312&amp;"&gt;要修正("&amp;F300&amp;"→"&amp;F304&amp;")")),"")</f>
        <v/>
      </c>
      <c r="G308" s="969" t="str">
        <f t="shared" ca="1" si="192"/>
        <v/>
      </c>
      <c r="H308" s="969" t="str">
        <f t="shared" ca="1" si="192"/>
        <v/>
      </c>
      <c r="I308" s="969" t="str">
        <f t="shared" ca="1" si="192"/>
        <v/>
      </c>
      <c r="J308" s="969" t="str">
        <f t="shared" ca="1" si="192"/>
        <v/>
      </c>
      <c r="K308" s="969" t="str">
        <f t="shared" ca="1" si="192"/>
        <v/>
      </c>
      <c r="L308" s="969" t="str">
        <f t="shared" ca="1" si="192"/>
        <v/>
      </c>
      <c r="M308" s="969" t="str">
        <f t="shared" ca="1" si="192"/>
        <v/>
      </c>
      <c r="N308" s="969" t="str">
        <f t="shared" ca="1" si="192"/>
        <v/>
      </c>
      <c r="O308" s="969" t="str">
        <f t="shared" ca="1" si="192"/>
        <v/>
      </c>
      <c r="P308" s="969" t="str">
        <f t="shared" ca="1" si="192"/>
        <v/>
      </c>
      <c r="Q308" s="969" t="str">
        <f t="shared" ca="1" si="192"/>
        <v/>
      </c>
      <c r="R308" s="969" t="str">
        <f t="shared" ca="1" si="192"/>
        <v/>
      </c>
      <c r="S308" s="969" t="str">
        <f t="shared" ca="1" si="192"/>
        <v/>
      </c>
      <c r="T308" s="969" t="str">
        <f t="shared" ca="1" si="192"/>
        <v/>
      </c>
      <c r="U308" s="969" t="str">
        <f t="shared" ca="1" si="192"/>
        <v/>
      </c>
      <c r="V308" s="969" t="str">
        <f t="shared" ca="1" si="192"/>
        <v/>
      </c>
      <c r="W308" s="969" t="str">
        <f t="shared" ca="1" si="192"/>
        <v/>
      </c>
      <c r="X308" s="969" t="str">
        <f t="shared" ca="1" si="192"/>
        <v/>
      </c>
      <c r="Y308" s="969" t="str">
        <f t="shared" ca="1" si="192"/>
        <v/>
      </c>
      <c r="Z308" s="969" t="str">
        <f t="shared" ca="1" si="192"/>
        <v/>
      </c>
      <c r="AA308" s="969" t="str">
        <f t="shared" ca="1" si="192"/>
        <v/>
      </c>
      <c r="AB308" s="969" t="str">
        <f t="shared" ca="1" si="192"/>
        <v/>
      </c>
      <c r="AC308" s="969" t="str">
        <f t="shared" ca="1" si="192"/>
        <v/>
      </c>
      <c r="AD308" s="969" t="str">
        <f t="shared" ca="1" si="192"/>
        <v/>
      </c>
      <c r="AE308" s="969" t="str">
        <f t="shared" ca="1" si="192"/>
        <v/>
      </c>
      <c r="AF308" s="969" t="str">
        <f t="shared" ca="1" si="192"/>
        <v/>
      </c>
      <c r="AG308" s="969" t="str">
        <f t="shared" ca="1" si="192"/>
        <v/>
      </c>
      <c r="AH308" s="969" t="str">
        <f t="shared" ca="1" si="192"/>
        <v/>
      </c>
      <c r="AI308" s="969" t="str">
        <f t="shared" ca="1" si="192"/>
        <v/>
      </c>
      <c r="AJ308" s="969" t="str">
        <f t="shared" ca="1" si="192"/>
        <v/>
      </c>
      <c r="AK308" s="969" t="str">
        <f t="shared" ca="1" si="192"/>
        <v/>
      </c>
      <c r="AL308" s="969" t="str">
        <f t="shared" ca="1" si="192"/>
        <v/>
      </c>
      <c r="AM308" s="969" t="str">
        <f t="shared" ca="1" si="192"/>
        <v/>
      </c>
      <c r="AN308" s="969" t="str">
        <f t="shared" ca="1" si="192"/>
        <v/>
      </c>
      <c r="AO308" s="969" t="str">
        <f t="shared" ca="1" si="192"/>
        <v/>
      </c>
      <c r="AP308" s="969" t="str">
        <f t="shared" ca="1" si="192"/>
        <v/>
      </c>
      <c r="AQ308" s="969" t="str">
        <f t="shared" ca="1" si="192"/>
        <v/>
      </c>
      <c r="AR308" s="969" t="str">
        <f t="shared" ca="1" si="192"/>
        <v/>
      </c>
      <c r="AS308" s="969" t="str">
        <f t="shared" ca="1" si="192"/>
        <v/>
      </c>
      <c r="AT308" s="969" t="str">
        <f t="shared" ca="1" si="192"/>
        <v/>
      </c>
      <c r="AU308" s="969" t="str">
        <f t="shared" ca="1" si="192"/>
        <v/>
      </c>
      <c r="AV308" s="969" t="str">
        <f t="shared" ca="1" si="192"/>
        <v/>
      </c>
      <c r="AW308" s="969" t="str">
        <f t="shared" ca="1" si="192"/>
        <v/>
      </c>
      <c r="AX308" s="969" t="str">
        <f t="shared" ca="1" si="192"/>
        <v/>
      </c>
      <c r="AY308" s="969" t="str">
        <f t="shared" ca="1" si="192"/>
        <v/>
      </c>
      <c r="AZ308" s="969" t="str">
        <f t="shared" ca="1" si="192"/>
        <v/>
      </c>
      <c r="BA308" s="969" t="str">
        <f t="shared" ca="1" si="192"/>
        <v/>
      </c>
      <c r="BB308" s="969" t="str">
        <f t="shared" ca="1" si="192"/>
        <v/>
      </c>
    </row>
    <row r="309" spans="1:242" hidden="1">
      <c r="A309" s="967">
        <v>63</v>
      </c>
      <c r="B309" s="1345"/>
      <c r="C309" s="1034" t="s">
        <v>459</v>
      </c>
      <c r="D309" s="1039"/>
      <c r="E309" s="971" t="str">
        <f ca="1">IF(AND($HE$10="",$HG$10=""),IF(AND(E301="",E264&lt;&gt;""),"&lt;"&amp;E313&amp;"&gt;要入力",IF(OR(E301=E305,E301="",E305=""),"","&lt;"&amp;E313&amp;"&gt;要修正("&amp;E301&amp;"→"&amp;E305&amp;")")),"")</f>
        <v/>
      </c>
      <c r="F309" s="971" t="str">
        <f t="shared" ref="F309:BB309" ca="1" si="193">IF(AND($HE$10="",$HG$10=""),IF(AND(F301="",F264&lt;&gt;""),"&lt;"&amp;F313&amp;"&gt;要入力",IF(OR(F301=F305,F301="",F305=""),"","&lt;"&amp;F313&amp;"&gt;要修正("&amp;F301&amp;"→"&amp;F305&amp;")")),"")</f>
        <v/>
      </c>
      <c r="G309" s="971" t="str">
        <f t="shared" ca="1" si="193"/>
        <v/>
      </c>
      <c r="H309" s="971" t="str">
        <f t="shared" ca="1" si="193"/>
        <v/>
      </c>
      <c r="I309" s="971" t="str">
        <f t="shared" ca="1" si="193"/>
        <v/>
      </c>
      <c r="J309" s="971" t="str">
        <f t="shared" ca="1" si="193"/>
        <v/>
      </c>
      <c r="K309" s="971" t="str">
        <f t="shared" ca="1" si="193"/>
        <v/>
      </c>
      <c r="L309" s="971" t="str">
        <f t="shared" ca="1" si="193"/>
        <v/>
      </c>
      <c r="M309" s="971" t="str">
        <f t="shared" ca="1" si="193"/>
        <v/>
      </c>
      <c r="N309" s="971" t="str">
        <f t="shared" ca="1" si="193"/>
        <v/>
      </c>
      <c r="O309" s="971" t="str">
        <f t="shared" ca="1" si="193"/>
        <v/>
      </c>
      <c r="P309" s="971" t="str">
        <f t="shared" ca="1" si="193"/>
        <v/>
      </c>
      <c r="Q309" s="971" t="str">
        <f t="shared" ca="1" si="193"/>
        <v/>
      </c>
      <c r="R309" s="971" t="str">
        <f t="shared" ca="1" si="193"/>
        <v/>
      </c>
      <c r="S309" s="971" t="str">
        <f t="shared" ca="1" si="193"/>
        <v/>
      </c>
      <c r="T309" s="971" t="str">
        <f t="shared" ca="1" si="193"/>
        <v/>
      </c>
      <c r="U309" s="971" t="str">
        <f t="shared" ca="1" si="193"/>
        <v/>
      </c>
      <c r="V309" s="971" t="str">
        <f t="shared" ca="1" si="193"/>
        <v/>
      </c>
      <c r="W309" s="971" t="str">
        <f t="shared" ca="1" si="193"/>
        <v/>
      </c>
      <c r="X309" s="971" t="str">
        <f t="shared" ca="1" si="193"/>
        <v/>
      </c>
      <c r="Y309" s="971" t="str">
        <f t="shared" ca="1" si="193"/>
        <v/>
      </c>
      <c r="Z309" s="971" t="str">
        <f t="shared" ca="1" si="193"/>
        <v/>
      </c>
      <c r="AA309" s="971" t="str">
        <f t="shared" ca="1" si="193"/>
        <v/>
      </c>
      <c r="AB309" s="971" t="str">
        <f t="shared" ca="1" si="193"/>
        <v/>
      </c>
      <c r="AC309" s="971" t="str">
        <f t="shared" ca="1" si="193"/>
        <v/>
      </c>
      <c r="AD309" s="971" t="str">
        <f t="shared" ca="1" si="193"/>
        <v/>
      </c>
      <c r="AE309" s="971" t="str">
        <f t="shared" ca="1" si="193"/>
        <v/>
      </c>
      <c r="AF309" s="971" t="str">
        <f t="shared" ca="1" si="193"/>
        <v/>
      </c>
      <c r="AG309" s="971" t="str">
        <f t="shared" ca="1" si="193"/>
        <v/>
      </c>
      <c r="AH309" s="971" t="str">
        <f t="shared" ca="1" si="193"/>
        <v/>
      </c>
      <c r="AI309" s="971" t="str">
        <f t="shared" ca="1" si="193"/>
        <v/>
      </c>
      <c r="AJ309" s="971" t="str">
        <f t="shared" ca="1" si="193"/>
        <v/>
      </c>
      <c r="AK309" s="971" t="str">
        <f t="shared" ca="1" si="193"/>
        <v/>
      </c>
      <c r="AL309" s="971" t="str">
        <f t="shared" ca="1" si="193"/>
        <v/>
      </c>
      <c r="AM309" s="971" t="str">
        <f t="shared" ca="1" si="193"/>
        <v/>
      </c>
      <c r="AN309" s="971" t="str">
        <f t="shared" ca="1" si="193"/>
        <v/>
      </c>
      <c r="AO309" s="971" t="str">
        <f t="shared" ca="1" si="193"/>
        <v/>
      </c>
      <c r="AP309" s="971" t="str">
        <f t="shared" ca="1" si="193"/>
        <v/>
      </c>
      <c r="AQ309" s="971" t="str">
        <f t="shared" ca="1" si="193"/>
        <v/>
      </c>
      <c r="AR309" s="971" t="str">
        <f t="shared" ca="1" si="193"/>
        <v/>
      </c>
      <c r="AS309" s="971" t="str">
        <f t="shared" ca="1" si="193"/>
        <v/>
      </c>
      <c r="AT309" s="971" t="str">
        <f t="shared" ca="1" si="193"/>
        <v/>
      </c>
      <c r="AU309" s="971" t="str">
        <f t="shared" ca="1" si="193"/>
        <v/>
      </c>
      <c r="AV309" s="971" t="str">
        <f t="shared" ca="1" si="193"/>
        <v/>
      </c>
      <c r="AW309" s="971" t="str">
        <f t="shared" ca="1" si="193"/>
        <v/>
      </c>
      <c r="AX309" s="971" t="str">
        <f t="shared" ca="1" si="193"/>
        <v/>
      </c>
      <c r="AY309" s="971" t="str">
        <f t="shared" ca="1" si="193"/>
        <v/>
      </c>
      <c r="AZ309" s="971" t="str">
        <f t="shared" ca="1" si="193"/>
        <v/>
      </c>
      <c r="BA309" s="971" t="str">
        <f t="shared" ca="1" si="193"/>
        <v/>
      </c>
      <c r="BB309" s="971" t="str">
        <f t="shared" ca="1" si="193"/>
        <v/>
      </c>
    </row>
    <row r="310" spans="1:242" hidden="1">
      <c r="A310" s="967">
        <v>64</v>
      </c>
      <c r="B310" s="1345"/>
      <c r="C310" s="1034" t="s">
        <v>460</v>
      </c>
      <c r="D310" s="1039"/>
      <c r="E310" s="971" t="str">
        <f ca="1">IF(AND($HE$10="",$HG$10=""),IF(AND(E302="",E276&lt;&gt;""),"&lt;"&amp;E314&amp;"&gt;要入力",IF(OR(E302=E306,E302="",E306=""),"","&lt;"&amp;E314&amp;"&gt;要修正("&amp;E302&amp;"→"&amp;E306&amp;")")),"")</f>
        <v/>
      </c>
      <c r="F310" s="971" t="str">
        <f t="shared" ref="F310:BB310" ca="1" si="194">IF(AND($HE$10="",$HG$10=""),IF(AND(F302="",F276&lt;&gt;""),"&lt;"&amp;F314&amp;"&gt;要入力",IF(OR(F302=F306,F302="",F306=""),"","&lt;"&amp;F314&amp;"&gt;要修正("&amp;F302&amp;"→"&amp;F306&amp;")")),"")</f>
        <v/>
      </c>
      <c r="G310" s="971" t="str">
        <f t="shared" ca="1" si="194"/>
        <v/>
      </c>
      <c r="H310" s="971" t="str">
        <f t="shared" ca="1" si="194"/>
        <v/>
      </c>
      <c r="I310" s="971" t="str">
        <f t="shared" ca="1" si="194"/>
        <v/>
      </c>
      <c r="J310" s="971" t="str">
        <f t="shared" ca="1" si="194"/>
        <v/>
      </c>
      <c r="K310" s="971" t="str">
        <f t="shared" ca="1" si="194"/>
        <v/>
      </c>
      <c r="L310" s="971" t="str">
        <f t="shared" ca="1" si="194"/>
        <v/>
      </c>
      <c r="M310" s="971" t="str">
        <f t="shared" ca="1" si="194"/>
        <v/>
      </c>
      <c r="N310" s="971" t="str">
        <f t="shared" ca="1" si="194"/>
        <v/>
      </c>
      <c r="O310" s="971" t="str">
        <f t="shared" ca="1" si="194"/>
        <v/>
      </c>
      <c r="P310" s="971" t="str">
        <f t="shared" ca="1" si="194"/>
        <v/>
      </c>
      <c r="Q310" s="971" t="str">
        <f t="shared" ca="1" si="194"/>
        <v/>
      </c>
      <c r="R310" s="971" t="str">
        <f t="shared" ca="1" si="194"/>
        <v/>
      </c>
      <c r="S310" s="971" t="str">
        <f t="shared" ca="1" si="194"/>
        <v/>
      </c>
      <c r="T310" s="971" t="str">
        <f t="shared" ca="1" si="194"/>
        <v/>
      </c>
      <c r="U310" s="971" t="str">
        <f t="shared" ca="1" si="194"/>
        <v/>
      </c>
      <c r="V310" s="971" t="str">
        <f t="shared" ca="1" si="194"/>
        <v/>
      </c>
      <c r="W310" s="971" t="str">
        <f t="shared" ca="1" si="194"/>
        <v/>
      </c>
      <c r="X310" s="971" t="str">
        <f t="shared" ca="1" si="194"/>
        <v/>
      </c>
      <c r="Y310" s="971" t="str">
        <f t="shared" ca="1" si="194"/>
        <v/>
      </c>
      <c r="Z310" s="971" t="str">
        <f t="shared" ca="1" si="194"/>
        <v/>
      </c>
      <c r="AA310" s="971" t="str">
        <f t="shared" ca="1" si="194"/>
        <v/>
      </c>
      <c r="AB310" s="971" t="str">
        <f t="shared" ca="1" si="194"/>
        <v/>
      </c>
      <c r="AC310" s="971" t="str">
        <f t="shared" ca="1" si="194"/>
        <v/>
      </c>
      <c r="AD310" s="971" t="str">
        <f t="shared" ca="1" si="194"/>
        <v/>
      </c>
      <c r="AE310" s="971" t="str">
        <f t="shared" ca="1" si="194"/>
        <v/>
      </c>
      <c r="AF310" s="971" t="str">
        <f t="shared" ca="1" si="194"/>
        <v/>
      </c>
      <c r="AG310" s="971" t="str">
        <f t="shared" ca="1" si="194"/>
        <v/>
      </c>
      <c r="AH310" s="971" t="str">
        <f t="shared" ca="1" si="194"/>
        <v/>
      </c>
      <c r="AI310" s="971" t="str">
        <f t="shared" ca="1" si="194"/>
        <v/>
      </c>
      <c r="AJ310" s="971" t="str">
        <f t="shared" ca="1" si="194"/>
        <v/>
      </c>
      <c r="AK310" s="971" t="str">
        <f t="shared" ca="1" si="194"/>
        <v/>
      </c>
      <c r="AL310" s="971" t="str">
        <f t="shared" ca="1" si="194"/>
        <v/>
      </c>
      <c r="AM310" s="971" t="str">
        <f t="shared" ca="1" si="194"/>
        <v/>
      </c>
      <c r="AN310" s="971" t="str">
        <f t="shared" ca="1" si="194"/>
        <v/>
      </c>
      <c r="AO310" s="971" t="str">
        <f t="shared" ca="1" si="194"/>
        <v/>
      </c>
      <c r="AP310" s="971" t="str">
        <f t="shared" ca="1" si="194"/>
        <v/>
      </c>
      <c r="AQ310" s="971" t="str">
        <f t="shared" ca="1" si="194"/>
        <v/>
      </c>
      <c r="AR310" s="971" t="str">
        <f t="shared" ca="1" si="194"/>
        <v/>
      </c>
      <c r="AS310" s="971" t="str">
        <f t="shared" ca="1" si="194"/>
        <v/>
      </c>
      <c r="AT310" s="971" t="str">
        <f t="shared" ca="1" si="194"/>
        <v/>
      </c>
      <c r="AU310" s="971" t="str">
        <f t="shared" ca="1" si="194"/>
        <v/>
      </c>
      <c r="AV310" s="971" t="str">
        <f t="shared" ca="1" si="194"/>
        <v/>
      </c>
      <c r="AW310" s="971" t="str">
        <f t="shared" ca="1" si="194"/>
        <v/>
      </c>
      <c r="AX310" s="971" t="str">
        <f t="shared" ca="1" si="194"/>
        <v/>
      </c>
      <c r="AY310" s="971" t="str">
        <f t="shared" ca="1" si="194"/>
        <v/>
      </c>
      <c r="AZ310" s="971" t="str">
        <f t="shared" ca="1" si="194"/>
        <v/>
      </c>
      <c r="BA310" s="971" t="str">
        <f t="shared" ca="1" si="194"/>
        <v/>
      </c>
      <c r="BB310" s="971" t="str">
        <f t="shared" ca="1" si="194"/>
        <v/>
      </c>
    </row>
    <row r="311" spans="1:242" ht="18.600000000000001" hidden="1" thickBot="1">
      <c r="A311" s="967">
        <v>65</v>
      </c>
      <c r="B311" s="1346"/>
      <c r="C311" s="1036" t="s">
        <v>461</v>
      </c>
      <c r="D311" s="1040"/>
      <c r="E311" s="973" t="str">
        <f ca="1">IF(AND($HE$10="",$HG$10=""),IF(AND(E303="",E288&lt;&gt;""),"&lt;"&amp;E315&amp;"&gt;要入力",IF(OR(E303=E307,E303="",E307=""),"","&lt;"&amp;E315&amp;"&gt;要修正("&amp;E303&amp;"→"&amp;E307&amp;")")),"")</f>
        <v/>
      </c>
      <c r="F311" s="973" t="str">
        <f t="shared" ref="F311:BB311" ca="1" si="195">IF(AND($HE$10="",$HG$10=""),IF(AND(F303="",F288&lt;&gt;""),"&lt;"&amp;F315&amp;"&gt;要入力",IF(OR(F303=F307,F303="",F307=""),"","&lt;"&amp;F315&amp;"&gt;要修正("&amp;F303&amp;"→"&amp;F307&amp;")")),"")</f>
        <v/>
      </c>
      <c r="G311" s="973" t="str">
        <f t="shared" ca="1" si="195"/>
        <v/>
      </c>
      <c r="H311" s="973" t="str">
        <f t="shared" ca="1" si="195"/>
        <v/>
      </c>
      <c r="I311" s="973" t="str">
        <f t="shared" ca="1" si="195"/>
        <v/>
      </c>
      <c r="J311" s="973" t="str">
        <f t="shared" ca="1" si="195"/>
        <v/>
      </c>
      <c r="K311" s="973" t="str">
        <f t="shared" ca="1" si="195"/>
        <v/>
      </c>
      <c r="L311" s="973" t="str">
        <f t="shared" ca="1" si="195"/>
        <v/>
      </c>
      <c r="M311" s="973" t="str">
        <f t="shared" ca="1" si="195"/>
        <v/>
      </c>
      <c r="N311" s="973" t="str">
        <f t="shared" ca="1" si="195"/>
        <v/>
      </c>
      <c r="O311" s="973" t="str">
        <f t="shared" ca="1" si="195"/>
        <v/>
      </c>
      <c r="P311" s="973" t="str">
        <f t="shared" ca="1" si="195"/>
        <v/>
      </c>
      <c r="Q311" s="973" t="str">
        <f t="shared" ca="1" si="195"/>
        <v/>
      </c>
      <c r="R311" s="973" t="str">
        <f t="shared" ca="1" si="195"/>
        <v/>
      </c>
      <c r="S311" s="973" t="str">
        <f t="shared" ca="1" si="195"/>
        <v/>
      </c>
      <c r="T311" s="973" t="str">
        <f t="shared" ca="1" si="195"/>
        <v/>
      </c>
      <c r="U311" s="973" t="str">
        <f t="shared" ca="1" si="195"/>
        <v/>
      </c>
      <c r="V311" s="973" t="str">
        <f t="shared" ca="1" si="195"/>
        <v/>
      </c>
      <c r="W311" s="973" t="str">
        <f t="shared" ca="1" si="195"/>
        <v/>
      </c>
      <c r="X311" s="973" t="str">
        <f t="shared" ca="1" si="195"/>
        <v/>
      </c>
      <c r="Y311" s="973" t="str">
        <f t="shared" ca="1" si="195"/>
        <v/>
      </c>
      <c r="Z311" s="973" t="str">
        <f t="shared" ca="1" si="195"/>
        <v/>
      </c>
      <c r="AA311" s="973" t="str">
        <f t="shared" ca="1" si="195"/>
        <v/>
      </c>
      <c r="AB311" s="973" t="str">
        <f t="shared" ca="1" si="195"/>
        <v/>
      </c>
      <c r="AC311" s="973" t="str">
        <f t="shared" ca="1" si="195"/>
        <v/>
      </c>
      <c r="AD311" s="973" t="str">
        <f t="shared" ca="1" si="195"/>
        <v/>
      </c>
      <c r="AE311" s="973" t="str">
        <f t="shared" ca="1" si="195"/>
        <v/>
      </c>
      <c r="AF311" s="973" t="str">
        <f t="shared" ca="1" si="195"/>
        <v/>
      </c>
      <c r="AG311" s="973" t="str">
        <f t="shared" ca="1" si="195"/>
        <v/>
      </c>
      <c r="AH311" s="973" t="str">
        <f t="shared" ca="1" si="195"/>
        <v/>
      </c>
      <c r="AI311" s="973" t="str">
        <f t="shared" ca="1" si="195"/>
        <v/>
      </c>
      <c r="AJ311" s="973" t="str">
        <f t="shared" ca="1" si="195"/>
        <v/>
      </c>
      <c r="AK311" s="973" t="str">
        <f t="shared" ca="1" si="195"/>
        <v/>
      </c>
      <c r="AL311" s="973" t="str">
        <f t="shared" ca="1" si="195"/>
        <v/>
      </c>
      <c r="AM311" s="973" t="str">
        <f t="shared" ca="1" si="195"/>
        <v/>
      </c>
      <c r="AN311" s="973" t="str">
        <f t="shared" ca="1" si="195"/>
        <v/>
      </c>
      <c r="AO311" s="973" t="str">
        <f t="shared" ca="1" si="195"/>
        <v/>
      </c>
      <c r="AP311" s="973" t="str">
        <f t="shared" ca="1" si="195"/>
        <v/>
      </c>
      <c r="AQ311" s="973" t="str">
        <f t="shared" ca="1" si="195"/>
        <v/>
      </c>
      <c r="AR311" s="973" t="str">
        <f t="shared" ca="1" si="195"/>
        <v/>
      </c>
      <c r="AS311" s="973" t="str">
        <f t="shared" ca="1" si="195"/>
        <v/>
      </c>
      <c r="AT311" s="973" t="str">
        <f t="shared" ca="1" si="195"/>
        <v/>
      </c>
      <c r="AU311" s="973" t="str">
        <f t="shared" ca="1" si="195"/>
        <v/>
      </c>
      <c r="AV311" s="973" t="str">
        <f t="shared" ca="1" si="195"/>
        <v/>
      </c>
      <c r="AW311" s="973" t="str">
        <f t="shared" ca="1" si="195"/>
        <v/>
      </c>
      <c r="AX311" s="973" t="str">
        <f t="shared" ca="1" si="195"/>
        <v/>
      </c>
      <c r="AY311" s="973" t="str">
        <f t="shared" ca="1" si="195"/>
        <v/>
      </c>
      <c r="AZ311" s="973" t="str">
        <f t="shared" ca="1" si="195"/>
        <v/>
      </c>
      <c r="BA311" s="973" t="str">
        <f t="shared" ca="1" si="195"/>
        <v/>
      </c>
      <c r="BB311" s="973" t="str">
        <f t="shared" ca="1" si="195"/>
        <v/>
      </c>
    </row>
    <row r="312" spans="1:242" ht="14.25" hidden="1" customHeight="1">
      <c r="B312" s="1344" t="s">
        <v>647</v>
      </c>
      <c r="C312" s="1032" t="s">
        <v>458</v>
      </c>
      <c r="D312" s="1038"/>
      <c r="E312" s="969" t="str">
        <f t="shared" ref="E312:AJ312" ca="1" si="196">IFERROR(ADDRESS(ROW(貼付け_2024実績)+99,E253+COLUMN(貼付け_2024実績),4),"")</f>
        <v/>
      </c>
      <c r="F312" s="969" t="str">
        <f t="shared" ca="1" si="196"/>
        <v/>
      </c>
      <c r="G312" s="969" t="str">
        <f t="shared" ca="1" si="196"/>
        <v/>
      </c>
      <c r="H312" s="969" t="str">
        <f t="shared" ca="1" si="196"/>
        <v/>
      </c>
      <c r="I312" s="969" t="str">
        <f t="shared" ca="1" si="196"/>
        <v/>
      </c>
      <c r="J312" s="969" t="str">
        <f t="shared" ca="1" si="196"/>
        <v/>
      </c>
      <c r="K312" s="969" t="str">
        <f t="shared" ca="1" si="196"/>
        <v/>
      </c>
      <c r="L312" s="969" t="str">
        <f t="shared" ca="1" si="196"/>
        <v/>
      </c>
      <c r="M312" s="969" t="str">
        <f t="shared" ca="1" si="196"/>
        <v/>
      </c>
      <c r="N312" s="969" t="str">
        <f t="shared" ca="1" si="196"/>
        <v/>
      </c>
      <c r="O312" s="969" t="str">
        <f t="shared" ca="1" si="196"/>
        <v/>
      </c>
      <c r="P312" s="969" t="str">
        <f t="shared" ca="1" si="196"/>
        <v/>
      </c>
      <c r="Q312" s="969" t="str">
        <f t="shared" ca="1" si="196"/>
        <v/>
      </c>
      <c r="R312" s="969" t="str">
        <f t="shared" ca="1" si="196"/>
        <v/>
      </c>
      <c r="S312" s="969" t="str">
        <f t="shared" ca="1" si="196"/>
        <v/>
      </c>
      <c r="T312" s="969" t="str">
        <f t="shared" ca="1" si="196"/>
        <v/>
      </c>
      <c r="U312" s="969" t="str">
        <f t="shared" ca="1" si="196"/>
        <v/>
      </c>
      <c r="V312" s="969" t="str">
        <f t="shared" ca="1" si="196"/>
        <v/>
      </c>
      <c r="W312" s="969" t="str">
        <f t="shared" ca="1" si="196"/>
        <v/>
      </c>
      <c r="X312" s="969" t="str">
        <f t="shared" ca="1" si="196"/>
        <v/>
      </c>
      <c r="Y312" s="969" t="str">
        <f t="shared" ca="1" si="196"/>
        <v/>
      </c>
      <c r="Z312" s="969" t="str">
        <f t="shared" ca="1" si="196"/>
        <v/>
      </c>
      <c r="AA312" s="969" t="str">
        <f t="shared" ca="1" si="196"/>
        <v/>
      </c>
      <c r="AB312" s="969" t="str">
        <f t="shared" ca="1" si="196"/>
        <v/>
      </c>
      <c r="AC312" s="969" t="str">
        <f t="shared" ca="1" si="196"/>
        <v/>
      </c>
      <c r="AD312" s="969" t="str">
        <f t="shared" ca="1" si="196"/>
        <v/>
      </c>
      <c r="AE312" s="969" t="str">
        <f t="shared" ca="1" si="196"/>
        <v/>
      </c>
      <c r="AF312" s="969" t="str">
        <f t="shared" ca="1" si="196"/>
        <v/>
      </c>
      <c r="AG312" s="969" t="str">
        <f t="shared" ca="1" si="196"/>
        <v/>
      </c>
      <c r="AH312" s="969" t="str">
        <f t="shared" ca="1" si="196"/>
        <v/>
      </c>
      <c r="AI312" s="969" t="str">
        <f t="shared" ca="1" si="196"/>
        <v/>
      </c>
      <c r="AJ312" s="969" t="str">
        <f t="shared" ca="1" si="196"/>
        <v/>
      </c>
      <c r="AK312" s="969" t="str">
        <f t="shared" ref="AK312:BB312" ca="1" si="197">IFERROR(ADDRESS(ROW(貼付け_2024実績)+99,AK253+COLUMN(貼付け_2024実績),4),"")</f>
        <v/>
      </c>
      <c r="AL312" s="969" t="str">
        <f t="shared" ca="1" si="197"/>
        <v/>
      </c>
      <c r="AM312" s="969" t="str">
        <f t="shared" ca="1" si="197"/>
        <v/>
      </c>
      <c r="AN312" s="969" t="str">
        <f t="shared" ca="1" si="197"/>
        <v/>
      </c>
      <c r="AO312" s="969" t="str">
        <f t="shared" ca="1" si="197"/>
        <v/>
      </c>
      <c r="AP312" s="969" t="str">
        <f t="shared" ca="1" si="197"/>
        <v/>
      </c>
      <c r="AQ312" s="969" t="str">
        <f t="shared" ca="1" si="197"/>
        <v/>
      </c>
      <c r="AR312" s="969" t="str">
        <f t="shared" ca="1" si="197"/>
        <v/>
      </c>
      <c r="AS312" s="969" t="str">
        <f t="shared" ca="1" si="197"/>
        <v/>
      </c>
      <c r="AT312" s="969" t="str">
        <f t="shared" ca="1" si="197"/>
        <v/>
      </c>
      <c r="AU312" s="969" t="str">
        <f t="shared" ca="1" si="197"/>
        <v/>
      </c>
      <c r="AV312" s="969" t="str">
        <f t="shared" ca="1" si="197"/>
        <v/>
      </c>
      <c r="AW312" s="969" t="str">
        <f t="shared" ca="1" si="197"/>
        <v/>
      </c>
      <c r="AX312" s="969" t="str">
        <f t="shared" ca="1" si="197"/>
        <v/>
      </c>
      <c r="AY312" s="969" t="str">
        <f t="shared" ca="1" si="197"/>
        <v/>
      </c>
      <c r="AZ312" s="969" t="str">
        <f t="shared" ca="1" si="197"/>
        <v/>
      </c>
      <c r="BA312" s="969" t="str">
        <f t="shared" ca="1" si="197"/>
        <v/>
      </c>
      <c r="BB312" s="969" t="str">
        <f t="shared" ca="1" si="197"/>
        <v/>
      </c>
    </row>
    <row r="313" spans="1:242" hidden="1">
      <c r="B313" s="1345"/>
      <c r="C313" s="1034" t="s">
        <v>459</v>
      </c>
      <c r="D313" s="1039"/>
      <c r="E313" s="971" t="str">
        <f t="shared" ref="E313:AJ313" ca="1" si="198">IFERROR(ADDRESS(ROW(貼付け_2024実績)+99,E265+COLUMN(貼付け_2024実績),4),"")</f>
        <v/>
      </c>
      <c r="F313" s="971" t="str">
        <f t="shared" ca="1" si="198"/>
        <v/>
      </c>
      <c r="G313" s="971" t="str">
        <f t="shared" ca="1" si="198"/>
        <v/>
      </c>
      <c r="H313" s="971" t="str">
        <f t="shared" ca="1" si="198"/>
        <v/>
      </c>
      <c r="I313" s="971" t="str">
        <f t="shared" ca="1" si="198"/>
        <v/>
      </c>
      <c r="J313" s="971" t="str">
        <f t="shared" ca="1" si="198"/>
        <v/>
      </c>
      <c r="K313" s="971" t="str">
        <f t="shared" ca="1" si="198"/>
        <v/>
      </c>
      <c r="L313" s="971" t="str">
        <f t="shared" ca="1" si="198"/>
        <v/>
      </c>
      <c r="M313" s="971" t="str">
        <f t="shared" ca="1" si="198"/>
        <v/>
      </c>
      <c r="N313" s="971" t="str">
        <f t="shared" ca="1" si="198"/>
        <v/>
      </c>
      <c r="O313" s="971" t="str">
        <f t="shared" ca="1" si="198"/>
        <v/>
      </c>
      <c r="P313" s="971" t="str">
        <f t="shared" ca="1" si="198"/>
        <v/>
      </c>
      <c r="Q313" s="971" t="str">
        <f t="shared" ca="1" si="198"/>
        <v/>
      </c>
      <c r="R313" s="971" t="str">
        <f t="shared" ca="1" si="198"/>
        <v/>
      </c>
      <c r="S313" s="971" t="str">
        <f t="shared" ca="1" si="198"/>
        <v/>
      </c>
      <c r="T313" s="971" t="str">
        <f t="shared" ca="1" si="198"/>
        <v/>
      </c>
      <c r="U313" s="971" t="str">
        <f t="shared" ca="1" si="198"/>
        <v/>
      </c>
      <c r="V313" s="971" t="str">
        <f t="shared" ca="1" si="198"/>
        <v/>
      </c>
      <c r="W313" s="971" t="str">
        <f t="shared" ca="1" si="198"/>
        <v/>
      </c>
      <c r="X313" s="971" t="str">
        <f t="shared" ca="1" si="198"/>
        <v/>
      </c>
      <c r="Y313" s="971" t="str">
        <f t="shared" ca="1" si="198"/>
        <v/>
      </c>
      <c r="Z313" s="971" t="str">
        <f t="shared" ca="1" si="198"/>
        <v/>
      </c>
      <c r="AA313" s="971" t="str">
        <f t="shared" ca="1" si="198"/>
        <v/>
      </c>
      <c r="AB313" s="971" t="str">
        <f t="shared" ca="1" si="198"/>
        <v/>
      </c>
      <c r="AC313" s="971" t="str">
        <f t="shared" ca="1" si="198"/>
        <v/>
      </c>
      <c r="AD313" s="971" t="str">
        <f t="shared" ca="1" si="198"/>
        <v/>
      </c>
      <c r="AE313" s="971" t="str">
        <f t="shared" ca="1" si="198"/>
        <v/>
      </c>
      <c r="AF313" s="971" t="str">
        <f t="shared" ca="1" si="198"/>
        <v/>
      </c>
      <c r="AG313" s="971" t="str">
        <f t="shared" ca="1" si="198"/>
        <v/>
      </c>
      <c r="AH313" s="971" t="str">
        <f t="shared" ca="1" si="198"/>
        <v/>
      </c>
      <c r="AI313" s="971" t="str">
        <f t="shared" ca="1" si="198"/>
        <v/>
      </c>
      <c r="AJ313" s="971" t="str">
        <f t="shared" ca="1" si="198"/>
        <v/>
      </c>
      <c r="AK313" s="971" t="str">
        <f t="shared" ref="AK313:BB313" ca="1" si="199">IFERROR(ADDRESS(ROW(貼付け_2024実績)+99,AK265+COLUMN(貼付け_2024実績),4),"")</f>
        <v/>
      </c>
      <c r="AL313" s="971" t="str">
        <f t="shared" ca="1" si="199"/>
        <v/>
      </c>
      <c r="AM313" s="971" t="str">
        <f t="shared" ca="1" si="199"/>
        <v/>
      </c>
      <c r="AN313" s="971" t="str">
        <f t="shared" ca="1" si="199"/>
        <v/>
      </c>
      <c r="AO313" s="971" t="str">
        <f t="shared" ca="1" si="199"/>
        <v/>
      </c>
      <c r="AP313" s="971" t="str">
        <f t="shared" ca="1" si="199"/>
        <v/>
      </c>
      <c r="AQ313" s="971" t="str">
        <f t="shared" ca="1" si="199"/>
        <v/>
      </c>
      <c r="AR313" s="971" t="str">
        <f t="shared" ca="1" si="199"/>
        <v/>
      </c>
      <c r="AS313" s="971" t="str">
        <f t="shared" ca="1" si="199"/>
        <v/>
      </c>
      <c r="AT313" s="971" t="str">
        <f t="shared" ca="1" si="199"/>
        <v/>
      </c>
      <c r="AU313" s="971" t="str">
        <f t="shared" ca="1" si="199"/>
        <v/>
      </c>
      <c r="AV313" s="971" t="str">
        <f t="shared" ca="1" si="199"/>
        <v/>
      </c>
      <c r="AW313" s="971" t="str">
        <f t="shared" ca="1" si="199"/>
        <v/>
      </c>
      <c r="AX313" s="971" t="str">
        <f t="shared" ca="1" si="199"/>
        <v/>
      </c>
      <c r="AY313" s="971" t="str">
        <f t="shared" ca="1" si="199"/>
        <v/>
      </c>
      <c r="AZ313" s="971" t="str">
        <f t="shared" ca="1" si="199"/>
        <v/>
      </c>
      <c r="BA313" s="971" t="str">
        <f t="shared" ca="1" si="199"/>
        <v/>
      </c>
      <c r="BB313" s="971" t="str">
        <f t="shared" ca="1" si="199"/>
        <v/>
      </c>
    </row>
    <row r="314" spans="1:242" hidden="1">
      <c r="B314" s="1345"/>
      <c r="C314" s="1034" t="s">
        <v>460</v>
      </c>
      <c r="D314" s="1039"/>
      <c r="E314" s="971" t="str">
        <f t="shared" ref="E314:AJ314" ca="1" si="200">IFERROR(ADDRESS(ROW(貼付け_2024実績)+99,E277+COLUMN(貼付け_2024実績),4),"")</f>
        <v/>
      </c>
      <c r="F314" s="971" t="str">
        <f t="shared" ca="1" si="200"/>
        <v/>
      </c>
      <c r="G314" s="971" t="str">
        <f t="shared" ca="1" si="200"/>
        <v/>
      </c>
      <c r="H314" s="971" t="str">
        <f t="shared" ca="1" si="200"/>
        <v/>
      </c>
      <c r="I314" s="971" t="str">
        <f t="shared" ca="1" si="200"/>
        <v/>
      </c>
      <c r="J314" s="971" t="str">
        <f t="shared" ca="1" si="200"/>
        <v/>
      </c>
      <c r="K314" s="971" t="str">
        <f t="shared" ca="1" si="200"/>
        <v/>
      </c>
      <c r="L314" s="971" t="str">
        <f t="shared" ca="1" si="200"/>
        <v/>
      </c>
      <c r="M314" s="971" t="str">
        <f t="shared" ca="1" si="200"/>
        <v/>
      </c>
      <c r="N314" s="971" t="str">
        <f t="shared" ca="1" si="200"/>
        <v/>
      </c>
      <c r="O314" s="971" t="str">
        <f t="shared" ca="1" si="200"/>
        <v/>
      </c>
      <c r="P314" s="971" t="str">
        <f t="shared" ca="1" si="200"/>
        <v/>
      </c>
      <c r="Q314" s="971" t="str">
        <f t="shared" ca="1" si="200"/>
        <v/>
      </c>
      <c r="R314" s="971" t="str">
        <f t="shared" ca="1" si="200"/>
        <v/>
      </c>
      <c r="S314" s="971" t="str">
        <f t="shared" ca="1" si="200"/>
        <v/>
      </c>
      <c r="T314" s="971" t="str">
        <f t="shared" ca="1" si="200"/>
        <v/>
      </c>
      <c r="U314" s="971" t="str">
        <f t="shared" ca="1" si="200"/>
        <v/>
      </c>
      <c r="V314" s="971" t="str">
        <f t="shared" ca="1" si="200"/>
        <v/>
      </c>
      <c r="W314" s="971" t="str">
        <f t="shared" ca="1" si="200"/>
        <v/>
      </c>
      <c r="X314" s="971" t="str">
        <f t="shared" ca="1" si="200"/>
        <v/>
      </c>
      <c r="Y314" s="971" t="str">
        <f t="shared" ca="1" si="200"/>
        <v/>
      </c>
      <c r="Z314" s="971" t="str">
        <f t="shared" ca="1" si="200"/>
        <v/>
      </c>
      <c r="AA314" s="971" t="str">
        <f t="shared" ca="1" si="200"/>
        <v/>
      </c>
      <c r="AB314" s="971" t="str">
        <f t="shared" ca="1" si="200"/>
        <v/>
      </c>
      <c r="AC314" s="971" t="str">
        <f t="shared" ca="1" si="200"/>
        <v/>
      </c>
      <c r="AD314" s="971" t="str">
        <f t="shared" ca="1" si="200"/>
        <v/>
      </c>
      <c r="AE314" s="971" t="str">
        <f t="shared" ca="1" si="200"/>
        <v/>
      </c>
      <c r="AF314" s="971" t="str">
        <f t="shared" ca="1" si="200"/>
        <v/>
      </c>
      <c r="AG314" s="971" t="str">
        <f t="shared" ca="1" si="200"/>
        <v/>
      </c>
      <c r="AH314" s="971" t="str">
        <f t="shared" ca="1" si="200"/>
        <v/>
      </c>
      <c r="AI314" s="971" t="str">
        <f t="shared" ca="1" si="200"/>
        <v/>
      </c>
      <c r="AJ314" s="971" t="str">
        <f t="shared" ca="1" si="200"/>
        <v/>
      </c>
      <c r="AK314" s="971" t="str">
        <f t="shared" ref="AK314:BB314" ca="1" si="201">IFERROR(ADDRESS(ROW(貼付け_2024実績)+99,AK277+COLUMN(貼付け_2024実績),4),"")</f>
        <v/>
      </c>
      <c r="AL314" s="971" t="str">
        <f t="shared" ca="1" si="201"/>
        <v/>
      </c>
      <c r="AM314" s="971" t="str">
        <f t="shared" ca="1" si="201"/>
        <v/>
      </c>
      <c r="AN314" s="971" t="str">
        <f t="shared" ca="1" si="201"/>
        <v/>
      </c>
      <c r="AO314" s="971" t="str">
        <f t="shared" ca="1" si="201"/>
        <v/>
      </c>
      <c r="AP314" s="971" t="str">
        <f t="shared" ca="1" si="201"/>
        <v/>
      </c>
      <c r="AQ314" s="971" t="str">
        <f t="shared" ca="1" si="201"/>
        <v/>
      </c>
      <c r="AR314" s="971" t="str">
        <f t="shared" ca="1" si="201"/>
        <v/>
      </c>
      <c r="AS314" s="971" t="str">
        <f t="shared" ca="1" si="201"/>
        <v/>
      </c>
      <c r="AT314" s="971" t="str">
        <f t="shared" ca="1" si="201"/>
        <v/>
      </c>
      <c r="AU314" s="971" t="str">
        <f t="shared" ca="1" si="201"/>
        <v/>
      </c>
      <c r="AV314" s="971" t="str">
        <f t="shared" ca="1" si="201"/>
        <v/>
      </c>
      <c r="AW314" s="971" t="str">
        <f t="shared" ca="1" si="201"/>
        <v/>
      </c>
      <c r="AX314" s="971" t="str">
        <f t="shared" ca="1" si="201"/>
        <v/>
      </c>
      <c r="AY314" s="971" t="str">
        <f t="shared" ca="1" si="201"/>
        <v/>
      </c>
      <c r="AZ314" s="971" t="str">
        <f t="shared" ca="1" si="201"/>
        <v/>
      </c>
      <c r="BA314" s="971" t="str">
        <f t="shared" ca="1" si="201"/>
        <v/>
      </c>
      <c r="BB314" s="971" t="str">
        <f t="shared" ca="1" si="201"/>
        <v/>
      </c>
    </row>
    <row r="315" spans="1:242" ht="18.600000000000001" hidden="1" thickBot="1">
      <c r="B315" s="1346"/>
      <c r="C315" s="1036" t="s">
        <v>461</v>
      </c>
      <c r="D315" s="1040"/>
      <c r="E315" s="973" t="str">
        <f t="shared" ref="E315:AJ315" ca="1" si="202">IFERROR(ADDRESS(ROW(貼付け_2024実績)+99,E289+COLUMN(貼付け_2024実績),4),"")</f>
        <v/>
      </c>
      <c r="F315" s="973" t="str">
        <f t="shared" ca="1" si="202"/>
        <v/>
      </c>
      <c r="G315" s="973" t="str">
        <f t="shared" ca="1" si="202"/>
        <v/>
      </c>
      <c r="H315" s="973" t="str">
        <f t="shared" ca="1" si="202"/>
        <v/>
      </c>
      <c r="I315" s="973" t="str">
        <f t="shared" ca="1" si="202"/>
        <v/>
      </c>
      <c r="J315" s="973" t="str">
        <f t="shared" ca="1" si="202"/>
        <v/>
      </c>
      <c r="K315" s="973" t="str">
        <f t="shared" ca="1" si="202"/>
        <v/>
      </c>
      <c r="L315" s="973" t="str">
        <f t="shared" ca="1" si="202"/>
        <v/>
      </c>
      <c r="M315" s="973" t="str">
        <f t="shared" ca="1" si="202"/>
        <v/>
      </c>
      <c r="N315" s="973" t="str">
        <f t="shared" ca="1" si="202"/>
        <v/>
      </c>
      <c r="O315" s="973" t="str">
        <f t="shared" ca="1" si="202"/>
        <v/>
      </c>
      <c r="P315" s="973" t="str">
        <f t="shared" ca="1" si="202"/>
        <v/>
      </c>
      <c r="Q315" s="973" t="str">
        <f t="shared" ca="1" si="202"/>
        <v/>
      </c>
      <c r="R315" s="973" t="str">
        <f t="shared" ca="1" si="202"/>
        <v/>
      </c>
      <c r="S315" s="973" t="str">
        <f t="shared" ca="1" si="202"/>
        <v/>
      </c>
      <c r="T315" s="973" t="str">
        <f t="shared" ca="1" si="202"/>
        <v/>
      </c>
      <c r="U315" s="973" t="str">
        <f t="shared" ca="1" si="202"/>
        <v/>
      </c>
      <c r="V315" s="973" t="str">
        <f t="shared" ca="1" si="202"/>
        <v/>
      </c>
      <c r="W315" s="973" t="str">
        <f t="shared" ca="1" si="202"/>
        <v/>
      </c>
      <c r="X315" s="973" t="str">
        <f t="shared" ca="1" si="202"/>
        <v/>
      </c>
      <c r="Y315" s="973" t="str">
        <f t="shared" ca="1" si="202"/>
        <v/>
      </c>
      <c r="Z315" s="973" t="str">
        <f t="shared" ca="1" si="202"/>
        <v/>
      </c>
      <c r="AA315" s="973" t="str">
        <f t="shared" ca="1" si="202"/>
        <v/>
      </c>
      <c r="AB315" s="973" t="str">
        <f t="shared" ca="1" si="202"/>
        <v/>
      </c>
      <c r="AC315" s="973" t="str">
        <f t="shared" ca="1" si="202"/>
        <v/>
      </c>
      <c r="AD315" s="973" t="str">
        <f t="shared" ca="1" si="202"/>
        <v/>
      </c>
      <c r="AE315" s="973" t="str">
        <f t="shared" ca="1" si="202"/>
        <v/>
      </c>
      <c r="AF315" s="973" t="str">
        <f t="shared" ca="1" si="202"/>
        <v/>
      </c>
      <c r="AG315" s="973" t="str">
        <f t="shared" ca="1" si="202"/>
        <v/>
      </c>
      <c r="AH315" s="973" t="str">
        <f t="shared" ca="1" si="202"/>
        <v/>
      </c>
      <c r="AI315" s="973" t="str">
        <f t="shared" ca="1" si="202"/>
        <v/>
      </c>
      <c r="AJ315" s="973" t="str">
        <f t="shared" ca="1" si="202"/>
        <v/>
      </c>
      <c r="AK315" s="973" t="str">
        <f t="shared" ref="AK315:BB315" ca="1" si="203">IFERROR(ADDRESS(ROW(貼付け_2024実績)+99,AK289+COLUMN(貼付け_2024実績),4),"")</f>
        <v/>
      </c>
      <c r="AL315" s="973" t="str">
        <f t="shared" ca="1" si="203"/>
        <v/>
      </c>
      <c r="AM315" s="973" t="str">
        <f t="shared" ca="1" si="203"/>
        <v/>
      </c>
      <c r="AN315" s="973" t="str">
        <f t="shared" ca="1" si="203"/>
        <v/>
      </c>
      <c r="AO315" s="973" t="str">
        <f t="shared" ca="1" si="203"/>
        <v/>
      </c>
      <c r="AP315" s="973" t="str">
        <f t="shared" ca="1" si="203"/>
        <v/>
      </c>
      <c r="AQ315" s="973" t="str">
        <f t="shared" ca="1" si="203"/>
        <v/>
      </c>
      <c r="AR315" s="973" t="str">
        <f t="shared" ca="1" si="203"/>
        <v/>
      </c>
      <c r="AS315" s="973" t="str">
        <f t="shared" ca="1" si="203"/>
        <v/>
      </c>
      <c r="AT315" s="973" t="str">
        <f t="shared" ca="1" si="203"/>
        <v/>
      </c>
      <c r="AU315" s="973" t="str">
        <f t="shared" ca="1" si="203"/>
        <v/>
      </c>
      <c r="AV315" s="973" t="str">
        <f t="shared" ca="1" si="203"/>
        <v/>
      </c>
      <c r="AW315" s="973" t="str">
        <f t="shared" ca="1" si="203"/>
        <v/>
      </c>
      <c r="AX315" s="973" t="str">
        <f t="shared" ca="1" si="203"/>
        <v/>
      </c>
      <c r="AY315" s="973" t="str">
        <f t="shared" ca="1" si="203"/>
        <v/>
      </c>
      <c r="AZ315" s="973" t="str">
        <f t="shared" ca="1" si="203"/>
        <v/>
      </c>
      <c r="BA315" s="973" t="str">
        <f t="shared" ca="1" si="203"/>
        <v/>
      </c>
      <c r="BB315" s="973" t="str">
        <f t="shared" ca="1" si="203"/>
        <v/>
      </c>
    </row>
    <row r="316" spans="1:242" ht="19.8" hidden="1">
      <c r="C316" s="1054"/>
    </row>
    <row r="317" spans="1:242" s="879" customFormat="1" ht="20.100000000000001" hidden="1" customHeight="1">
      <c r="A317" s="898" t="s">
        <v>668</v>
      </c>
      <c r="B317" s="898"/>
      <c r="C317" s="899"/>
      <c r="D317" s="902"/>
      <c r="E317" s="903"/>
      <c r="F317" s="902"/>
      <c r="G317" s="902"/>
      <c r="H317" s="903"/>
      <c r="I317" s="902"/>
      <c r="J317" s="902"/>
      <c r="K317" s="903"/>
      <c r="L317" s="902"/>
      <c r="M317" s="902"/>
      <c r="N317" s="903"/>
      <c r="O317" s="902"/>
      <c r="P317" s="902"/>
      <c r="Q317" s="903"/>
      <c r="R317" s="902"/>
      <c r="S317" s="902"/>
      <c r="T317" s="903"/>
      <c r="U317" s="902"/>
      <c r="V317" s="902"/>
      <c r="W317" s="903"/>
      <c r="X317" s="902"/>
      <c r="Y317" s="902"/>
      <c r="Z317" s="903"/>
      <c r="AA317" s="902"/>
      <c r="AB317" s="902"/>
      <c r="AC317" s="903"/>
      <c r="AD317" s="902"/>
      <c r="AE317" s="902"/>
      <c r="AF317" s="903"/>
      <c r="AG317" s="902"/>
      <c r="AH317" s="902"/>
      <c r="AI317" s="903"/>
      <c r="AJ317" s="902"/>
      <c r="AK317" s="902"/>
      <c r="AL317" s="903"/>
      <c r="AM317" s="902"/>
      <c r="AN317" s="902"/>
      <c r="AS317" s="879" t="e">
        <f ca="1">MATCH(AR320,OFFSET(貼付け_2026実績,4,0,1,400),0)</f>
        <v>#N/A</v>
      </c>
      <c r="IE317" s="975"/>
      <c r="IF317" s="975"/>
      <c r="IG317" s="975"/>
      <c r="IH317" s="975"/>
    </row>
    <row r="318" spans="1:242" s="889" customFormat="1" ht="20.100000000000001" hidden="1" customHeight="1">
      <c r="A318" s="889">
        <v>0</v>
      </c>
      <c r="B318" s="977" t="s">
        <v>669</v>
      </c>
      <c r="E318" s="892"/>
      <c r="I318" s="892"/>
      <c r="IE318" s="927"/>
      <c r="IF318" s="927"/>
      <c r="IG318" s="927"/>
      <c r="IH318" s="927"/>
    </row>
    <row r="319" spans="1:242" s="889" customFormat="1" ht="20.100000000000001" hidden="1" customHeight="1">
      <c r="A319" s="889">
        <v>1</v>
      </c>
      <c r="B319" s="1055"/>
      <c r="C319" s="1056"/>
      <c r="D319" s="1055" t="s">
        <v>670</v>
      </c>
      <c r="E319" s="1057">
        <v>2024</v>
      </c>
      <c r="F319" s="1058">
        <v>2025</v>
      </c>
      <c r="G319" s="1057">
        <v>2026</v>
      </c>
      <c r="H319" s="1059">
        <v>2027</v>
      </c>
      <c r="I319" s="1060" t="s">
        <v>671</v>
      </c>
      <c r="J319" s="1061" t="s">
        <v>672</v>
      </c>
      <c r="K319" s="1057">
        <v>2024</v>
      </c>
      <c r="L319" s="1058">
        <v>2025</v>
      </c>
      <c r="M319" s="1057">
        <v>2026</v>
      </c>
      <c r="N319" s="1058">
        <v>2027</v>
      </c>
      <c r="O319" s="1062" t="s">
        <v>671</v>
      </c>
      <c r="P319" s="1062" t="s">
        <v>673</v>
      </c>
      <c r="Q319" s="892"/>
      <c r="IE319" s="927"/>
      <c r="IF319" s="927"/>
      <c r="IG319" s="927"/>
      <c r="IH319" s="927"/>
    </row>
    <row r="320" spans="1:242" s="889" customFormat="1" ht="20.100000000000001" hidden="1" customHeight="1">
      <c r="A320" s="889">
        <v>2</v>
      </c>
      <c r="B320" s="1063" t="s">
        <v>674</v>
      </c>
      <c r="C320" s="1064" t="s">
        <v>675</v>
      </c>
      <c r="D320" s="1063">
        <v>36</v>
      </c>
      <c r="E320" s="1065" t="str">
        <f ca="1">IF(IFERROR(OFFSET(貼付け_2024実績,$D320,3),"")="","",OFFSET(貼付け_2024実績,$D320,3))</f>
        <v/>
      </c>
      <c r="F320" s="1065" t="str">
        <f ca="1">IF(IFERROR(OFFSET(貼付け_2025実績,$D320,3),"")="","",OFFSET(貼付け_2025実績,$D320,3))</f>
        <v/>
      </c>
      <c r="G320" s="1065" t="str">
        <f ca="1">IF(IFERROR(OFFSET(貼付け_2026実績,$D320,3),"")="","",OFFSET(貼付け_2026実績,$D320,3))</f>
        <v/>
      </c>
      <c r="H320" s="1066" t="str">
        <f ca="1">IF(IFERROR(OFFSET(貼付け_2027実績,$D320,3),"")="","",OFFSET(貼付け_2027実績,$D320,3))</f>
        <v/>
      </c>
      <c r="I320" s="1067" t="str">
        <f t="shared" ref="I320:I338" ca="1" si="204">IF(E320="","",E320)&amp;IF(OR(F320=E320,F320=""),"",","&amp;F320)&amp;IF(OR(G320=F320,G320=""),"",","&amp;G320)&amp;IF(OR(H320=G320,H320=""),"",","&amp;H320)</f>
        <v/>
      </c>
      <c r="J320" s="1068">
        <v>200</v>
      </c>
      <c r="K320" s="1069" t="str">
        <f ca="1">IF(IFERROR(OFFSET(貼付け_2024実績,$J320,13),"")="","",OFFSET(貼付け_2024実績,$J320,13))</f>
        <v/>
      </c>
      <c r="L320" s="1069" t="str">
        <f ca="1">IF(IFERROR(OFFSET(貼付け_2025実績,$J320,13),"")="","",OFFSET(貼付け_2025実績,$J320,13))</f>
        <v/>
      </c>
      <c r="M320" s="1069" t="str">
        <f ca="1">IF(IFERROR(OFFSET(貼付け_2026実績,$J320,13),"")="","",OFFSET(貼付け_2026実績,$J320,13))</f>
        <v/>
      </c>
      <c r="N320" s="1069" t="str">
        <f ca="1">IF(IFERROR(OFFSET(貼付け_2027実績,$J320,13),"")="","",OFFSET(貼付け_2027実績,$J320,13))</f>
        <v/>
      </c>
      <c r="O320" s="1070" t="str">
        <f t="shared" ref="O320:O337" ca="1" si="205">IF(K320="","",K320)&amp;IF(OR(L320=K320,L320=""),"",","&amp;L320)&amp;IF(OR(M320=L320,M320=""),"",","&amp;M320)&amp;IF(OR(N320=M320,N320=""),"",","&amp;N320)</f>
        <v/>
      </c>
      <c r="P320" s="1070" t="str">
        <f t="shared" ref="P320:P337" ca="1" si="206">IF(I320=O320,I320,IF(OR(I320="",O320=""),I320&amp;O320,I320&amp;"/"&amp;O320))</f>
        <v/>
      </c>
      <c r="IE320" s="927"/>
      <c r="IF320" s="927"/>
      <c r="IG320" s="927"/>
      <c r="IH320" s="927"/>
    </row>
    <row r="321" spans="1:242" s="889" customFormat="1" ht="20.100000000000001" hidden="1" customHeight="1">
      <c r="A321" s="889">
        <v>3</v>
      </c>
      <c r="B321" s="1071"/>
      <c r="C321" s="1072"/>
      <c r="D321" s="1071">
        <v>36</v>
      </c>
      <c r="E321" s="1073" t="str">
        <f ca="1">IF(IFERROR(OFFSET(貼付け_2024実績,$D321,4),"")="","",OFFSET(貼付け_2024実績,$D321,4))</f>
        <v/>
      </c>
      <c r="F321" s="1073" t="str">
        <f ca="1">IF(IFERROR(OFFSET(貼付け_2025実績,$D321,4),"")="","",OFFSET(貼付け_2025実績,$D321,4))</f>
        <v/>
      </c>
      <c r="G321" s="1073" t="str">
        <f ca="1">IF(IFERROR(OFFSET(貼付け_2026実績,$D321,4),"")="","",OFFSET(貼付け_2026実績,$D321,4))</f>
        <v/>
      </c>
      <c r="H321" s="1074" t="str">
        <f ca="1">IF(IFERROR(OFFSET(貼付け_2027実績,$D321,4),"")="","",OFFSET(貼付け_2027実績,$D321,4))</f>
        <v/>
      </c>
      <c r="I321" s="1075" t="str">
        <f t="shared" ca="1" si="204"/>
        <v/>
      </c>
      <c r="J321" s="1076">
        <v>200</v>
      </c>
      <c r="K321" s="1073" t="str">
        <f ca="1">IF(IFERROR(OFFSET(貼付け_2024実績,$J321,14),"")="","",OFFSET(貼付け_2024実績,$J321,14))</f>
        <v/>
      </c>
      <c r="L321" s="1073" t="str">
        <f ca="1">IF(IFERROR(OFFSET(貼付け_2025実績,$J321,14),"")="","",OFFSET(貼付け_2025実績,$J321,14))</f>
        <v/>
      </c>
      <c r="M321" s="1073" t="str">
        <f ca="1">IF(IFERROR(OFFSET(貼付け_2026実績,$J321,14),"")="","",OFFSET(貼付け_2026実績,$J321,14))</f>
        <v/>
      </c>
      <c r="N321" s="1073" t="str">
        <f ca="1">IF(IFERROR(OFFSET(貼付け_2027実績,$J321,14),"")="","",OFFSET(貼付け_2027実績,$J321,14))</f>
        <v/>
      </c>
      <c r="O321" s="1075" t="str">
        <f t="shared" ca="1" si="205"/>
        <v/>
      </c>
      <c r="P321" s="1075" t="str">
        <f t="shared" ca="1" si="206"/>
        <v/>
      </c>
      <c r="IE321" s="927"/>
      <c r="IF321" s="927"/>
      <c r="IG321" s="927"/>
      <c r="IH321" s="927"/>
    </row>
    <row r="322" spans="1:242" s="889" customFormat="1" ht="20.100000000000001" hidden="1" customHeight="1">
      <c r="A322" s="889">
        <v>4</v>
      </c>
      <c r="B322" s="1071" t="s">
        <v>676</v>
      </c>
      <c r="C322" s="1072" t="s">
        <v>677</v>
      </c>
      <c r="D322" s="1071">
        <v>43</v>
      </c>
      <c r="E322" s="1073" t="str">
        <f ca="1">IF(IFERROR(OFFSET(貼付け_2024実績,$D322,3),"")="","",OFFSET(貼付け_2024実績,$D322,3))</f>
        <v/>
      </c>
      <c r="F322" s="1073" t="str">
        <f ca="1">IF(IFERROR(OFFSET(貼付け_2025実績,$D322,3),"")="","",OFFSET(貼付け_2025実績,$D322,3))</f>
        <v/>
      </c>
      <c r="G322" s="1073" t="str">
        <f ca="1">IF(IFERROR(OFFSET(貼付け_2026実績,$D322,3),"")="","",OFFSET(貼付け_2026実績,$D322,3))</f>
        <v/>
      </c>
      <c r="H322" s="1074" t="str">
        <f ca="1">IF(IFERROR(OFFSET(貼付け_2027実績,$D322,3),"")="","",OFFSET(貼付け_2027実績,$D322,3))</f>
        <v/>
      </c>
      <c r="I322" s="1075" t="str">
        <f t="shared" ca="1" si="204"/>
        <v/>
      </c>
      <c r="J322" s="1076"/>
      <c r="K322" s="1077"/>
      <c r="L322" s="1077"/>
      <c r="M322" s="1077"/>
      <c r="N322" s="1077"/>
      <c r="O322" s="1078" t="str">
        <f t="shared" si="205"/>
        <v/>
      </c>
      <c r="P322" s="1079" t="str">
        <f t="shared" ca="1" si="206"/>
        <v/>
      </c>
      <c r="IE322" s="927"/>
      <c r="IF322" s="927"/>
      <c r="IG322" s="927"/>
      <c r="IH322" s="927"/>
    </row>
    <row r="323" spans="1:242" s="889" customFormat="1" ht="20.100000000000001" hidden="1" customHeight="1">
      <c r="A323" s="889">
        <v>5</v>
      </c>
      <c r="B323" s="1071"/>
      <c r="C323" s="1072" t="s">
        <v>678</v>
      </c>
      <c r="D323" s="1071">
        <v>54</v>
      </c>
      <c r="E323" s="1073" t="str">
        <f ca="1">IF(IFERROR(OFFSET(貼付け_2024実績,$D323,3),"")="","",OFFSET(貼付け_2024実績,$D323,3))</f>
        <v/>
      </c>
      <c r="F323" s="1073" t="str">
        <f ca="1">IF(IFERROR(OFFSET(貼付け_2025実績,$D323,3),"")="","",OFFSET(貼付け_2025実績,$D323,3))</f>
        <v/>
      </c>
      <c r="G323" s="1073" t="str">
        <f ca="1">IF(IFERROR(OFFSET(貼付け_2026実績,$D323,3),"")="","",OFFSET(貼付け_2026実績,$D323,3))</f>
        <v/>
      </c>
      <c r="H323" s="1074" t="str">
        <f ca="1">IF(IFERROR(OFFSET(貼付け_2027実績,$D323,3),"")="","",OFFSET(貼付け_2027実績,$D323,3))</f>
        <v/>
      </c>
      <c r="I323" s="1075" t="str">
        <f t="shared" ca="1" si="204"/>
        <v/>
      </c>
      <c r="J323" s="1076">
        <v>201</v>
      </c>
      <c r="K323" s="1073" t="str">
        <f ca="1">IF(IFERROR(OFFSET(貼付け_2024実績,$J323,13),"")="","",OFFSET(貼付け_2024実績,$J323,13))</f>
        <v/>
      </c>
      <c r="L323" s="1073" t="str">
        <f ca="1">IF(IFERROR(OFFSET(貼付け_2025実績,$J323,13),"")="","",OFFSET(貼付け_2025実績,$J323,13))</f>
        <v/>
      </c>
      <c r="M323" s="1073" t="str">
        <f ca="1">IF(IFERROR(OFFSET(貼付け_2026実績,$J323,13),"")="","",OFFSET(貼付け_2026実績,$J323,13))</f>
        <v/>
      </c>
      <c r="N323" s="1073" t="str">
        <f ca="1">IF(IFERROR(OFFSET(貼付け_2027実績,$J323,13),"")="","",OFFSET(貼付け_2027実績,$J323,13))</f>
        <v/>
      </c>
      <c r="O323" s="1075" t="str">
        <f t="shared" ca="1" si="205"/>
        <v/>
      </c>
      <c r="P323" s="1079" t="str">
        <f t="shared" ca="1" si="206"/>
        <v/>
      </c>
      <c r="IE323" s="927"/>
      <c r="IF323" s="927"/>
      <c r="IG323" s="927"/>
      <c r="IH323" s="927"/>
    </row>
    <row r="324" spans="1:242" s="889" customFormat="1" ht="20.100000000000001" hidden="1" customHeight="1">
      <c r="A324" s="889">
        <v>6</v>
      </c>
      <c r="B324" s="1071"/>
      <c r="D324" s="1071">
        <v>54</v>
      </c>
      <c r="E324" s="1074" t="str">
        <f ca="1">IF(IFERROR(OFFSET(貼付け_2024実績,$D324,4),"")="","",OFFSET(貼付け_2024実績,$D324,4))</f>
        <v/>
      </c>
      <c r="F324" s="1073" t="str">
        <f ca="1">IF(IFERROR(OFFSET(貼付け_2025実績,$D324,4),"")="","",OFFSET(貼付け_2025実績,$D324,4))</f>
        <v/>
      </c>
      <c r="G324" s="1073" t="str">
        <f ca="1">IF(IFERROR(OFFSET(貼付け_2026実績,$D324,4),"")="","",OFFSET(貼付け_2026実績,$D324,4))</f>
        <v/>
      </c>
      <c r="H324" s="1074" t="str">
        <f ca="1">IF(IFERROR(OFFSET(貼付け_2027実績,$D324,4),"")="","",OFFSET(貼付け_2027実績,$D324,4))</f>
        <v/>
      </c>
      <c r="I324" s="1075" t="str">
        <f t="shared" ca="1" si="204"/>
        <v/>
      </c>
      <c r="J324" s="1076">
        <v>201</v>
      </c>
      <c r="K324" s="1073" t="str">
        <f ca="1">IF(IFERROR(OFFSET(貼付け_2024実績,$J324,14),"")="","",OFFSET(貼付け_2024実績,$J324,14))</f>
        <v/>
      </c>
      <c r="L324" s="1073" t="str">
        <f ca="1">IF(IFERROR(OFFSET(貼付け_2025実績,$J324,14),"")="","",OFFSET(貼付け_2025実績,$J324,14))</f>
        <v/>
      </c>
      <c r="M324" s="1073" t="str">
        <f ca="1">IF(IFERROR(OFFSET(貼付け_2026実績,$J324,14),"")="","",OFFSET(貼付け_2026実績,$J324,14))</f>
        <v/>
      </c>
      <c r="N324" s="1073" t="str">
        <f ca="1">IF(IFERROR(OFFSET(貼付け_2027実績,$J324,14),"")="","",OFFSET(貼付け_2027実績,$J324,14))</f>
        <v/>
      </c>
      <c r="O324" s="1075" t="str">
        <f t="shared" ca="1" si="205"/>
        <v/>
      </c>
      <c r="P324" s="1079" t="str">
        <f t="shared" ca="1" si="206"/>
        <v/>
      </c>
      <c r="IE324" s="927"/>
      <c r="IF324" s="927"/>
      <c r="IG324" s="927"/>
      <c r="IH324" s="927"/>
    </row>
    <row r="325" spans="1:242" s="889" customFormat="1" ht="20.100000000000001" hidden="1" customHeight="1">
      <c r="A325" s="889">
        <v>7</v>
      </c>
      <c r="B325" s="1071"/>
      <c r="C325" s="1072" t="s">
        <v>679</v>
      </c>
      <c r="D325" s="1071">
        <v>55</v>
      </c>
      <c r="E325" s="1073" t="str">
        <f ca="1">IF(IFERROR(OFFSET(貼付け_2024実績,$D325,3),"")="","",OFFSET(貼付け_2024実績,$D325,3))</f>
        <v/>
      </c>
      <c r="F325" s="1073" t="str">
        <f ca="1">IF(IFERROR(OFFSET(貼付け_2025実績,$D325,3),"")="","",OFFSET(貼付け_2025実績,$D325,3))</f>
        <v/>
      </c>
      <c r="G325" s="1073" t="str">
        <f ca="1">IF(IFERROR(OFFSET(貼付け_2026実績,$D325,3),"")="","",OFFSET(貼付け_2026実績,$D325,3))</f>
        <v/>
      </c>
      <c r="H325" s="1074" t="str">
        <f ca="1">IF(IFERROR(OFFSET(貼付け_2027実績,$D325,3),"")="","",OFFSET(貼付け_2027実績,$D325,3))</f>
        <v/>
      </c>
      <c r="I325" s="1075" t="str">
        <f t="shared" ca="1" si="204"/>
        <v/>
      </c>
      <c r="J325" s="1076"/>
      <c r="K325" s="1077"/>
      <c r="L325" s="1077"/>
      <c r="M325" s="1077"/>
      <c r="N325" s="1077"/>
      <c r="O325" s="1078" t="str">
        <f t="shared" si="205"/>
        <v/>
      </c>
      <c r="P325" s="1079" t="str">
        <f t="shared" ca="1" si="206"/>
        <v/>
      </c>
      <c r="IE325" s="927"/>
      <c r="IF325" s="927"/>
      <c r="IG325" s="927"/>
      <c r="IH325" s="927"/>
    </row>
    <row r="326" spans="1:242" s="889" customFormat="1" ht="20.100000000000001" hidden="1" customHeight="1">
      <c r="A326" s="889">
        <v>8</v>
      </c>
      <c r="B326" s="1071"/>
      <c r="D326" s="1071">
        <v>55</v>
      </c>
      <c r="E326" s="1074" t="str">
        <f ca="1">IF(IFERROR(OFFSET(貼付け_2024実績,$D326,4),"")="","",OFFSET(貼付け_2024実績,$D326,4))</f>
        <v/>
      </c>
      <c r="F326" s="1073" t="str">
        <f ca="1">IF(IFERROR(OFFSET(貼付け_2025実績,$D326,4),"")="","",OFFSET(貼付け_2025実績,$D326,4))</f>
        <v/>
      </c>
      <c r="G326" s="1073" t="str">
        <f ca="1">IF(IFERROR(OFFSET(貼付け_2026実績,$D326,4),"")="","",OFFSET(貼付け_2026実績,$D326,4))</f>
        <v/>
      </c>
      <c r="H326" s="1074" t="str">
        <f ca="1">IF(IFERROR(OFFSET(貼付け_2027実績,$D326,4),"")="","",OFFSET(貼付け_2027実績,$D326,4))</f>
        <v/>
      </c>
      <c r="I326" s="1075" t="str">
        <f t="shared" ca="1" si="204"/>
        <v/>
      </c>
      <c r="J326" s="1076"/>
      <c r="K326" s="1077"/>
      <c r="L326" s="1077"/>
      <c r="M326" s="1077"/>
      <c r="N326" s="1077"/>
      <c r="O326" s="1078" t="str">
        <f t="shared" si="205"/>
        <v/>
      </c>
      <c r="P326" s="1079" t="str">
        <f t="shared" ca="1" si="206"/>
        <v/>
      </c>
      <c r="IE326" s="927"/>
      <c r="IF326" s="927"/>
      <c r="IG326" s="927"/>
      <c r="IH326" s="927"/>
    </row>
    <row r="327" spans="1:242" s="889" customFormat="1" ht="20.100000000000001" hidden="1" customHeight="1">
      <c r="A327" s="889">
        <v>9</v>
      </c>
      <c r="B327" s="1071" t="s">
        <v>680</v>
      </c>
      <c r="C327" s="1072" t="s">
        <v>681</v>
      </c>
      <c r="D327" s="1071">
        <v>64</v>
      </c>
      <c r="E327" s="1073" t="str">
        <f ca="1">IF(IFERROR(OFFSET(貼付け_2024実績,$D327,3),"")="","",OFFSET(貼付け_2024実績,$D327,3))</f>
        <v/>
      </c>
      <c r="F327" s="1073" t="str">
        <f ca="1">IF(IFERROR(OFFSET(貼付け_2025実績,$D327,3),"")="","",OFFSET(貼付け_2025実績,$D327,3))</f>
        <v/>
      </c>
      <c r="G327" s="1073" t="str">
        <f ca="1">IF(IFERROR(OFFSET(貼付け_2026実績,$D327,3),"")="","",OFFSET(貼付け_2026実績,$D327,3))</f>
        <v/>
      </c>
      <c r="H327" s="1074" t="str">
        <f ca="1">IF(IFERROR(OFFSET(貼付け_2027実績,$D327,3),"")="","",OFFSET(貼付け_2027実績,$D327,3))</f>
        <v/>
      </c>
      <c r="I327" s="1075" t="str">
        <f t="shared" ca="1" si="204"/>
        <v/>
      </c>
      <c r="J327" s="1076"/>
      <c r="K327" s="1077"/>
      <c r="L327" s="1077"/>
      <c r="M327" s="1077"/>
      <c r="N327" s="1077"/>
      <c r="O327" s="1078" t="str">
        <f t="shared" si="205"/>
        <v/>
      </c>
      <c r="P327" s="1079" t="str">
        <f t="shared" ca="1" si="206"/>
        <v/>
      </c>
      <c r="IE327" s="927"/>
      <c r="IF327" s="927"/>
      <c r="IG327" s="927"/>
      <c r="IH327" s="927"/>
    </row>
    <row r="328" spans="1:242" s="889" customFormat="1" ht="20.100000000000001" hidden="1" customHeight="1">
      <c r="A328" s="889">
        <v>10</v>
      </c>
      <c r="B328" s="1071" t="s">
        <v>682</v>
      </c>
      <c r="C328" s="1072" t="s">
        <v>683</v>
      </c>
      <c r="D328" s="1071">
        <v>70</v>
      </c>
      <c r="E328" s="1073" t="str">
        <f ca="1">IF(IFERROR(OFFSET(貼付け_2024実績,$D328,3),"")="","",OFFSET(貼付け_2024実績,$D328,3))</f>
        <v/>
      </c>
      <c r="F328" s="1073" t="str">
        <f ca="1">IF(IFERROR(OFFSET(貼付け_2025実績,$D328,3),"")="","",OFFSET(貼付け_2025実績,$D328,3))</f>
        <v/>
      </c>
      <c r="G328" s="1073" t="str">
        <f ca="1">IF(IFERROR(OFFSET(貼付け_2026実績,$D328,3),"")="","",OFFSET(貼付け_2026実績,$D328,3))</f>
        <v/>
      </c>
      <c r="H328" s="1074" t="str">
        <f ca="1">IF(IFERROR(OFFSET(貼付け_2027実績,$D328,3),"")="","",OFFSET(貼付け_2027実績,$D328,3))</f>
        <v/>
      </c>
      <c r="I328" s="1075" t="str">
        <f t="shared" ca="1" si="204"/>
        <v/>
      </c>
      <c r="J328" s="1076"/>
      <c r="K328" s="1077"/>
      <c r="L328" s="1077"/>
      <c r="M328" s="1077"/>
      <c r="N328" s="1077"/>
      <c r="O328" s="1078" t="str">
        <f t="shared" si="205"/>
        <v/>
      </c>
      <c r="P328" s="1079" t="str">
        <f t="shared" ca="1" si="206"/>
        <v/>
      </c>
      <c r="IE328" s="927"/>
      <c r="IF328" s="927"/>
      <c r="IG328" s="927"/>
      <c r="IH328" s="927"/>
    </row>
    <row r="329" spans="1:242" s="889" customFormat="1" ht="20.100000000000001" hidden="1" customHeight="1">
      <c r="A329" s="889">
        <v>11</v>
      </c>
      <c r="B329" s="1071"/>
      <c r="C329" s="1072" t="s">
        <v>684</v>
      </c>
      <c r="D329" s="1071">
        <v>71</v>
      </c>
      <c r="E329" s="1073" t="str">
        <f ca="1">IF(IFERROR(OFFSET(貼付け_2024実績,$D329,3),"")="","",OFFSET(貼付け_2024実績,$D329,3))</f>
        <v/>
      </c>
      <c r="F329" s="1073" t="str">
        <f ca="1">IF(IFERROR(OFFSET(貼付け_2025実績,$D329,3),"")="","",OFFSET(貼付け_2025実績,$D329,3))</f>
        <v/>
      </c>
      <c r="G329" s="1073" t="str">
        <f ca="1">IF(IFERROR(OFFSET(貼付け_2026実績,$D329,3),"")="","",OFFSET(貼付け_2026実績,$D329,3))</f>
        <v/>
      </c>
      <c r="H329" s="1074" t="str">
        <f ca="1">IF(IFERROR(OFFSET(貼付け_2027実績,$D329,3),"")="","",OFFSET(貼付け_2027実績,$D329,3))</f>
        <v/>
      </c>
      <c r="I329" s="1075" t="str">
        <f t="shared" ca="1" si="204"/>
        <v/>
      </c>
      <c r="J329" s="1076"/>
      <c r="K329" s="1077"/>
      <c r="L329" s="1077"/>
      <c r="M329" s="1077"/>
      <c r="N329" s="1077"/>
      <c r="O329" s="1078" t="str">
        <f t="shared" si="205"/>
        <v/>
      </c>
      <c r="P329" s="1079" t="str">
        <f t="shared" ca="1" si="206"/>
        <v/>
      </c>
      <c r="IE329" s="927"/>
      <c r="IF329" s="927"/>
      <c r="IG329" s="927"/>
      <c r="IH329" s="927"/>
    </row>
    <row r="330" spans="1:242" s="889" customFormat="1" ht="20.100000000000001" hidden="1" customHeight="1">
      <c r="A330" s="889">
        <v>12</v>
      </c>
      <c r="B330" s="1071" t="s">
        <v>685</v>
      </c>
      <c r="C330" s="1074" t="s">
        <v>686</v>
      </c>
      <c r="D330" s="1071">
        <v>77</v>
      </c>
      <c r="E330" s="1073" t="str">
        <f ca="1">IF(IFERROR(OFFSET(貼付け_2024実績,$D330,3),"")="","",OFFSET(貼付け_2024実績,$D330,3))</f>
        <v/>
      </c>
      <c r="F330" s="1073" t="str">
        <f ca="1">IF(IFERROR(OFFSET(貼付け_2025実績,$D330,3),"")="","",OFFSET(貼付け_2025実績,$D330,3))</f>
        <v/>
      </c>
      <c r="G330" s="1073" t="str">
        <f ca="1">IF(IFERROR(OFFSET(貼付け_2026実績,$D330,3),"")="","",OFFSET(貼付け_2026実績,$D330,3))</f>
        <v/>
      </c>
      <c r="H330" s="1074" t="str">
        <f ca="1">IF(IFERROR(OFFSET(貼付け_2027実績,$D330,3),"")="","",OFFSET(貼付け_2027実績,$D330,3))</f>
        <v/>
      </c>
      <c r="I330" s="1075" t="str">
        <f t="shared" ca="1" si="204"/>
        <v/>
      </c>
      <c r="J330" s="1076">
        <v>202</v>
      </c>
      <c r="K330" s="1073" t="str">
        <f t="shared" ref="K330:K337" ca="1" si="207">IF(IFERROR(OFFSET(貼付け_2024実績,$J330,13),"")="","",OFFSET(貼付け_2024実績,$J330,13))</f>
        <v/>
      </c>
      <c r="L330" s="1073" t="str">
        <f t="shared" ref="L330:L337" ca="1" si="208">IF(IFERROR(OFFSET(貼付け_2025実績,$J330,13),"")="","",OFFSET(貼付け_2025実績,$J330,13))</f>
        <v/>
      </c>
      <c r="M330" s="1073" t="str">
        <f t="shared" ref="M330:M337" ca="1" si="209">IF(IFERROR(OFFSET(貼付け_2026実績,$J330,13),"")="","",OFFSET(貼付け_2026実績,$J330,13))</f>
        <v/>
      </c>
      <c r="N330" s="1073" t="str">
        <f t="shared" ref="N330:N337" ca="1" si="210">IF(IFERROR(OFFSET(貼付け_2027実績,$J330,13),"")="","",OFFSET(貼付け_2027実績,$J330,13))</f>
        <v/>
      </c>
      <c r="O330" s="1075" t="str">
        <f t="shared" ca="1" si="205"/>
        <v/>
      </c>
      <c r="P330" s="1079" t="str">
        <f t="shared" ca="1" si="206"/>
        <v/>
      </c>
      <c r="IE330" s="927"/>
      <c r="IF330" s="927"/>
      <c r="IG330" s="927"/>
      <c r="IH330" s="927"/>
    </row>
    <row r="331" spans="1:242" s="889" customFormat="1" ht="20.100000000000001" hidden="1" customHeight="1">
      <c r="A331" s="889">
        <v>13</v>
      </c>
      <c r="B331" s="1071"/>
      <c r="C331" s="1072" t="s">
        <v>687</v>
      </c>
      <c r="D331" s="1071">
        <v>80</v>
      </c>
      <c r="E331" s="1073" t="str">
        <f ca="1">IF(IFERROR(OFFSET(貼付け_2024実績,$D331,3),"")="","",OFFSET(貼付け_2024実績,$D331,3))</f>
        <v/>
      </c>
      <c r="F331" s="1073" t="str">
        <f ca="1">IF(IFERROR(OFFSET(貼付け_2025実績,$D331,3),"")="","",OFFSET(貼付け_2025実績,$D331,3))</f>
        <v/>
      </c>
      <c r="G331" s="1073" t="str">
        <f ca="1">IF(IFERROR(OFFSET(貼付け_2026実績,$D331,3),"")="","",OFFSET(貼付け_2026実績,$D331,3))</f>
        <v/>
      </c>
      <c r="H331" s="1074" t="str">
        <f ca="1">IF(IFERROR(OFFSET(貼付け_2027実績,$D331,3),"")="","",OFFSET(貼付け_2027実績,$D331,3))</f>
        <v/>
      </c>
      <c r="I331" s="1075" t="str">
        <f t="shared" ca="1" si="204"/>
        <v/>
      </c>
      <c r="J331" s="1076">
        <v>203</v>
      </c>
      <c r="K331" s="1073" t="str">
        <f t="shared" ca="1" si="207"/>
        <v/>
      </c>
      <c r="L331" s="1073" t="str">
        <f t="shared" ca="1" si="208"/>
        <v/>
      </c>
      <c r="M331" s="1073" t="str">
        <f t="shared" ca="1" si="209"/>
        <v/>
      </c>
      <c r="N331" s="1073" t="str">
        <f t="shared" ca="1" si="210"/>
        <v/>
      </c>
      <c r="O331" s="1075" t="str">
        <f t="shared" ca="1" si="205"/>
        <v/>
      </c>
      <c r="P331" s="1079" t="str">
        <f t="shared" ca="1" si="206"/>
        <v/>
      </c>
      <c r="IE331" s="927"/>
      <c r="IF331" s="927"/>
      <c r="IG331" s="927"/>
      <c r="IH331" s="927"/>
    </row>
    <row r="332" spans="1:242" s="889" customFormat="1" ht="20.100000000000001" hidden="1" customHeight="1">
      <c r="A332" s="889">
        <v>14</v>
      </c>
      <c r="B332" s="1071"/>
      <c r="C332" s="1072" t="s">
        <v>688</v>
      </c>
      <c r="D332" s="1071">
        <v>91</v>
      </c>
      <c r="E332" s="1073" t="str">
        <f ca="1">IF(IFERROR(OFFSET(貼付け_2024実績,$D332,2),"")="","",OFFSET(貼付け_2024実績,$D332,2))</f>
        <v/>
      </c>
      <c r="F332" s="1073" t="str">
        <f ca="1">IF(IFERROR(OFFSET(貼付け_2025実績,$D332,2),"")="","",OFFSET(貼付け_2025実績,$D332,2))</f>
        <v/>
      </c>
      <c r="G332" s="1073" t="str">
        <f ca="1">IF(IFERROR(OFFSET(貼付け_2026実績,$D332,2),"")="","",OFFSET(貼付け_2026実績,$D332,2))</f>
        <v/>
      </c>
      <c r="H332" s="1074" t="str">
        <f ca="1">IF(IFERROR(OFFSET(貼付け_2027実績,$D332,2),"")="","",OFFSET(貼付け_2027実績,$D332,2))</f>
        <v/>
      </c>
      <c r="I332" s="1075" t="str">
        <f t="shared" ca="1" si="204"/>
        <v/>
      </c>
      <c r="J332" s="1076">
        <v>204</v>
      </c>
      <c r="K332" s="1073" t="str">
        <f t="shared" ca="1" si="207"/>
        <v/>
      </c>
      <c r="L332" s="1073" t="str">
        <f t="shared" ca="1" si="208"/>
        <v/>
      </c>
      <c r="M332" s="1073" t="str">
        <f t="shared" ca="1" si="209"/>
        <v/>
      </c>
      <c r="N332" s="1073" t="str">
        <f t="shared" ca="1" si="210"/>
        <v/>
      </c>
      <c r="O332" s="1075" t="str">
        <f t="shared" ca="1" si="205"/>
        <v/>
      </c>
      <c r="P332" s="1079" t="str">
        <f t="shared" ca="1" si="206"/>
        <v/>
      </c>
      <c r="IE332" s="927"/>
      <c r="IF332" s="927"/>
      <c r="IG332" s="927"/>
      <c r="IH332" s="927"/>
    </row>
    <row r="333" spans="1:242" s="889" customFormat="1" ht="20.100000000000001" hidden="1" customHeight="1">
      <c r="A333" s="889">
        <v>15</v>
      </c>
      <c r="B333" s="1071"/>
      <c r="C333" s="1072" t="s">
        <v>689</v>
      </c>
      <c r="D333" s="1071">
        <v>93</v>
      </c>
      <c r="E333" s="1073" t="str">
        <f ca="1">IF(IFERROR(OFFSET(貼付け_2024実績,$D333,2),"")="","",OFFSET(貼付け_2024実績,$D333,2))</f>
        <v/>
      </c>
      <c r="F333" s="1073" t="str">
        <f ca="1">IF(IFERROR(OFFSET(貼付け_2025実績,$D333,2),"")="","",OFFSET(貼付け_2025実績,$D333,2))</f>
        <v/>
      </c>
      <c r="G333" s="1073" t="str">
        <f ca="1">IF(IFERROR(OFFSET(貼付け_2026実績,$D333,2),"")="","",OFFSET(貼付け_2026実績,$D333,2))</f>
        <v/>
      </c>
      <c r="H333" s="1074" t="str">
        <f ca="1">IF(IFERROR(OFFSET(貼付け_2027実績,$D333,2),"")="","",OFFSET(貼付け_2027実績,$D333,2))</f>
        <v/>
      </c>
      <c r="I333" s="1075" t="str">
        <f t="shared" ca="1" si="204"/>
        <v/>
      </c>
      <c r="J333" s="1076">
        <v>206</v>
      </c>
      <c r="K333" s="1073" t="str">
        <f t="shared" ca="1" si="207"/>
        <v/>
      </c>
      <c r="L333" s="1073" t="str">
        <f t="shared" ca="1" si="208"/>
        <v/>
      </c>
      <c r="M333" s="1073" t="str">
        <f t="shared" ca="1" si="209"/>
        <v/>
      </c>
      <c r="N333" s="1073" t="str">
        <f t="shared" ca="1" si="210"/>
        <v/>
      </c>
      <c r="O333" s="1075" t="str">
        <f t="shared" ca="1" si="205"/>
        <v/>
      </c>
      <c r="P333" s="1079" t="str">
        <f t="shared" ca="1" si="206"/>
        <v/>
      </c>
      <c r="IE333" s="927"/>
      <c r="IF333" s="927"/>
      <c r="IG333" s="927"/>
      <c r="IH333" s="927"/>
    </row>
    <row r="334" spans="1:242" s="889" customFormat="1" ht="20.100000000000001" hidden="1" customHeight="1">
      <c r="A334" s="889">
        <v>16</v>
      </c>
      <c r="B334" s="1071"/>
      <c r="C334" s="1072" t="s">
        <v>690</v>
      </c>
      <c r="D334" s="1071">
        <v>95</v>
      </c>
      <c r="E334" s="1073" t="str">
        <f ca="1">IF(IFERROR(OFFSET(貼付け_2024実績,$D334,3),"")="","",OFFSET(貼付け_2024実績,$D334,3))</f>
        <v/>
      </c>
      <c r="F334" s="1073" t="str">
        <f ca="1">IF(IFERROR(OFFSET(貼付け_2025実績,$D334,3),"")="","",OFFSET(貼付け_2025実績,$D334,3))</f>
        <v/>
      </c>
      <c r="G334" s="1073" t="str">
        <f ca="1">IF(IFERROR(OFFSET(貼付け_2026実績,$D334,3),"")="","",OFFSET(貼付け_2026実績,$D334,3))</f>
        <v/>
      </c>
      <c r="H334" s="1074" t="str">
        <f ca="1">IF(IFERROR(OFFSET(貼付け_2027実績,$D334,3),"")="","",OFFSET(貼付け_2027実績,$D334,3))</f>
        <v/>
      </c>
      <c r="I334" s="1075" t="str">
        <f t="shared" ca="1" si="204"/>
        <v/>
      </c>
      <c r="J334" s="1076">
        <v>208</v>
      </c>
      <c r="K334" s="1073" t="str">
        <f t="shared" ca="1" si="207"/>
        <v/>
      </c>
      <c r="L334" s="1073" t="str">
        <f t="shared" ca="1" si="208"/>
        <v/>
      </c>
      <c r="M334" s="1073" t="str">
        <f t="shared" ca="1" si="209"/>
        <v/>
      </c>
      <c r="N334" s="1073" t="str">
        <f t="shared" ca="1" si="210"/>
        <v/>
      </c>
      <c r="O334" s="1075" t="str">
        <f t="shared" ca="1" si="205"/>
        <v/>
      </c>
      <c r="P334" s="1079" t="str">
        <f t="shared" ca="1" si="206"/>
        <v/>
      </c>
      <c r="IE334" s="927"/>
      <c r="IF334" s="927"/>
      <c r="IG334" s="927"/>
      <c r="IH334" s="927"/>
    </row>
    <row r="335" spans="1:242" s="889" customFormat="1" ht="20.100000000000001" hidden="1" customHeight="1">
      <c r="A335" s="889">
        <v>17</v>
      </c>
      <c r="B335" s="1071"/>
      <c r="C335" s="1072" t="s">
        <v>691</v>
      </c>
      <c r="D335" s="1071">
        <v>96</v>
      </c>
      <c r="E335" s="1073" t="str">
        <f ca="1">IF(IFERROR(OFFSET(貼付け_2024実績,$D335,3),"")="","",OFFSET(貼付け_2024実績,$D335,3))</f>
        <v/>
      </c>
      <c r="F335" s="1073" t="str">
        <f ca="1">IF(IFERROR(OFFSET(貼付け_2025実績,$D335,3),"")="","",OFFSET(貼付け_2025実績,$D335,3))</f>
        <v/>
      </c>
      <c r="G335" s="1073" t="str">
        <f ca="1">IF(IFERROR(OFFSET(貼付け_2026実績,$D335,3),"")="","",OFFSET(貼付け_2026実績,$D335,3))</f>
        <v/>
      </c>
      <c r="H335" s="1074" t="str">
        <f ca="1">IF(IFERROR(OFFSET(貼付け_2027実績,$D335,3),"")="","",OFFSET(貼付け_2027実績,$D335,3))</f>
        <v/>
      </c>
      <c r="I335" s="1075" t="str">
        <f t="shared" ca="1" si="204"/>
        <v/>
      </c>
      <c r="J335" s="1076">
        <v>209</v>
      </c>
      <c r="K335" s="1073" t="str">
        <f t="shared" ca="1" si="207"/>
        <v/>
      </c>
      <c r="L335" s="1073" t="str">
        <f t="shared" ca="1" si="208"/>
        <v/>
      </c>
      <c r="M335" s="1073" t="str">
        <f t="shared" ca="1" si="209"/>
        <v/>
      </c>
      <c r="N335" s="1073" t="str">
        <f t="shared" ca="1" si="210"/>
        <v/>
      </c>
      <c r="O335" s="1075" t="str">
        <f t="shared" ca="1" si="205"/>
        <v/>
      </c>
      <c r="P335" s="1079" t="str">
        <f t="shared" ca="1" si="206"/>
        <v/>
      </c>
      <c r="IE335" s="927"/>
      <c r="IF335" s="927"/>
      <c r="IG335" s="927"/>
      <c r="IH335" s="927"/>
    </row>
    <row r="336" spans="1:242" s="889" customFormat="1" ht="20.100000000000001" hidden="1" customHeight="1">
      <c r="A336" s="889">
        <v>18</v>
      </c>
      <c r="B336" s="1071"/>
      <c r="C336" s="1072" t="s">
        <v>692</v>
      </c>
      <c r="D336" s="1071">
        <v>97</v>
      </c>
      <c r="E336" s="1073" t="str">
        <f ca="1">IF(IFERROR(OFFSET(貼付け_2024実績,$D336,3),"")="","",OFFSET(貼付け_2024実績,$D336,3))</f>
        <v/>
      </c>
      <c r="F336" s="1073" t="str">
        <f ca="1">IF(IFERROR(OFFSET(貼付け_2025実績,$D336,3),"")="","",OFFSET(貼付け_2025実績,$D336,3))</f>
        <v/>
      </c>
      <c r="G336" s="1073" t="str">
        <f ca="1">IF(IFERROR(OFFSET(貼付け_2026実績,$D336,3),"")="","",OFFSET(貼付け_2026実績,$D336,3))</f>
        <v/>
      </c>
      <c r="H336" s="1074" t="str">
        <f ca="1">IF(IFERROR(OFFSET(貼付け_2027実績,$D336,3),"")="","",OFFSET(貼付け_2027実績,$D336,3))</f>
        <v/>
      </c>
      <c r="I336" s="1075" t="str">
        <f t="shared" ca="1" si="204"/>
        <v/>
      </c>
      <c r="J336" s="1076">
        <v>210</v>
      </c>
      <c r="K336" s="1073" t="str">
        <f t="shared" ca="1" si="207"/>
        <v/>
      </c>
      <c r="L336" s="1073" t="str">
        <f t="shared" ca="1" si="208"/>
        <v/>
      </c>
      <c r="M336" s="1073" t="str">
        <f t="shared" ca="1" si="209"/>
        <v/>
      </c>
      <c r="N336" s="1073" t="str">
        <f t="shared" ca="1" si="210"/>
        <v/>
      </c>
      <c r="O336" s="1075" t="str">
        <f t="shared" ca="1" si="205"/>
        <v/>
      </c>
      <c r="P336" s="1079" t="str">
        <f t="shared" ca="1" si="206"/>
        <v/>
      </c>
      <c r="IE336" s="927"/>
      <c r="IF336" s="927"/>
      <c r="IG336" s="927"/>
      <c r="IH336" s="927"/>
    </row>
    <row r="337" spans="1:242" s="889" customFormat="1" ht="20.100000000000001" hidden="1" customHeight="1">
      <c r="A337" s="889">
        <v>19</v>
      </c>
      <c r="B337" s="1071"/>
      <c r="C337" s="1072" t="s">
        <v>693</v>
      </c>
      <c r="D337" s="1071">
        <v>98</v>
      </c>
      <c r="E337" s="1073" t="str">
        <f ca="1">IF(IFERROR(OFFSET(貼付け_2024実績,$D337,3),"")="","",OFFSET(貼付け_2024実績,$D337,3))</f>
        <v/>
      </c>
      <c r="F337" s="1073" t="str">
        <f ca="1">IF(IFERROR(OFFSET(貼付け_2025実績,$D337,3),"")="","",OFFSET(貼付け_2025実績,$D337,3))</f>
        <v/>
      </c>
      <c r="G337" s="1073" t="str">
        <f ca="1">IF(IFERROR(OFFSET(貼付け_2026実績,$D337,3),"")="","",OFFSET(貼付け_2026実績,$D337,3))</f>
        <v/>
      </c>
      <c r="H337" s="1074" t="str">
        <f ca="1">IF(IFERROR(OFFSET(貼付け_2027実績,$D337,3),"")="","",OFFSET(貼付け_2027実績,$D337,3))</f>
        <v/>
      </c>
      <c r="I337" s="1075" t="str">
        <f t="shared" ca="1" si="204"/>
        <v/>
      </c>
      <c r="J337" s="1076">
        <v>211</v>
      </c>
      <c r="K337" s="1073" t="str">
        <f t="shared" ca="1" si="207"/>
        <v/>
      </c>
      <c r="L337" s="1073" t="str">
        <f t="shared" ca="1" si="208"/>
        <v/>
      </c>
      <c r="M337" s="1073" t="str">
        <f t="shared" ca="1" si="209"/>
        <v/>
      </c>
      <c r="N337" s="1073" t="str">
        <f t="shared" ca="1" si="210"/>
        <v/>
      </c>
      <c r="O337" s="1075" t="str">
        <f t="shared" ca="1" si="205"/>
        <v/>
      </c>
      <c r="P337" s="1079" t="str">
        <f t="shared" ca="1" si="206"/>
        <v/>
      </c>
      <c r="IE337" s="927"/>
      <c r="IF337" s="927"/>
      <c r="IG337" s="927"/>
      <c r="IH337" s="927"/>
    </row>
    <row r="338" spans="1:242" s="889" customFormat="1" ht="20.100000000000001" hidden="1" customHeight="1">
      <c r="A338" s="889">
        <v>20</v>
      </c>
      <c r="B338" s="1080" t="s">
        <v>694</v>
      </c>
      <c r="C338" s="1081" t="s">
        <v>695</v>
      </c>
      <c r="D338" s="1080">
        <v>164</v>
      </c>
      <c r="E338" s="1082" t="str">
        <f ca="1">IF(IFERROR(OFFSET(貼付け_2024実績,$D338,3),"")="","",OFFSET(貼付け_2024実績,$D338,3))</f>
        <v/>
      </c>
      <c r="F338" s="1082" t="str">
        <f ca="1">IF(IFERROR(OFFSET(貼付け_2025実績,$D338,3),"")="","",OFFSET(貼付け_2025実績,$D338,3))</f>
        <v/>
      </c>
      <c r="G338" s="1082" t="str">
        <f ca="1">IF(IFERROR(OFFSET(貼付け_2026実績,$D338,3),"")="","",OFFSET(貼付け_2026実績,$D338,3))</f>
        <v/>
      </c>
      <c r="H338" s="1083" t="str">
        <f ca="1">IF(IFERROR(OFFSET(貼付け_2027実績,$D338,3),"")="","",OFFSET(貼付け_2027実績,$D338,3))</f>
        <v/>
      </c>
      <c r="I338" s="1084" t="str">
        <f t="shared" ca="1" si="204"/>
        <v/>
      </c>
      <c r="J338" s="1085"/>
      <c r="K338" s="1086"/>
      <c r="L338" s="1086"/>
      <c r="M338" s="1086"/>
      <c r="N338" s="1086"/>
      <c r="O338" s="1087"/>
      <c r="P338" s="1088" t="str">
        <f ca="1">IF(I338=Q338,I338,IF(OR(I338="",Q338=""),I338&amp;Q338,I338&amp;"/"&amp;Q338))</f>
        <v/>
      </c>
      <c r="IE338" s="927"/>
      <c r="IF338" s="927"/>
      <c r="IG338" s="927"/>
      <c r="IH338" s="927"/>
    </row>
    <row r="339" spans="1:242" s="889" customFormat="1" ht="20.100000000000001" hidden="1" customHeight="1">
      <c r="D339" s="892"/>
      <c r="IE339" s="927"/>
      <c r="IF339" s="927"/>
      <c r="IG339" s="927"/>
      <c r="IH339" s="927"/>
    </row>
    <row r="340" spans="1:242" s="889" customFormat="1" ht="20.100000000000001" hidden="1" customHeight="1">
      <c r="A340" s="889">
        <v>0</v>
      </c>
      <c r="B340" s="977" t="s">
        <v>696</v>
      </c>
      <c r="C340" s="889">
        <v>1</v>
      </c>
      <c r="D340" s="889">
        <v>2</v>
      </c>
      <c r="E340" s="889">
        <v>3</v>
      </c>
      <c r="F340" s="889">
        <v>4</v>
      </c>
      <c r="G340" s="889">
        <v>5</v>
      </c>
      <c r="IE340" s="927"/>
      <c r="IF340" s="927"/>
      <c r="IG340" s="927"/>
      <c r="IH340" s="927"/>
    </row>
    <row r="341" spans="1:242" s="889" customFormat="1" ht="20.100000000000001" hidden="1" customHeight="1">
      <c r="A341" s="889">
        <v>1</v>
      </c>
      <c r="C341" s="989">
        <v>2024</v>
      </c>
      <c r="D341" s="989">
        <v>2025</v>
      </c>
      <c r="E341" s="989">
        <v>2026</v>
      </c>
      <c r="F341" s="989">
        <v>2027</v>
      </c>
      <c r="G341" s="1089" t="s">
        <v>697</v>
      </c>
      <c r="IE341" s="927"/>
      <c r="IF341" s="927"/>
      <c r="IG341" s="927"/>
      <c r="IH341" s="927"/>
    </row>
    <row r="342" spans="1:242" s="889" customFormat="1" ht="20.100000000000001" hidden="1" customHeight="1">
      <c r="A342" s="889">
        <v>2</v>
      </c>
      <c r="B342" s="989" t="s">
        <v>698</v>
      </c>
      <c r="C342" s="989" t="str">
        <f ca="1">IF(OFFSET(貼付け_2024実績,0,1)&lt;&gt;"",OFFSET(貼付け_2024実績,0,1),"")</f>
        <v/>
      </c>
      <c r="D342" s="989" t="str">
        <f ca="1">IF(OFFSET(貼付け_2025実績,0,1)&lt;&gt;"",OFFSET(貼付け_2025実績,0,1),"")</f>
        <v/>
      </c>
      <c r="E342" s="989" t="str">
        <f ca="1">IF(OFFSET(貼付け_2026実績,0,1)&lt;&gt;"",OFFSET(貼付け_2026実績,0,1),"")</f>
        <v/>
      </c>
      <c r="F342" s="989" t="str">
        <f ca="1">IF(OFFSET(貼付け_2027実績,0,1)&lt;&gt;"",OFFSET(貼付け_2027実績,0,1),"")</f>
        <v/>
      </c>
      <c r="G342" s="1089" t="str">
        <f ca="1">IF(F342="",IF(E342="",IF(D342="",C342,D342),E342),F342)</f>
        <v/>
      </c>
      <c r="IE342" s="927"/>
      <c r="IF342" s="927"/>
      <c r="IG342" s="927"/>
      <c r="IH342" s="927"/>
    </row>
    <row r="343" spans="1:242" s="889" customFormat="1" ht="20.100000000000001" hidden="1" customHeight="1">
      <c r="A343" s="889">
        <v>3</v>
      </c>
      <c r="B343" s="989" t="s">
        <v>468</v>
      </c>
      <c r="C343" s="989" t="str">
        <f ca="1">IF(OFFSET(貼付け_2024実績,1,1)&lt;&gt;"",OFFSET(貼付け_2024実績,1,1),"")</f>
        <v/>
      </c>
      <c r="D343" s="989" t="str">
        <f ca="1">IF(OFFSET(貼付け_2025実績,1,1)&lt;&gt;"",OFFSET(貼付け_2025実績,1,1),"")</f>
        <v/>
      </c>
      <c r="E343" s="989" t="str">
        <f ca="1">IF(OFFSET(貼付け_2026実績,1,1)&lt;&gt;"",OFFSET(貼付け_2026実績,1,1),"")</f>
        <v/>
      </c>
      <c r="F343" s="989" t="str">
        <f ca="1">IF(OFFSET(貼付け_2027実績,1,1)&lt;&gt;"",OFFSET(貼付け_2027実績,1,1),"")</f>
        <v/>
      </c>
      <c r="G343" s="1089" t="str">
        <f ca="1">IF(F343="",IF(E343="",IF(D343="",C343,D343),E343),F343)</f>
        <v/>
      </c>
      <c r="IE343" s="927"/>
      <c r="IF343" s="927"/>
      <c r="IG343" s="927"/>
      <c r="IH343" s="927"/>
    </row>
    <row r="344" spans="1:242" s="889" customFormat="1" ht="20.100000000000001" hidden="1" customHeight="1">
      <c r="A344" s="889">
        <v>4</v>
      </c>
      <c r="B344" s="989" t="s">
        <v>699</v>
      </c>
      <c r="C344" s="989" t="str">
        <f ca="1">IF(OFFSET(貼付け_2024実績,2,2)&lt;&gt;"",OFFSET(貼付け_2024実績,2,2),"")</f>
        <v/>
      </c>
      <c r="D344" s="989" t="str">
        <f ca="1">IF(OFFSET(貼付け_2025実績,2,2)&lt;&gt;"",OFFSET(貼付け_2025実績,2,2),"")</f>
        <v/>
      </c>
      <c r="E344" s="989" t="str">
        <f ca="1">IF(OFFSET(貼付け_2026実績,2,2)&lt;&gt;"",OFFSET(貼付け_2026実績,2,2),"")</f>
        <v/>
      </c>
      <c r="F344" s="989" t="str">
        <f ca="1">IF(OFFSET(貼付け_2027実績,2,2)&lt;&gt;"",OFFSET(貼付け_2027実績,2,2),"")</f>
        <v/>
      </c>
      <c r="G344" s="1089" t="str">
        <f ca="1">IF(F344="",IF(E344="",IF(D344="",C344,D344),E344),F344)</f>
        <v/>
      </c>
      <c r="IE344" s="927"/>
      <c r="IF344" s="927"/>
      <c r="IG344" s="927"/>
      <c r="IH344" s="927"/>
    </row>
    <row r="345" spans="1:242" s="889" customFormat="1" ht="20.100000000000001" hidden="1" customHeight="1">
      <c r="A345" s="889">
        <v>5</v>
      </c>
      <c r="B345" s="989" t="s">
        <v>700</v>
      </c>
      <c r="C345" s="989" t="str">
        <f ca="1">IF(OFFSET(貼付け_2024実績,2,4)&lt;&gt;"",OFFSET(貼付け_2024実績,2,4),"")</f>
        <v/>
      </c>
      <c r="D345" s="989" t="str">
        <f ca="1">IF(OFFSET(貼付け_2025実績,2,4)&lt;&gt;"",OFFSET(貼付け_2025実績,2,4),"")</f>
        <v/>
      </c>
      <c r="E345" s="989" t="str">
        <f ca="1">IF(OFFSET(貼付け_2026実績,2,4)&lt;&gt;"",OFFSET(貼付け_2026実績,2,4),"")</f>
        <v/>
      </c>
      <c r="F345" s="989" t="str">
        <f ca="1">IF(OFFSET(貼付け_2027実績,2,4)&lt;&gt;"",OFFSET(貼付け_2027実績,2,4),"")</f>
        <v/>
      </c>
      <c r="G345" s="1089" t="str">
        <f ca="1">IF(F345="",IF(E345="",IF(D345="",C345,D345),E345),F345)</f>
        <v/>
      </c>
      <c r="IE345" s="927"/>
      <c r="IF345" s="927"/>
      <c r="IG345" s="927"/>
      <c r="IH345" s="927"/>
    </row>
    <row r="346" spans="1:242" s="889" customFormat="1" ht="20.100000000000001" hidden="1" customHeight="1">
      <c r="A346" s="889">
        <v>6</v>
      </c>
      <c r="B346" s="989" t="s">
        <v>471</v>
      </c>
      <c r="C346" s="989" t="str">
        <f ca="1">IF(OFFSET(貼付け_2024実績,3,3)&lt;&gt;"",OFFSET(貼付け_2024実績,3,3),"")</f>
        <v/>
      </c>
      <c r="D346" s="989" t="str">
        <f ca="1">IF(OFFSET(貼付け_2025実績,3,3)&lt;&gt;"",OFFSET(貼付け_2025実績,3,3),"")</f>
        <v/>
      </c>
      <c r="E346" s="989" t="str">
        <f ca="1">IF(OFFSET(貼付け_2026実績,3,3)&lt;&gt;"",OFFSET(貼付け_2026実績,3,3),"")</f>
        <v/>
      </c>
      <c r="F346" s="989" t="str">
        <f ca="1">IF(OFFSET(貼付け_2027実績,3,3)&lt;&gt;"",OFFSET(貼付け_2027実績,3,3),"")</f>
        <v/>
      </c>
      <c r="G346" s="1089" t="str">
        <f ca="1">IF(F346="",IF(E346="",IF(D346="",C346,D346),E346),F346)</f>
        <v/>
      </c>
      <c r="IE346" s="927"/>
      <c r="IF346" s="927"/>
      <c r="IG346" s="927"/>
      <c r="IH346" s="927"/>
    </row>
    <row r="347" spans="1:242" s="889" customFormat="1" ht="20.100000000000001" hidden="1" customHeight="1">
      <c r="A347" s="889">
        <v>7</v>
      </c>
      <c r="B347" s="989" t="s">
        <v>701</v>
      </c>
      <c r="C347" s="989" t="str">
        <f ca="1">OFFSET(貼付け_2024実績,0,4)</f>
        <v>要選択</v>
      </c>
      <c r="D347" s="989" t="str">
        <f ca="1">OFFSET(貼付け_2025実績,0,4)</f>
        <v>要選択</v>
      </c>
      <c r="E347" s="989" t="str">
        <f ca="1">OFFSET(貼付け_2026実績,0,4)</f>
        <v>要選択</v>
      </c>
      <c r="F347" s="989" t="str">
        <f ca="1">OFFSET(貼付け_2027実績,0,4)</f>
        <v>要選択</v>
      </c>
      <c r="G347" s="1089">
        <f ca="1">IFERROR(MATCH(TRUE,INDEX(C347:F347&lt;&gt;"要選択",),0),1)+2024</f>
        <v>2025</v>
      </c>
      <c r="H347" s="889" t="s">
        <v>702</v>
      </c>
      <c r="IE347" s="927"/>
      <c r="IF347" s="927"/>
      <c r="IG347" s="927"/>
      <c r="IH347" s="927"/>
    </row>
    <row r="348" spans="1:242" s="889" customFormat="1" ht="20.100000000000001" hidden="1" customHeight="1">
      <c r="A348" s="889">
        <v>8</v>
      </c>
      <c r="B348" s="989" t="s">
        <v>703</v>
      </c>
      <c r="C348" s="989" t="str">
        <f ca="1">IF(OFFSET(貼付け_2024実績,1,6)="","",OFFSET(貼付け_2024実績,1,6))</f>
        <v/>
      </c>
      <c r="D348" s="989" t="str">
        <f ca="1">IF(OFFSET(貼付け_2025実績,1,6)="","",OFFSET(貼付け_2025実績,1,6))</f>
        <v/>
      </c>
      <c r="E348" s="989" t="str">
        <f ca="1">IF(OFFSET(貼付け_2026実績,1,6)="","",OFFSET(貼付け_2026実績,1,6))</f>
        <v/>
      </c>
      <c r="F348" s="989" t="str">
        <f ca="1">IF(OFFSET(貼付け_2027実績,1,6)="","",OFFSET(貼付け_2027実績,1,6))</f>
        <v/>
      </c>
      <c r="G348" s="1089" t="str">
        <f ca="1">IF(F348="",IF(E348="",IF(D348="",C348,D348),E348),F348)</f>
        <v/>
      </c>
      <c r="IE348" s="927"/>
      <c r="IF348" s="927"/>
      <c r="IG348" s="927"/>
      <c r="IH348" s="927"/>
    </row>
    <row r="349" spans="1:242" s="889" customFormat="1" ht="20.100000000000001" hidden="1" customHeight="1">
      <c r="A349" s="889">
        <v>9</v>
      </c>
      <c r="B349" s="989" t="s">
        <v>704</v>
      </c>
      <c r="C349" s="989" t="str">
        <f ca="1">IF(OFFSET(貼付け_2024実績,2,6)="","",OFFSET(貼付け_2024実績,2,6))</f>
        <v/>
      </c>
      <c r="D349" s="989" t="str">
        <f ca="1">IF(OFFSET(貼付け_2025実績,2,6)="","",OFFSET(貼付け_2025実績,2,6))</f>
        <v/>
      </c>
      <c r="E349" s="989" t="str">
        <f ca="1">IF(OFFSET(貼付け_2026実績,2,6)="","",OFFSET(貼付け_2026実績,2,6))</f>
        <v/>
      </c>
      <c r="F349" s="989" t="str">
        <f ca="1">IF(OFFSET(貼付け_2027実績,2,6)="","",OFFSET(貼付け_2027実績,2,6))</f>
        <v/>
      </c>
      <c r="G349" s="1089" t="str">
        <f ca="1">IF(F349="",IF(E349="",IF(D349="",C349,D349),E349),F349)</f>
        <v/>
      </c>
      <c r="IE349" s="927"/>
      <c r="IF349" s="927"/>
      <c r="IG349" s="927"/>
      <c r="IH349" s="927"/>
    </row>
    <row r="350" spans="1:242" s="889" customFormat="1" ht="20.100000000000001" hidden="1" customHeight="1">
      <c r="A350" s="889">
        <v>10</v>
      </c>
      <c r="B350" s="989" t="s">
        <v>705</v>
      </c>
      <c r="C350" s="989" t="str">
        <f ca="1">IF(OFFSET(貼付け_2024実績,3,6)="","",OFFSET(貼付け_2024実績,3,6))</f>
        <v/>
      </c>
      <c r="D350" s="989" t="str">
        <f ca="1">IF(OFFSET(貼付け_2025実績,3,6)="","",OFFSET(貼付け_2025実績,3,6))</f>
        <v/>
      </c>
      <c r="E350" s="989" t="str">
        <f ca="1">IF(OFFSET(貼付け_2026実績,3,6)="","",OFFSET(貼付け_2026実績,3,6))</f>
        <v/>
      </c>
      <c r="F350" s="989" t="str">
        <f ca="1">IF(OFFSET(貼付け_2027実績,3,6)="","",OFFSET(貼付け_2027実績,3,6))</f>
        <v/>
      </c>
      <c r="G350" s="1089" t="str">
        <f ca="1">IF(F350="",IF(E350="",IF(D350="",C350,D350),E350),F350)</f>
        <v/>
      </c>
      <c r="IE350" s="927"/>
      <c r="IF350" s="927"/>
      <c r="IG350" s="927"/>
      <c r="IH350" s="927"/>
    </row>
    <row r="351" spans="1:242" s="889" customFormat="1" ht="20.100000000000001" hidden="1" customHeight="1">
      <c r="A351" s="889">
        <v>11</v>
      </c>
      <c r="B351" s="989" t="s">
        <v>706</v>
      </c>
      <c r="C351" s="989" t="str">
        <f ca="1">IF(OFFSET(貼付け_2024実績,1,8)="","",OFFSET(貼付け_2024実績,1,8))</f>
        <v/>
      </c>
      <c r="D351" s="989" t="str">
        <f ca="1">IF(OFFSET(貼付け_2025実績,1,8)="","",OFFSET(貼付け_2025実績,1,8))</f>
        <v/>
      </c>
      <c r="E351" s="989" t="str">
        <f ca="1">IF(OFFSET(貼付け_2026実績,1,8)="","",OFFSET(貼付け_2026実績,1,8))</f>
        <v/>
      </c>
      <c r="F351" s="989" t="str">
        <f ca="1">IF(OFFSET(貼付け_2027実績,1,8)="","",OFFSET(貼付け_2027実績,1,8))</f>
        <v/>
      </c>
      <c r="G351" s="1089" t="str">
        <f ca="1">IF(F351="",IF(E351="",IF(D351="",C351,D351),E351),F351)</f>
        <v/>
      </c>
      <c r="IE351" s="927"/>
      <c r="IF351" s="927"/>
      <c r="IG351" s="927"/>
      <c r="IH351" s="927"/>
    </row>
    <row r="352" spans="1:242" s="889" customFormat="1" ht="20.100000000000001" hidden="1" customHeight="1">
      <c r="A352" s="889">
        <v>12</v>
      </c>
      <c r="B352" s="989" t="s">
        <v>1772</v>
      </c>
      <c r="C352" s="989" t="str">
        <f ca="1">IF(OFFSET(貼付け_2024実績,2,8)="","",OFFSET(貼付け_2024実績,2,8))</f>
        <v/>
      </c>
      <c r="D352" s="989" t="str">
        <f ca="1">IF(OFFSET(貼付け_2025実績,2,8)="","",OFFSET(貼付け_2025実績,2,8))</f>
        <v/>
      </c>
      <c r="E352" s="989" t="str">
        <f ca="1">IF(OFFSET(貼付け_2026実績,2,8)="","",OFFSET(貼付け_2026実績,2,8))</f>
        <v/>
      </c>
      <c r="F352" s="989" t="str">
        <f ca="1">IF(OFFSET(貼付け_2027実績,2,8)="","",OFFSET(貼付け_2027実績,2,8))</f>
        <v/>
      </c>
      <c r="G352" s="1089" t="str">
        <f ca="1">IF(F352="",IF(E352="",IF(D352="",C352,D352),E352),F352)</f>
        <v/>
      </c>
      <c r="IE352" s="927"/>
      <c r="IF352" s="927"/>
      <c r="IG352" s="927"/>
      <c r="IH352" s="927"/>
    </row>
    <row r="353" spans="1:242" s="889" customFormat="1" ht="20.100000000000001" hidden="1" customHeight="1">
      <c r="A353" s="889">
        <v>13</v>
      </c>
      <c r="B353" s="989" t="s">
        <v>707</v>
      </c>
      <c r="C353" s="989" t="str">
        <f ca="1">IF(OFFSET(貼付け_2024実績,0,1)="","",IF(C348="■","第１号該当事業者",IF(C349="■","第２号該当事業者",""))&amp;IF(OR(C348="■",C349="■"),IF(C350="■","かつ第３号該当事業者",""),"第３号該当事業者"))</f>
        <v/>
      </c>
      <c r="D353" s="989" t="str">
        <f ca="1">IF(OFFSET(貼付け_2025実績,0,1)="","",IF(D348="■","第１号該当事業者",IF(D349="■","第２号該当事業者",""))&amp;IF(OR(D348="■",D349="■"),IF(D350="■","かつ第３号該当事業者",""),"第３号該当事業者"))</f>
        <v/>
      </c>
      <c r="E353" s="989" t="str">
        <f ca="1">IF(OFFSET(貼付け_2026実績,0,1)="","",IF(E348="■","第１号該当事業者",IF(E349="■","第２号該当事業者",""))&amp;IF(OR(E348="■",E349="■"),IF(E350="■","かつ第３号該当事業者",""),"第３号該当事業者"))</f>
        <v/>
      </c>
      <c r="F353" s="989" t="str">
        <f ca="1">IF(OFFSET(貼付け_2027実績,0,1)="","",IF(F348="■","第１号該当事業者",IF(F349="■","第２号該当事業者",""))&amp;IF(OR(F348="■",F349="■"),IF(F350="■","かつ第３号該当事業者",""),"第３号該当事業者"))</f>
        <v/>
      </c>
      <c r="G353" s="1089" t="str">
        <f t="shared" ref="G353:G355" ca="1" si="211">IF(F353="",IF(E353="",IF(D353="",C353,D353),E353),F353)</f>
        <v/>
      </c>
      <c r="IE353" s="927"/>
      <c r="IF353" s="927"/>
      <c r="IG353" s="927"/>
      <c r="IH353" s="927"/>
    </row>
    <row r="354" spans="1:242" s="889" customFormat="1" ht="20.100000000000001" hidden="1" customHeight="1">
      <c r="A354" s="889">
        <v>14</v>
      </c>
      <c r="B354" s="989" t="s">
        <v>1773</v>
      </c>
      <c r="C354" s="989" t="str">
        <f ca="1">IF(OFFSET(貼付け_2024実績,0,1)="","",IF(C351="■","工場等に関する削減計画策定者","")&amp;IF(C351="■",IF(C352="■","かつ自動車に関する削減計画策定者",""),"自動車に関する削減計画策定者"))</f>
        <v/>
      </c>
      <c r="D354" s="989" t="str">
        <f ca="1">IF(OFFSET(貼付け_2025実績,0,1)="","",IF(D351="■","工場等に関する削減計画策定者","")&amp;IF(D351="■",IF(D352="■","かつ自動車に関する削減計画策定者",""),"自動車に関する削減計画策定者"))</f>
        <v/>
      </c>
      <c r="E354" s="989" t="str">
        <f ca="1">IF(OFFSET(貼付け_2026実績,0,1)="","",IF(E351="■","工場等に関する削減計画策定者","")&amp;IF(E351="■",IF(E352="■","かつ自動車に関する削減計画策定者",""),"自動車に関する削減計画策定者"))</f>
        <v/>
      </c>
      <c r="F354" s="989" t="str">
        <f ca="1">IF(OFFSET(貼付け_2027実績,0,1)="","",IF(F351="■","工場等に関する削減計画策定者","")&amp;IF(F351="■",IF(F352="■","かつ自動車に関する削減計画策定者",""),"自動車に関する削減計画策定者"))</f>
        <v/>
      </c>
      <c r="G354" s="1089" t="str">
        <f t="shared" ca="1" si="211"/>
        <v/>
      </c>
      <c r="IE354" s="927"/>
      <c r="IF354" s="927"/>
      <c r="IG354" s="927"/>
      <c r="IH354" s="927"/>
    </row>
    <row r="355" spans="1:242" s="889" customFormat="1" ht="20.100000000000001" hidden="1" customHeight="1">
      <c r="A355" s="889">
        <v>15</v>
      </c>
      <c r="B355" s="989" t="s">
        <v>633</v>
      </c>
      <c r="C355" s="989" t="str">
        <f ca="1">IF(OFFSET(貼付け_2024実績,0,1)="","",IF(OR(OFFSET(貼付け_2024実績,1,10)&lt;&gt;"",OFFSET(貼付け_2024実績,1,11)&lt;&gt;""),"単一の指標を設定","複数の指標を設定"))</f>
        <v/>
      </c>
      <c r="D355" s="989" t="str">
        <f ca="1">IF(OFFSET(貼付け_2025実績,0,1)="","",IF(OR(OFFSET(貼付け_2025実績,1,10)&lt;&gt;"",OFFSET(貼付け_2025実績,1,11)&lt;&gt;""),"単一の指標を設定","複数の指標を設定"))</f>
        <v/>
      </c>
      <c r="E355" s="989" t="str">
        <f ca="1">IF(OFFSET(貼付け_2026実績,0,1)="","",IF(OR(OFFSET(貼付け_2026実績,1,10)&lt;&gt;"",OFFSET(貼付け_2026実績,1,11)&lt;&gt;""),"単一の指標を設定","複数の指標を設定"))</f>
        <v/>
      </c>
      <c r="F355" s="989" t="str">
        <f ca="1">IF(OFFSET(貼付け_2027実績,0,1)="","",IF(OR(OFFSET(貼付け_2027実績,1,10)&lt;&gt;"",OFFSET(貼付け_2027実績,1,11)&lt;&gt;""),"単一の指標を設定","複数の指標を設定"))</f>
        <v/>
      </c>
      <c r="G355" s="1089" t="str">
        <f t="shared" ca="1" si="211"/>
        <v/>
      </c>
      <c r="IE355" s="927"/>
      <c r="IF355" s="927"/>
      <c r="IG355" s="927"/>
      <c r="IH355" s="927"/>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AQ121"/>
  <sheetViews>
    <sheetView zoomScaleNormal="100" workbookViewId="0">
      <selection activeCell="I32" sqref="I32:J32"/>
    </sheetView>
  </sheetViews>
  <sheetFormatPr defaultColWidth="9" defaultRowHeight="19.8" outlineLevelRow="1" outlineLevelCol="1"/>
  <cols>
    <col min="1" max="1" width="3.59765625" style="1094" customWidth="1"/>
    <col min="2" max="2" width="20.59765625" style="1094" customWidth="1"/>
    <col min="3" max="3" width="9.59765625" style="1094" customWidth="1"/>
    <col min="4" max="4" width="8.59765625" style="1094" customWidth="1"/>
    <col min="5" max="5" width="9.59765625" style="1094" customWidth="1"/>
    <col min="6" max="6" width="8.59765625" style="1094" customWidth="1"/>
    <col min="7" max="7" width="12.59765625" style="1094" customWidth="1"/>
    <col min="8" max="8" width="9.59765625" style="1094" customWidth="1"/>
    <col min="9" max="10" width="6.59765625" style="1094" customWidth="1"/>
    <col min="11" max="11" width="1.3984375" style="1094" customWidth="1"/>
    <col min="12" max="12" width="45.59765625" style="1094" customWidth="1"/>
    <col min="13" max="13" width="56.3984375" style="1158" hidden="1" customWidth="1" outlineLevel="1"/>
    <col min="14" max="14" width="1.3984375" style="1094" customWidth="1" collapsed="1"/>
    <col min="15" max="15" width="20.59765625" style="1094" customWidth="1"/>
    <col min="16" max="16" width="9.59765625" style="1094" customWidth="1"/>
    <col min="17" max="17" width="8.59765625" style="1094" customWidth="1"/>
    <col min="18" max="18" width="9.59765625" style="1094" customWidth="1"/>
    <col min="19" max="19" width="8.59765625" style="1094" customWidth="1"/>
    <col min="20" max="20" width="12.59765625" style="1094" customWidth="1"/>
    <col min="21" max="21" width="9.59765625" style="1094" customWidth="1"/>
    <col min="22" max="23" width="6.59765625" style="1094" customWidth="1"/>
    <col min="24" max="24" width="1.19921875" style="1094" customWidth="1"/>
    <col min="25" max="25" width="20.59765625" style="1094" customWidth="1"/>
    <col min="26" max="26" width="9.59765625" style="1094" customWidth="1"/>
    <col min="27" max="27" width="8.59765625" style="1094" customWidth="1"/>
    <col min="28" max="28" width="9.59765625" style="1094" customWidth="1"/>
    <col min="29" max="29" width="8.59765625" style="1094" customWidth="1"/>
    <col min="30" max="30" width="12.59765625" style="1094" customWidth="1"/>
    <col min="31" max="31" width="9.59765625" style="1094" customWidth="1"/>
    <col min="32" max="33" width="6.59765625" style="1094" customWidth="1"/>
    <col min="34" max="34" width="1.19921875" style="1094" customWidth="1"/>
    <col min="35" max="35" width="20.59765625" style="1094" customWidth="1"/>
    <col min="36" max="36" width="9.59765625" style="1094" customWidth="1"/>
    <col min="37" max="37" width="8.59765625" style="1094" customWidth="1"/>
    <col min="38" max="38" width="9.59765625" style="1094" customWidth="1"/>
    <col min="39" max="39" width="8.59765625" style="1094" customWidth="1"/>
    <col min="40" max="40" width="12.59765625" style="1094" customWidth="1"/>
    <col min="41" max="41" width="9.59765625" style="1094" customWidth="1"/>
    <col min="42" max="43" width="6.59765625" style="1094" customWidth="1"/>
    <col min="44" max="44" width="1.19921875" style="1094" customWidth="1"/>
    <col min="45" max="16384" width="9" style="1094"/>
  </cols>
  <sheetData>
    <row r="1" spans="1:43" ht="39.9" customHeight="1">
      <c r="A1" s="1093" t="s">
        <v>708</v>
      </c>
      <c r="E1" s="1095" t="s">
        <v>710</v>
      </c>
      <c r="F1" s="1096" t="s">
        <v>711</v>
      </c>
      <c r="G1" s="1097" t="s">
        <v>1809</v>
      </c>
      <c r="H1" s="1098" t="s">
        <v>712</v>
      </c>
      <c r="I1" s="1451">
        <f ca="1">TODAY()</f>
        <v>45803</v>
      </c>
      <c r="J1" s="1452"/>
      <c r="L1" s="1099" t="s">
        <v>1684</v>
      </c>
      <c r="M1" s="1100" t="s">
        <v>1564</v>
      </c>
      <c r="R1" s="1095" t="s">
        <v>710</v>
      </c>
      <c r="S1" s="1096" t="s">
        <v>711</v>
      </c>
      <c r="T1" s="1097" t="s">
        <v>1683</v>
      </c>
      <c r="U1" s="1098" t="s">
        <v>712</v>
      </c>
      <c r="AB1" s="1095" t="s">
        <v>710</v>
      </c>
      <c r="AC1" s="1096" t="s">
        <v>711</v>
      </c>
      <c r="AD1" s="1097" t="s">
        <v>1683</v>
      </c>
      <c r="AE1" s="1098" t="s">
        <v>712</v>
      </c>
      <c r="AL1" s="1095" t="s">
        <v>710</v>
      </c>
      <c r="AM1" s="1096" t="s">
        <v>711</v>
      </c>
      <c r="AN1" s="1097" t="s">
        <v>1683</v>
      </c>
      <c r="AO1" s="1098" t="s">
        <v>712</v>
      </c>
    </row>
    <row r="2" spans="1:43" s="1101" customFormat="1" ht="24.75" hidden="1" customHeight="1" outlineLevel="1">
      <c r="B2" s="1102"/>
      <c r="C2" s="1103"/>
      <c r="D2" s="1104"/>
      <c r="E2" s="1103"/>
      <c r="F2" s="1105"/>
      <c r="G2" s="1106"/>
      <c r="H2" s="1103"/>
      <c r="M2" s="1107"/>
      <c r="O2" s="1102"/>
      <c r="P2" s="1103"/>
      <c r="Q2" s="1104"/>
      <c r="R2" s="1103"/>
      <c r="S2" s="1105"/>
      <c r="T2" s="1106"/>
      <c r="U2" s="1103"/>
      <c r="V2" s="1108"/>
      <c r="W2" s="1108"/>
      <c r="Y2" s="1102"/>
      <c r="Z2" s="1103"/>
      <c r="AA2" s="1104"/>
      <c r="AB2" s="1103"/>
      <c r="AC2" s="1105"/>
      <c r="AD2" s="1106"/>
      <c r="AE2" s="1103"/>
      <c r="AF2" s="1108"/>
      <c r="AG2" s="1108"/>
      <c r="AI2" s="1102"/>
      <c r="AJ2" s="1103"/>
      <c r="AK2" s="1104"/>
      <c r="AL2" s="1103"/>
      <c r="AM2" s="1105"/>
      <c r="AN2" s="1106"/>
      <c r="AO2" s="1103"/>
      <c r="AP2" s="1108"/>
      <c r="AQ2" s="1108"/>
    </row>
    <row r="3" spans="1:43" s="1109" customFormat="1" ht="22.2" collapsed="1">
      <c r="B3" s="1432" t="s">
        <v>713</v>
      </c>
      <c r="C3" s="1432"/>
      <c r="D3" s="1432"/>
      <c r="E3" s="1432"/>
      <c r="F3" s="1432"/>
      <c r="G3" s="1432"/>
      <c r="H3" s="1432"/>
      <c r="I3" s="1432"/>
      <c r="J3" s="1432"/>
      <c r="L3" s="1110" t="s">
        <v>1685</v>
      </c>
      <c r="M3" s="1111"/>
      <c r="O3" s="1432" t="s">
        <v>714</v>
      </c>
      <c r="P3" s="1432"/>
      <c r="Q3" s="1432"/>
      <c r="R3" s="1432"/>
      <c r="S3" s="1432"/>
      <c r="T3" s="1432"/>
      <c r="U3" s="1432"/>
      <c r="V3" s="1432"/>
      <c r="W3" s="1432"/>
      <c r="Y3" s="1432" t="s">
        <v>715</v>
      </c>
      <c r="Z3" s="1432"/>
      <c r="AA3" s="1432"/>
      <c r="AB3" s="1432"/>
      <c r="AC3" s="1432"/>
      <c r="AD3" s="1432"/>
      <c r="AE3" s="1432"/>
      <c r="AF3" s="1432"/>
      <c r="AG3" s="1432"/>
      <c r="AI3" s="1432" t="s">
        <v>716</v>
      </c>
      <c r="AJ3" s="1432"/>
      <c r="AK3" s="1432"/>
      <c r="AL3" s="1432"/>
      <c r="AM3" s="1432"/>
      <c r="AN3" s="1432"/>
      <c r="AO3" s="1432"/>
      <c r="AP3" s="1432"/>
      <c r="AQ3" s="1432"/>
    </row>
    <row r="4" spans="1:43" ht="18.75" customHeight="1">
      <c r="B4" s="1112" t="s">
        <v>717</v>
      </c>
      <c r="C4" s="1112"/>
      <c r="D4" s="1112"/>
      <c r="E4" s="1112"/>
      <c r="F4" s="1112"/>
      <c r="G4" s="1112"/>
      <c r="H4" s="1113" t="s">
        <v>709</v>
      </c>
      <c r="I4" s="1114" t="str">
        <f ca="1">IF(OFFSET(INDIRECT("貼付け_"&amp;H39&amp;"実績"),2,13)="","",OFFSET(INDIRECT("貼付け_"&amp;H39&amp;"実績"),2,13))</f>
        <v/>
      </c>
      <c r="J4" s="1112"/>
      <c r="K4" s="1112"/>
      <c r="L4" s="1115" t="s">
        <v>1686</v>
      </c>
      <c r="M4" s="1450" t="s">
        <v>718</v>
      </c>
      <c r="N4" s="1112"/>
      <c r="O4" s="1112" t="s">
        <v>719</v>
      </c>
      <c r="P4" s="1112"/>
      <c r="Q4" s="1112"/>
      <c r="R4" s="1112"/>
      <c r="S4" s="1112"/>
      <c r="T4" s="1112"/>
      <c r="U4" s="1112"/>
      <c r="V4" s="1112"/>
      <c r="W4" s="1112"/>
      <c r="X4" s="1112"/>
      <c r="Y4" s="1112" t="str">
        <f>$O$4</f>
        <v>様式第６号（要綱第４条関係）（用紙　日本産業規格Ａ４縦型）</v>
      </c>
      <c r="Z4" s="1112"/>
      <c r="AA4" s="1112"/>
      <c r="AB4" s="1112"/>
      <c r="AC4" s="1112"/>
      <c r="AD4" s="1112"/>
      <c r="AE4" s="1112"/>
      <c r="AF4" s="1112"/>
      <c r="AG4" s="1112"/>
      <c r="AH4" s="1112"/>
      <c r="AI4" s="1112" t="str">
        <f>$O$4</f>
        <v>様式第６号（要綱第４条関係）（用紙　日本産業規格Ａ４縦型）</v>
      </c>
      <c r="AJ4" s="1112"/>
      <c r="AK4" s="1112"/>
      <c r="AL4" s="1112"/>
      <c r="AM4" s="1112"/>
      <c r="AN4" s="1112"/>
      <c r="AO4" s="1112"/>
      <c r="AP4" s="1112"/>
      <c r="AQ4" s="1112"/>
    </row>
    <row r="5" spans="1:43" ht="7.5" customHeight="1">
      <c r="B5" s="1112"/>
      <c r="C5" s="1112"/>
      <c r="D5" s="1112"/>
      <c r="E5" s="1112"/>
      <c r="F5" s="1112"/>
      <c r="G5" s="1112"/>
      <c r="H5" s="1112"/>
      <c r="I5" s="1112"/>
      <c r="J5" s="1112"/>
      <c r="K5" s="1112"/>
      <c r="L5" s="1112"/>
      <c r="M5" s="1450"/>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row>
    <row r="6" spans="1:43" s="1116" customFormat="1" ht="18.75" customHeight="1">
      <c r="B6" s="1433" t="s">
        <v>720</v>
      </c>
      <c r="C6" s="1433"/>
      <c r="D6" s="1433"/>
      <c r="E6" s="1433"/>
      <c r="F6" s="1433"/>
      <c r="G6" s="1433"/>
      <c r="H6" s="1433"/>
      <c r="I6" s="1433"/>
      <c r="J6" s="1433"/>
      <c r="K6" s="1117"/>
      <c r="L6" s="1110" t="s">
        <v>1687</v>
      </c>
      <c r="M6" s="1450"/>
      <c r="N6" s="1117"/>
      <c r="O6" s="1433" t="s">
        <v>720</v>
      </c>
      <c r="P6" s="1433"/>
      <c r="Q6" s="1433"/>
      <c r="R6" s="1433"/>
      <c r="S6" s="1433"/>
      <c r="T6" s="1433"/>
      <c r="U6" s="1433"/>
      <c r="V6" s="1433"/>
      <c r="W6" s="1433"/>
      <c r="X6" s="1117"/>
      <c r="Y6" s="1433" t="s">
        <v>720</v>
      </c>
      <c r="Z6" s="1433"/>
      <c r="AA6" s="1433"/>
      <c r="AB6" s="1433"/>
      <c r="AC6" s="1433"/>
      <c r="AD6" s="1433"/>
      <c r="AE6" s="1433"/>
      <c r="AF6" s="1433"/>
      <c r="AG6" s="1433"/>
      <c r="AH6" s="1117"/>
      <c r="AI6" s="1433" t="s">
        <v>720</v>
      </c>
      <c r="AJ6" s="1433"/>
      <c r="AK6" s="1433"/>
      <c r="AL6" s="1433"/>
      <c r="AM6" s="1433"/>
      <c r="AN6" s="1433"/>
      <c r="AO6" s="1433"/>
      <c r="AP6" s="1433"/>
      <c r="AQ6" s="1433"/>
    </row>
    <row r="7" spans="1:43" ht="7.2" customHeight="1">
      <c r="B7" s="1112"/>
      <c r="C7" s="1112"/>
      <c r="D7" s="1112"/>
      <c r="E7" s="1112"/>
      <c r="F7" s="1112"/>
      <c r="G7" s="1112"/>
      <c r="H7" s="1112"/>
      <c r="I7" s="1112"/>
      <c r="J7" s="1112"/>
      <c r="K7" s="1112"/>
      <c r="L7" s="1393" t="s">
        <v>1688</v>
      </c>
      <c r="M7" s="1118"/>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112"/>
      <c r="AP7" s="1112"/>
      <c r="AQ7" s="1112"/>
    </row>
    <row r="8" spans="1:43" ht="18.75" customHeight="1">
      <c r="B8" s="1434" t="s">
        <v>721</v>
      </c>
      <c r="C8" s="1434"/>
      <c r="D8" s="1434"/>
      <c r="E8" s="1434"/>
      <c r="F8" s="1434"/>
      <c r="G8" s="1434"/>
      <c r="H8" s="1434"/>
      <c r="I8" s="1434"/>
      <c r="J8" s="1434"/>
      <c r="K8" s="1112"/>
      <c r="L8" s="1393"/>
      <c r="M8" s="1439" t="s">
        <v>722</v>
      </c>
      <c r="N8" s="1112"/>
      <c r="O8" s="1434" t="s">
        <v>723</v>
      </c>
      <c r="P8" s="1434"/>
      <c r="Q8" s="1434"/>
      <c r="R8" s="1434"/>
      <c r="S8" s="1434"/>
      <c r="T8" s="1434"/>
      <c r="U8" s="1434"/>
      <c r="V8" s="1434"/>
      <c r="W8" s="1434"/>
      <c r="X8" s="1112"/>
      <c r="Y8" s="1434" t="s">
        <v>723</v>
      </c>
      <c r="Z8" s="1434"/>
      <c r="AA8" s="1434"/>
      <c r="AB8" s="1434"/>
      <c r="AC8" s="1434"/>
      <c r="AD8" s="1434"/>
      <c r="AE8" s="1434"/>
      <c r="AF8" s="1434"/>
      <c r="AG8" s="1434"/>
      <c r="AH8" s="1112"/>
      <c r="AI8" s="1434" t="s">
        <v>723</v>
      </c>
      <c r="AJ8" s="1434"/>
      <c r="AK8" s="1434"/>
      <c r="AL8" s="1434"/>
      <c r="AM8" s="1434"/>
      <c r="AN8" s="1434"/>
      <c r="AO8" s="1434"/>
      <c r="AP8" s="1434"/>
      <c r="AQ8" s="1434"/>
    </row>
    <row r="9" spans="1:43" ht="7.5" customHeight="1">
      <c r="B9" s="1112"/>
      <c r="C9" s="1112"/>
      <c r="D9" s="1112"/>
      <c r="E9" s="1112"/>
      <c r="F9" s="1112"/>
      <c r="G9" s="1112"/>
      <c r="H9" s="1112"/>
      <c r="I9" s="1112"/>
      <c r="J9" s="1112"/>
      <c r="K9" s="1112"/>
      <c r="L9" s="1393"/>
      <c r="M9" s="1439"/>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row>
    <row r="10" spans="1:43" ht="18.75" customHeight="1">
      <c r="B10" s="1119" t="s">
        <v>724</v>
      </c>
      <c r="C10" s="1112"/>
      <c r="D10" s="1112"/>
      <c r="E10" s="1120"/>
      <c r="F10" s="1120"/>
      <c r="G10" s="1112"/>
      <c r="H10" s="1112"/>
      <c r="I10" s="1112"/>
      <c r="J10" s="1112"/>
      <c r="K10" s="1112"/>
      <c r="L10" s="1394" t="s">
        <v>1689</v>
      </c>
      <c r="M10" s="1439"/>
      <c r="N10" s="1112"/>
      <c r="O10" s="1119" t="s">
        <v>724</v>
      </c>
      <c r="P10" s="1112"/>
      <c r="Q10" s="1112"/>
      <c r="R10" s="1120"/>
      <c r="S10" s="1120"/>
      <c r="T10" s="1112"/>
      <c r="U10" s="1112"/>
      <c r="V10" s="1112"/>
      <c r="W10" s="1112"/>
      <c r="X10" s="1112"/>
      <c r="Y10" s="1119" t="s">
        <v>724</v>
      </c>
      <c r="Z10" s="1112"/>
      <c r="AA10" s="1112"/>
      <c r="AB10" s="1120"/>
      <c r="AC10" s="1120"/>
      <c r="AD10" s="1112"/>
      <c r="AE10" s="1112"/>
      <c r="AF10" s="1112"/>
      <c r="AG10" s="1112"/>
      <c r="AH10" s="1112"/>
      <c r="AI10" s="1119" t="s">
        <v>724</v>
      </c>
      <c r="AJ10" s="1112"/>
      <c r="AK10" s="1112"/>
      <c r="AL10" s="1120"/>
      <c r="AM10" s="1120"/>
      <c r="AN10" s="1112"/>
      <c r="AO10" s="1112"/>
      <c r="AP10" s="1112"/>
      <c r="AQ10" s="1112"/>
    </row>
    <row r="11" spans="1:43" ht="7.5" customHeight="1">
      <c r="B11" s="1112"/>
      <c r="C11" s="1112"/>
      <c r="D11" s="1112"/>
      <c r="E11" s="1112"/>
      <c r="F11" s="1112"/>
      <c r="G11" s="1112"/>
      <c r="H11" s="1112"/>
      <c r="I11" s="1112"/>
      <c r="J11" s="1112"/>
      <c r="K11" s="1112"/>
      <c r="L11" s="1394"/>
      <c r="M11" s="1121"/>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2"/>
      <c r="AL11" s="1112"/>
      <c r="AM11" s="1112"/>
      <c r="AN11" s="1112"/>
      <c r="AO11" s="1112"/>
      <c r="AP11" s="1112"/>
      <c r="AQ11" s="1112"/>
    </row>
    <row r="12" spans="1:43" ht="39" customHeight="1">
      <c r="B12" s="1112"/>
      <c r="C12" s="1112"/>
      <c r="D12" s="1122" t="s">
        <v>725</v>
      </c>
      <c r="E12" s="1424" t="s">
        <v>726</v>
      </c>
      <c r="F12" s="1424"/>
      <c r="G12" s="1430"/>
      <c r="H12" s="1430"/>
      <c r="I12" s="1430"/>
      <c r="J12" s="1430"/>
      <c r="K12" s="1112"/>
      <c r="L12" s="1393" t="s">
        <v>1690</v>
      </c>
      <c r="M12" s="1123" t="s">
        <v>727</v>
      </c>
      <c r="N12" s="1112"/>
      <c r="O12" s="1112"/>
      <c r="P12" s="1112"/>
      <c r="Q12" s="1119" t="s">
        <v>725</v>
      </c>
      <c r="R12" s="1424" t="s">
        <v>726</v>
      </c>
      <c r="S12" s="1424"/>
      <c r="T12" s="1435">
        <f>G12</f>
        <v>0</v>
      </c>
      <c r="U12" s="1435"/>
      <c r="V12" s="1435"/>
      <c r="W12" s="1435"/>
      <c r="X12" s="1112"/>
      <c r="Y12" s="1112"/>
      <c r="Z12" s="1112"/>
      <c r="AA12" s="1119" t="s">
        <v>725</v>
      </c>
      <c r="AB12" s="1424" t="s">
        <v>726</v>
      </c>
      <c r="AC12" s="1424"/>
      <c r="AD12" s="1435">
        <f>T12</f>
        <v>0</v>
      </c>
      <c r="AE12" s="1435"/>
      <c r="AF12" s="1435"/>
      <c r="AG12" s="1435"/>
      <c r="AH12" s="1112"/>
      <c r="AI12" s="1112"/>
      <c r="AJ12" s="1112"/>
      <c r="AK12" s="1119" t="s">
        <v>725</v>
      </c>
      <c r="AL12" s="1424" t="s">
        <v>726</v>
      </c>
      <c r="AM12" s="1424"/>
      <c r="AN12" s="1435">
        <f>AD12</f>
        <v>0</v>
      </c>
      <c r="AO12" s="1435"/>
      <c r="AP12" s="1435"/>
      <c r="AQ12" s="1435"/>
    </row>
    <row r="13" spans="1:43" ht="22.5" customHeight="1">
      <c r="B13" s="1112"/>
      <c r="C13" s="1112"/>
      <c r="D13" s="1112"/>
      <c r="E13" s="1424" t="s">
        <v>728</v>
      </c>
      <c r="F13" s="1424"/>
      <c r="G13" s="1429"/>
      <c r="H13" s="1429"/>
      <c r="I13" s="1429"/>
      <c r="J13" s="1429"/>
      <c r="K13" s="1112"/>
      <c r="L13" s="1393"/>
      <c r="M13" s="1118"/>
      <c r="N13" s="1112"/>
      <c r="O13" s="1112"/>
      <c r="P13" s="1112"/>
      <c r="Q13" s="1112"/>
      <c r="R13" s="1424" t="s">
        <v>728</v>
      </c>
      <c r="S13" s="1424"/>
      <c r="T13" s="1425">
        <f>G13</f>
        <v>0</v>
      </c>
      <c r="U13" s="1425"/>
      <c r="V13" s="1425"/>
      <c r="W13" s="1425"/>
      <c r="X13" s="1112"/>
      <c r="Y13" s="1112"/>
      <c r="Z13" s="1112"/>
      <c r="AA13" s="1112"/>
      <c r="AB13" s="1424" t="s">
        <v>728</v>
      </c>
      <c r="AC13" s="1424"/>
      <c r="AD13" s="1435">
        <f t="shared" ref="AD13:AD15" si="0">T13</f>
        <v>0</v>
      </c>
      <c r="AE13" s="1435"/>
      <c r="AF13" s="1435"/>
      <c r="AG13" s="1435"/>
      <c r="AH13" s="1112"/>
      <c r="AI13" s="1112"/>
      <c r="AJ13" s="1112"/>
      <c r="AK13" s="1112"/>
      <c r="AL13" s="1424" t="s">
        <v>728</v>
      </c>
      <c r="AM13" s="1424"/>
      <c r="AN13" s="1435">
        <f t="shared" ref="AN13:AN15" si="1">AD13</f>
        <v>0</v>
      </c>
      <c r="AO13" s="1435"/>
      <c r="AP13" s="1435"/>
      <c r="AQ13" s="1435"/>
    </row>
    <row r="14" spans="1:43" ht="22.5" customHeight="1">
      <c r="B14" s="1112"/>
      <c r="C14" s="1112"/>
      <c r="D14" s="1112"/>
      <c r="E14" s="1424" t="s">
        <v>699</v>
      </c>
      <c r="F14" s="1424"/>
      <c r="G14" s="1429"/>
      <c r="H14" s="1429"/>
      <c r="I14" s="1429"/>
      <c r="J14" s="1429"/>
      <c r="K14" s="1112"/>
      <c r="L14" s="1393"/>
      <c r="M14" s="1124" t="s">
        <v>729</v>
      </c>
      <c r="N14" s="1112"/>
      <c r="O14" s="1112"/>
      <c r="P14" s="1112"/>
      <c r="Q14" s="1112"/>
      <c r="R14" s="1424" t="s">
        <v>699</v>
      </c>
      <c r="S14" s="1424"/>
      <c r="T14" s="1425">
        <f>G14</f>
        <v>0</v>
      </c>
      <c r="U14" s="1425"/>
      <c r="V14" s="1425"/>
      <c r="W14" s="1425"/>
      <c r="X14" s="1112"/>
      <c r="Y14" s="1112"/>
      <c r="Z14" s="1112"/>
      <c r="AA14" s="1112"/>
      <c r="AB14" s="1424" t="s">
        <v>699</v>
      </c>
      <c r="AC14" s="1424"/>
      <c r="AD14" s="1435">
        <f t="shared" si="0"/>
        <v>0</v>
      </c>
      <c r="AE14" s="1435"/>
      <c r="AF14" s="1435"/>
      <c r="AG14" s="1435"/>
      <c r="AH14" s="1112"/>
      <c r="AI14" s="1112"/>
      <c r="AJ14" s="1112"/>
      <c r="AK14" s="1112"/>
      <c r="AL14" s="1424" t="s">
        <v>699</v>
      </c>
      <c r="AM14" s="1424"/>
      <c r="AN14" s="1435">
        <f t="shared" si="1"/>
        <v>0</v>
      </c>
      <c r="AO14" s="1435"/>
      <c r="AP14" s="1435"/>
      <c r="AQ14" s="1435"/>
    </row>
    <row r="15" spans="1:43" ht="22.5" customHeight="1">
      <c r="B15" s="1112"/>
      <c r="C15" s="1112"/>
      <c r="D15" s="1112"/>
      <c r="E15" s="1424" t="s">
        <v>730</v>
      </c>
      <c r="F15" s="1424"/>
      <c r="G15" s="1429"/>
      <c r="H15" s="1429"/>
      <c r="I15" s="1429"/>
      <c r="J15" s="1429"/>
      <c r="K15" s="1112"/>
      <c r="L15" s="1393"/>
      <c r="M15" s="1118"/>
      <c r="N15" s="1112"/>
      <c r="O15" s="1112"/>
      <c r="P15" s="1112"/>
      <c r="Q15" s="1112"/>
      <c r="R15" s="1424" t="s">
        <v>730</v>
      </c>
      <c r="S15" s="1424"/>
      <c r="T15" s="1425">
        <f>G15</f>
        <v>0</v>
      </c>
      <c r="U15" s="1425"/>
      <c r="V15" s="1425"/>
      <c r="W15" s="1425"/>
      <c r="X15" s="1112"/>
      <c r="Y15" s="1112"/>
      <c r="Z15" s="1112"/>
      <c r="AA15" s="1112"/>
      <c r="AB15" s="1424" t="s">
        <v>730</v>
      </c>
      <c r="AC15" s="1424"/>
      <c r="AD15" s="1435">
        <f t="shared" si="0"/>
        <v>0</v>
      </c>
      <c r="AE15" s="1435"/>
      <c r="AF15" s="1435"/>
      <c r="AG15" s="1435"/>
      <c r="AH15" s="1112"/>
      <c r="AI15" s="1112"/>
      <c r="AJ15" s="1112"/>
      <c r="AK15" s="1112"/>
      <c r="AL15" s="1424" t="s">
        <v>730</v>
      </c>
      <c r="AM15" s="1424"/>
      <c r="AN15" s="1435">
        <f t="shared" si="1"/>
        <v>0</v>
      </c>
      <c r="AO15" s="1435"/>
      <c r="AP15" s="1435"/>
      <c r="AQ15" s="1435"/>
    </row>
    <row r="16" spans="1:43" ht="7.5" customHeight="1">
      <c r="B16" s="1112"/>
      <c r="C16" s="1112"/>
      <c r="D16" s="1112"/>
      <c r="E16" s="1112"/>
      <c r="F16" s="1112"/>
      <c r="G16" s="1112"/>
      <c r="H16" s="1112"/>
      <c r="I16" s="1112"/>
      <c r="J16" s="1112"/>
      <c r="K16" s="1112"/>
      <c r="L16" s="1393"/>
      <c r="M16" s="1118"/>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row>
    <row r="17" spans="2:43">
      <c r="B17" s="1420" t="s">
        <v>731</v>
      </c>
      <c r="C17" s="1420"/>
      <c r="D17" s="1420"/>
      <c r="E17" s="1420"/>
      <c r="F17" s="1420"/>
      <c r="G17" s="1420"/>
      <c r="H17" s="1420"/>
      <c r="I17" s="1420"/>
      <c r="J17" s="1420"/>
      <c r="K17" s="1112"/>
      <c r="L17" s="1393"/>
      <c r="M17" s="1118"/>
      <c r="N17" s="1112"/>
      <c r="O17" s="1420" t="s">
        <v>732</v>
      </c>
      <c r="P17" s="1420"/>
      <c r="Q17" s="1420"/>
      <c r="R17" s="1420"/>
      <c r="S17" s="1420"/>
      <c r="T17" s="1420"/>
      <c r="U17" s="1420"/>
      <c r="V17" s="1420"/>
      <c r="W17" s="1420"/>
      <c r="X17" s="1112"/>
      <c r="Y17" s="1420" t="s">
        <v>732</v>
      </c>
      <c r="Z17" s="1420"/>
      <c r="AA17" s="1420"/>
      <c r="AB17" s="1420"/>
      <c r="AC17" s="1420"/>
      <c r="AD17" s="1420"/>
      <c r="AE17" s="1420"/>
      <c r="AF17" s="1420"/>
      <c r="AG17" s="1420"/>
      <c r="AH17" s="1112"/>
      <c r="AI17" s="1420" t="s">
        <v>732</v>
      </c>
      <c r="AJ17" s="1420"/>
      <c r="AK17" s="1420"/>
      <c r="AL17" s="1420"/>
      <c r="AM17" s="1420"/>
      <c r="AN17" s="1420"/>
      <c r="AO17" s="1420"/>
      <c r="AP17" s="1420"/>
      <c r="AQ17" s="1420"/>
    </row>
    <row r="18" spans="2:43" ht="7.5" customHeight="1">
      <c r="B18" s="1112"/>
      <c r="C18" s="1112"/>
      <c r="D18" s="1112"/>
      <c r="E18" s="1112"/>
      <c r="F18" s="1112"/>
      <c r="G18" s="1112"/>
      <c r="H18" s="1112"/>
      <c r="I18" s="1112"/>
      <c r="J18" s="1112"/>
      <c r="K18" s="1112"/>
      <c r="L18" s="1125"/>
      <c r="M18" s="1118"/>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3" ht="15" customHeight="1">
      <c r="B19" s="1126" t="s">
        <v>733</v>
      </c>
      <c r="C19" s="1119"/>
      <c r="D19" s="1119"/>
      <c r="E19" s="1119"/>
      <c r="F19" s="1119"/>
      <c r="G19" s="1119"/>
      <c r="H19" s="1119"/>
      <c r="I19" s="1119"/>
      <c r="J19" s="1119"/>
      <c r="K19" s="1112"/>
      <c r="L19" s="1125"/>
      <c r="M19" s="1118"/>
      <c r="N19" s="1112"/>
      <c r="O19" s="1126" t="s">
        <v>733</v>
      </c>
      <c r="P19" s="1119"/>
      <c r="Q19" s="1119"/>
      <c r="R19" s="1119"/>
      <c r="S19" s="1119"/>
      <c r="T19" s="1119"/>
      <c r="U19" s="1119"/>
      <c r="V19" s="1119"/>
      <c r="W19" s="1119"/>
      <c r="X19" s="1112"/>
      <c r="Y19" s="1126" t="s">
        <v>733</v>
      </c>
      <c r="Z19" s="1119"/>
      <c r="AA19" s="1119"/>
      <c r="AB19" s="1119"/>
      <c r="AC19" s="1119"/>
      <c r="AD19" s="1119"/>
      <c r="AE19" s="1119"/>
      <c r="AF19" s="1119"/>
      <c r="AG19" s="1119"/>
      <c r="AH19" s="1112"/>
      <c r="AI19" s="1126" t="s">
        <v>733</v>
      </c>
      <c r="AJ19" s="1119"/>
      <c r="AK19" s="1119"/>
      <c r="AL19" s="1119"/>
      <c r="AM19" s="1119"/>
      <c r="AN19" s="1119"/>
      <c r="AO19" s="1119"/>
      <c r="AP19" s="1119"/>
      <c r="AQ19" s="1119"/>
    </row>
    <row r="20" spans="2:43" ht="22.5" customHeight="1">
      <c r="B20" s="1422" t="s">
        <v>734</v>
      </c>
      <c r="C20" s="1419" t="s">
        <v>735</v>
      </c>
      <c r="D20" s="1419"/>
      <c r="E20" s="1438">
        <f ca="1">OFFSET(INDIRECT("貼付け_"&amp;H39&amp;"実績"),1,1)</f>
        <v>0</v>
      </c>
      <c r="F20" s="1438"/>
      <c r="G20" s="1438"/>
      <c r="H20" s="1438"/>
      <c r="I20" s="1438"/>
      <c r="J20" s="1427"/>
      <c r="K20" s="1112"/>
      <c r="L20" s="1112"/>
      <c r="M20" s="1118" t="s">
        <v>736</v>
      </c>
      <c r="N20" s="1112"/>
      <c r="O20" s="1422" t="s">
        <v>734</v>
      </c>
      <c r="P20" s="1419" t="s">
        <v>735</v>
      </c>
      <c r="Q20" s="1419"/>
      <c r="R20" s="1417">
        <f ca="1">OFFSET(INDIRECT("貼付け_"&amp;2025&amp;"実績"),1,1)</f>
        <v>0</v>
      </c>
      <c r="S20" s="1417"/>
      <c r="T20" s="1417"/>
      <c r="U20" s="1417"/>
      <c r="V20" s="1417"/>
      <c r="W20" s="1418"/>
      <c r="X20" s="1112"/>
      <c r="Y20" s="1422" t="s">
        <v>734</v>
      </c>
      <c r="Z20" s="1419" t="s">
        <v>735</v>
      </c>
      <c r="AA20" s="1419"/>
      <c r="AB20" s="1417">
        <f ca="1">OFFSET(INDIRECT("貼付け_"&amp;2026&amp;"実績"),1,1)</f>
        <v>0</v>
      </c>
      <c r="AC20" s="1417"/>
      <c r="AD20" s="1417"/>
      <c r="AE20" s="1417"/>
      <c r="AF20" s="1417"/>
      <c r="AG20" s="1418"/>
      <c r="AH20" s="1112"/>
      <c r="AI20" s="1422" t="s">
        <v>734</v>
      </c>
      <c r="AJ20" s="1419" t="s">
        <v>735</v>
      </c>
      <c r="AK20" s="1419"/>
      <c r="AL20" s="1417">
        <f ca="1">OFFSET(INDIRECT("貼付け_"&amp;2027&amp;"実績"),1,1)</f>
        <v>0</v>
      </c>
      <c r="AM20" s="1417"/>
      <c r="AN20" s="1417"/>
      <c r="AO20" s="1417"/>
      <c r="AP20" s="1417"/>
      <c r="AQ20" s="1418"/>
    </row>
    <row r="21" spans="2:43" ht="22.5" customHeight="1">
      <c r="B21" s="1423"/>
      <c r="C21" s="1419" t="s">
        <v>737</v>
      </c>
      <c r="D21" s="1419"/>
      <c r="E21" s="1426">
        <f ca="1">OFFSET(INDIRECT("貼付け_"&amp;H39&amp;"実績"),2,2)</f>
        <v>0</v>
      </c>
      <c r="F21" s="1427"/>
      <c r="G21" s="1127" t="s">
        <v>738</v>
      </c>
      <c r="H21" s="1426">
        <f ca="1">OFFSET(INDIRECT("貼付け_"&amp;H39&amp;"実績"),2,4)</f>
        <v>0</v>
      </c>
      <c r="I21" s="1438"/>
      <c r="J21" s="1427"/>
      <c r="K21" s="1112"/>
      <c r="L21" s="1112"/>
      <c r="M21" s="1118" t="s">
        <v>736</v>
      </c>
      <c r="N21" s="1112"/>
      <c r="O21" s="1423"/>
      <c r="P21" s="1419" t="s">
        <v>737</v>
      </c>
      <c r="Q21" s="1419"/>
      <c r="R21" s="1421">
        <f ca="1">OFFSET(INDIRECT("貼付け_"&amp;2025&amp;"実績"),2,2)</f>
        <v>0</v>
      </c>
      <c r="S21" s="1418"/>
      <c r="T21" s="1127" t="s">
        <v>738</v>
      </c>
      <c r="U21" s="1421">
        <f ca="1">OFFSET(INDIRECT("貼付け_"&amp;2025&amp;"実績"),2,4)</f>
        <v>0</v>
      </c>
      <c r="V21" s="1417"/>
      <c r="W21" s="1418"/>
      <c r="X21" s="1112"/>
      <c r="Y21" s="1423"/>
      <c r="Z21" s="1419" t="s">
        <v>737</v>
      </c>
      <c r="AA21" s="1419"/>
      <c r="AB21" s="1421">
        <f ca="1">OFFSET(INDIRECT("貼付け_"&amp;2026&amp;"実績"),2,2)</f>
        <v>0</v>
      </c>
      <c r="AC21" s="1418"/>
      <c r="AD21" s="1127" t="s">
        <v>738</v>
      </c>
      <c r="AE21" s="1421">
        <f ca="1">OFFSET(INDIRECT("貼付け_"&amp;2026&amp;"実績"),2,4)</f>
        <v>0</v>
      </c>
      <c r="AF21" s="1417"/>
      <c r="AG21" s="1418"/>
      <c r="AH21" s="1112"/>
      <c r="AI21" s="1423"/>
      <c r="AJ21" s="1419" t="s">
        <v>737</v>
      </c>
      <c r="AK21" s="1419"/>
      <c r="AL21" s="1421">
        <f ca="1">OFFSET(INDIRECT("貼付け_"&amp;2027&amp;"実績"),2,2)</f>
        <v>0</v>
      </c>
      <c r="AM21" s="1418"/>
      <c r="AN21" s="1127" t="s">
        <v>738</v>
      </c>
      <c r="AO21" s="1421">
        <f ca="1">OFFSET(INDIRECT("貼付け_"&amp;2027&amp;"実績"),2,4)</f>
        <v>0</v>
      </c>
      <c r="AP21" s="1417"/>
      <c r="AQ21" s="1418"/>
    </row>
    <row r="22" spans="2:43" ht="22.5" customHeight="1">
      <c r="B22" s="1441" t="s">
        <v>739</v>
      </c>
      <c r="C22" s="1442"/>
      <c r="D22" s="1443"/>
      <c r="E22" s="1426">
        <f ca="1">OFFSET(INDIRECT("貼付け_"&amp;H39&amp;"実績"),3,3)</f>
        <v>0</v>
      </c>
      <c r="F22" s="1438"/>
      <c r="G22" s="1438"/>
      <c r="H22" s="1438"/>
      <c r="I22" s="1438"/>
      <c r="J22" s="1427"/>
      <c r="K22" s="1112"/>
      <c r="L22" s="1112"/>
      <c r="M22" s="1118" t="s">
        <v>736</v>
      </c>
      <c r="N22" s="1112"/>
      <c r="O22" s="1398" t="s">
        <v>739</v>
      </c>
      <c r="P22" s="1399"/>
      <c r="Q22" s="1400"/>
      <c r="R22" s="1421">
        <f ca="1">OFFSET(INDIRECT("貼付け_"&amp;2025&amp;"実績"),3,3)</f>
        <v>0</v>
      </c>
      <c r="S22" s="1417"/>
      <c r="T22" s="1417"/>
      <c r="U22" s="1417"/>
      <c r="V22" s="1417"/>
      <c r="W22" s="1418"/>
      <c r="X22" s="1112"/>
      <c r="Y22" s="1398" t="s">
        <v>739</v>
      </c>
      <c r="Z22" s="1399"/>
      <c r="AA22" s="1400"/>
      <c r="AB22" s="1421">
        <f ca="1">OFFSET(INDIRECT("貼付け_"&amp;2026&amp;"実績"),3,3)</f>
        <v>0</v>
      </c>
      <c r="AC22" s="1417"/>
      <c r="AD22" s="1417"/>
      <c r="AE22" s="1417"/>
      <c r="AF22" s="1417"/>
      <c r="AG22" s="1418"/>
      <c r="AH22" s="1112"/>
      <c r="AI22" s="1398" t="s">
        <v>739</v>
      </c>
      <c r="AJ22" s="1399"/>
      <c r="AK22" s="1400"/>
      <c r="AL22" s="1421">
        <f ca="1">OFFSET(INDIRECT("貼付け_"&amp;2027&amp;"実績"),3,3)</f>
        <v>0</v>
      </c>
      <c r="AM22" s="1417"/>
      <c r="AN22" s="1417"/>
      <c r="AO22" s="1417"/>
      <c r="AP22" s="1417"/>
      <c r="AQ22" s="1418"/>
    </row>
    <row r="23" spans="2:43" ht="22.5" customHeight="1">
      <c r="B23" s="1404" t="s">
        <v>740</v>
      </c>
      <c r="C23" s="1409"/>
      <c r="D23" s="1410"/>
      <c r="E23" s="1128">
        <f ca="1">OFFSET(INDIRECT("貼付け_"&amp;H39&amp;"実績"),1,8)</f>
        <v>0</v>
      </c>
      <c r="F23" s="1438" t="s">
        <v>741</v>
      </c>
      <c r="G23" s="1438"/>
      <c r="H23" s="1427"/>
      <c r="I23" s="1129" t="str">
        <f ca="1">IF(E23="■",IF(OR(LEFT(E26,1)="A",LEFT(E26,1)="B",LEFT(E26,1)="C",LEFT(E26,1)="D",LEFT(E26,1)="E",LEFT(E27,2)="33",LEFT(E27,2)="34",LEFT(E27,2)="35"),"産業","業務"),"")</f>
        <v/>
      </c>
      <c r="J23" s="223" t="s">
        <v>742</v>
      </c>
      <c r="K23" s="1112"/>
      <c r="L23" s="1112"/>
      <c r="M23" s="1440" t="s">
        <v>743</v>
      </c>
      <c r="N23" s="1112"/>
      <c r="O23" s="1404" t="s">
        <v>740</v>
      </c>
      <c r="P23" s="1409"/>
      <c r="Q23" s="1410"/>
      <c r="R23" s="1128">
        <f ca="1">$E$23</f>
        <v>0</v>
      </c>
      <c r="S23" s="1417" t="s">
        <v>741</v>
      </c>
      <c r="T23" s="1417"/>
      <c r="U23" s="1418"/>
      <c r="V23" s="1130" t="str">
        <f ca="1">$I$23</f>
        <v/>
      </c>
      <c r="W23" s="223" t="s">
        <v>742</v>
      </c>
      <c r="X23" s="1112"/>
      <c r="Y23" s="1404" t="s">
        <v>740</v>
      </c>
      <c r="Z23" s="1409"/>
      <c r="AA23" s="1410"/>
      <c r="AB23" s="1128">
        <f ca="1">$E$23</f>
        <v>0</v>
      </c>
      <c r="AC23" s="1417" t="s">
        <v>741</v>
      </c>
      <c r="AD23" s="1417"/>
      <c r="AE23" s="1418"/>
      <c r="AF23" s="1130" t="str">
        <f ca="1">IF(I23=0,"",I23)</f>
        <v/>
      </c>
      <c r="AG23" s="223" t="s">
        <v>742</v>
      </c>
      <c r="AH23" s="1112"/>
      <c r="AI23" s="1404" t="s">
        <v>740</v>
      </c>
      <c r="AJ23" s="1409"/>
      <c r="AK23" s="1410"/>
      <c r="AL23" s="1128">
        <f ca="1">$E$23</f>
        <v>0</v>
      </c>
      <c r="AM23" s="1417" t="s">
        <v>741</v>
      </c>
      <c r="AN23" s="1417"/>
      <c r="AO23" s="1418"/>
      <c r="AP23" s="1130" t="s">
        <v>211</v>
      </c>
      <c r="AQ23" s="223" t="s">
        <v>742</v>
      </c>
    </row>
    <row r="24" spans="2:43" ht="22.5" hidden="1" customHeight="1" outlineLevel="1">
      <c r="B24" s="1411"/>
      <c r="C24" s="1412"/>
      <c r="D24" s="1413"/>
      <c r="E24" s="1128"/>
      <c r="F24" s="1131"/>
      <c r="G24" s="1131"/>
      <c r="H24" s="1132"/>
      <c r="I24" s="1133"/>
      <c r="J24" s="223"/>
      <c r="K24" s="1112"/>
      <c r="L24" s="1134"/>
      <c r="M24" s="1440"/>
      <c r="N24" s="1112"/>
      <c r="O24" s="1411"/>
      <c r="P24" s="1412"/>
      <c r="Q24" s="1413"/>
      <c r="R24" s="1128">
        <f t="shared" ref="R24" ca="1" si="2">$E$23</f>
        <v>0</v>
      </c>
      <c r="S24" s="1135"/>
      <c r="T24" s="1135"/>
      <c r="U24" s="1136"/>
      <c r="V24" s="1137"/>
      <c r="W24" s="223"/>
      <c r="X24" s="1112"/>
      <c r="Y24" s="1411"/>
      <c r="Z24" s="1412"/>
      <c r="AA24" s="1413"/>
      <c r="AB24" s="1128">
        <f t="shared" ref="AB24" ca="1" si="3">$E$23</f>
        <v>0</v>
      </c>
      <c r="AC24" s="1135"/>
      <c r="AD24" s="1135"/>
      <c r="AE24" s="1136"/>
      <c r="AF24" s="1137"/>
      <c r="AG24" s="223"/>
      <c r="AH24" s="1112"/>
      <c r="AI24" s="1411"/>
      <c r="AJ24" s="1412"/>
      <c r="AK24" s="1413"/>
      <c r="AL24" s="1128">
        <f t="shared" ref="AL24" ca="1" si="4">$E$23</f>
        <v>0</v>
      </c>
      <c r="AM24" s="1135"/>
      <c r="AN24" s="1135"/>
      <c r="AO24" s="1136"/>
      <c r="AP24" s="1137"/>
      <c r="AQ24" s="223"/>
    </row>
    <row r="25" spans="2:43" ht="22.5" customHeight="1" collapsed="1">
      <c r="B25" s="1414"/>
      <c r="C25" s="1415"/>
      <c r="D25" s="1416"/>
      <c r="E25" s="1128">
        <f ca="1">OFFSET(INDIRECT("貼付け_"&amp;H39&amp;"実績"),2,8)</f>
        <v>0</v>
      </c>
      <c r="F25" s="1438" t="s">
        <v>744</v>
      </c>
      <c r="G25" s="1438"/>
      <c r="H25" s="1427"/>
      <c r="I25" s="1133" t="str">
        <f ca="1">IF(E25="■","運輸","")</f>
        <v/>
      </c>
      <c r="J25" s="223" t="s">
        <v>742</v>
      </c>
      <c r="K25" s="1112"/>
      <c r="L25" s="1110" t="s">
        <v>1691</v>
      </c>
      <c r="M25" s="1439" t="s">
        <v>745</v>
      </c>
      <c r="N25" s="1112"/>
      <c r="O25" s="1414"/>
      <c r="P25" s="1415"/>
      <c r="Q25" s="1416"/>
      <c r="R25" s="1128">
        <f ca="1">$E$25</f>
        <v>0</v>
      </c>
      <c r="S25" s="1417" t="s">
        <v>744</v>
      </c>
      <c r="T25" s="1417"/>
      <c r="U25" s="1418"/>
      <c r="V25" s="1137" t="str">
        <f ca="1">$I$25</f>
        <v/>
      </c>
      <c r="W25" s="223" t="s">
        <v>742</v>
      </c>
      <c r="X25" s="1112"/>
      <c r="Y25" s="1414"/>
      <c r="Z25" s="1415"/>
      <c r="AA25" s="1416"/>
      <c r="AB25" s="1128">
        <f ca="1">$E$25</f>
        <v>0</v>
      </c>
      <c r="AC25" s="1417" t="s">
        <v>744</v>
      </c>
      <c r="AD25" s="1417"/>
      <c r="AE25" s="1418"/>
      <c r="AF25" s="1137" t="str">
        <f ca="1">I25</f>
        <v/>
      </c>
      <c r="AG25" s="223" t="s">
        <v>742</v>
      </c>
      <c r="AH25" s="1112"/>
      <c r="AI25" s="1414"/>
      <c r="AJ25" s="1415"/>
      <c r="AK25" s="1416"/>
      <c r="AL25" s="1128">
        <f ca="1">$E$25</f>
        <v>0</v>
      </c>
      <c r="AM25" s="1417" t="s">
        <v>744</v>
      </c>
      <c r="AN25" s="1417"/>
      <c r="AO25" s="1418"/>
      <c r="AP25" s="1137" t="s">
        <v>216</v>
      </c>
      <c r="AQ25" s="223" t="s">
        <v>742</v>
      </c>
    </row>
    <row r="26" spans="2:43" ht="22.5" customHeight="1">
      <c r="B26" s="1419" t="s">
        <v>746</v>
      </c>
      <c r="C26" s="1419"/>
      <c r="D26" s="1138" t="s">
        <v>747</v>
      </c>
      <c r="E26" s="1431"/>
      <c r="F26" s="1431"/>
      <c r="G26" s="1431"/>
      <c r="H26" s="1431"/>
      <c r="I26" s="1431"/>
      <c r="J26" s="1431"/>
      <c r="K26" s="1112"/>
      <c r="L26" s="1393" t="s">
        <v>1692</v>
      </c>
      <c r="M26" s="1439"/>
      <c r="N26" s="1112"/>
      <c r="O26" s="1419" t="s">
        <v>746</v>
      </c>
      <c r="P26" s="1419"/>
      <c r="Q26" s="1138" t="s">
        <v>747</v>
      </c>
      <c r="R26" s="1395">
        <f>E26</f>
        <v>0</v>
      </c>
      <c r="S26" s="1395"/>
      <c r="T26" s="1395"/>
      <c r="U26" s="1395"/>
      <c r="V26" s="1395"/>
      <c r="W26" s="1395"/>
      <c r="X26" s="1112"/>
      <c r="Y26" s="1419" t="s">
        <v>746</v>
      </c>
      <c r="Z26" s="1419"/>
      <c r="AA26" s="1138" t="s">
        <v>747</v>
      </c>
      <c r="AB26" s="1395">
        <f>R26</f>
        <v>0</v>
      </c>
      <c r="AC26" s="1395"/>
      <c r="AD26" s="1395"/>
      <c r="AE26" s="1395"/>
      <c r="AF26" s="1395"/>
      <c r="AG26" s="1395"/>
      <c r="AH26" s="1112"/>
      <c r="AI26" s="1419" t="s">
        <v>746</v>
      </c>
      <c r="AJ26" s="1419"/>
      <c r="AK26" s="1138" t="s">
        <v>747</v>
      </c>
      <c r="AL26" s="1395">
        <f>AB26</f>
        <v>0</v>
      </c>
      <c r="AM26" s="1395"/>
      <c r="AN26" s="1395"/>
      <c r="AO26" s="1395"/>
      <c r="AP26" s="1395"/>
      <c r="AQ26" s="1395"/>
    </row>
    <row r="27" spans="2:43" ht="22.5" customHeight="1">
      <c r="B27" s="1419"/>
      <c r="C27" s="1419"/>
      <c r="D27" s="1138" t="s">
        <v>748</v>
      </c>
      <c r="E27" s="1431"/>
      <c r="F27" s="1431"/>
      <c r="G27" s="1431"/>
      <c r="H27" s="1431"/>
      <c r="I27" s="1431"/>
      <c r="J27" s="1431"/>
      <c r="K27" s="1112"/>
      <c r="L27" s="1393"/>
      <c r="M27" s="1118" t="s">
        <v>749</v>
      </c>
      <c r="N27" s="1112"/>
      <c r="O27" s="1419"/>
      <c r="P27" s="1419"/>
      <c r="Q27" s="1138" t="s">
        <v>748</v>
      </c>
      <c r="R27" s="1395">
        <f>E27</f>
        <v>0</v>
      </c>
      <c r="S27" s="1395"/>
      <c r="T27" s="1395"/>
      <c r="U27" s="1395"/>
      <c r="V27" s="1395"/>
      <c r="W27" s="1395"/>
      <c r="X27" s="1112"/>
      <c r="Y27" s="1419"/>
      <c r="Z27" s="1419"/>
      <c r="AA27" s="1138" t="s">
        <v>748</v>
      </c>
      <c r="AB27" s="1395">
        <f>R27</f>
        <v>0</v>
      </c>
      <c r="AC27" s="1395"/>
      <c r="AD27" s="1395"/>
      <c r="AE27" s="1395"/>
      <c r="AF27" s="1395"/>
      <c r="AG27" s="1395"/>
      <c r="AH27" s="1112"/>
      <c r="AI27" s="1419"/>
      <c r="AJ27" s="1419"/>
      <c r="AK27" s="1138" t="s">
        <v>748</v>
      </c>
      <c r="AL27" s="1395">
        <f>AB27</f>
        <v>0</v>
      </c>
      <c r="AM27" s="1395"/>
      <c r="AN27" s="1395"/>
      <c r="AO27" s="1395"/>
      <c r="AP27" s="1395"/>
      <c r="AQ27" s="1395"/>
    </row>
    <row r="28" spans="2:43" ht="7.5" customHeight="1">
      <c r="B28" s="1112"/>
      <c r="C28" s="1112"/>
      <c r="D28" s="1112"/>
      <c r="E28" s="1112"/>
      <c r="F28" s="1112"/>
      <c r="G28" s="1112"/>
      <c r="H28" s="1112"/>
      <c r="I28" s="1112"/>
      <c r="J28" s="1112"/>
      <c r="K28" s="1112"/>
      <c r="L28" s="1393"/>
      <c r="M28" s="1118"/>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row>
    <row r="29" spans="2:43" ht="15" customHeight="1">
      <c r="B29" s="1139"/>
      <c r="C29" s="1139"/>
      <c r="D29" s="1139"/>
      <c r="E29" s="1139"/>
      <c r="F29" s="1139"/>
      <c r="G29" s="1139"/>
      <c r="H29" s="1139"/>
      <c r="I29" s="1139"/>
      <c r="J29" s="1139"/>
      <c r="K29" s="1140"/>
      <c r="L29" s="1125"/>
      <c r="M29" s="1118"/>
      <c r="N29" s="1140"/>
      <c r="O29" s="1139"/>
      <c r="P29" s="1139"/>
      <c r="Q29" s="1139"/>
      <c r="R29" s="1139"/>
      <c r="S29" s="1139"/>
      <c r="T29" s="1139"/>
      <c r="U29" s="1139"/>
      <c r="V29" s="1139"/>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row>
    <row r="30" spans="2:43" ht="15" customHeight="1">
      <c r="B30" s="1126" t="s">
        <v>750</v>
      </c>
      <c r="C30" s="1112"/>
      <c r="D30" s="1112"/>
      <c r="E30" s="1112"/>
      <c r="F30" s="1112"/>
      <c r="G30" s="1112"/>
      <c r="H30" s="1112"/>
      <c r="I30" s="1112"/>
      <c r="J30" s="1112"/>
      <c r="K30" s="1112"/>
      <c r="L30" s="1125"/>
      <c r="M30" s="1118"/>
      <c r="N30" s="1112"/>
      <c r="O30" s="1126" t="s">
        <v>750</v>
      </c>
      <c r="P30" s="1112"/>
      <c r="Q30" s="1112"/>
      <c r="R30" s="1112"/>
      <c r="S30" s="1112"/>
      <c r="T30" s="1112"/>
      <c r="U30" s="1112"/>
      <c r="V30" s="1112"/>
      <c r="W30" s="1112"/>
      <c r="X30" s="1112"/>
      <c r="Y30" s="1126" t="s">
        <v>750</v>
      </c>
      <c r="Z30" s="1112"/>
      <c r="AA30" s="1112"/>
      <c r="AB30" s="1112"/>
      <c r="AC30" s="1112"/>
      <c r="AD30" s="1112"/>
      <c r="AE30" s="1112"/>
      <c r="AF30" s="1112"/>
      <c r="AG30" s="1112"/>
      <c r="AH30" s="1112"/>
      <c r="AI30" s="1126" t="s">
        <v>750</v>
      </c>
      <c r="AJ30" s="1112"/>
      <c r="AK30" s="1112"/>
      <c r="AL30" s="1112"/>
      <c r="AM30" s="1112"/>
      <c r="AN30" s="1112"/>
      <c r="AO30" s="1112"/>
      <c r="AP30" s="1112"/>
      <c r="AQ30" s="1112"/>
    </row>
    <row r="31" spans="2:43" ht="22.5" customHeight="1">
      <c r="B31" s="1396" t="s">
        <v>751</v>
      </c>
      <c r="C31" s="1396"/>
      <c r="D31" s="1396"/>
      <c r="E31" s="1396"/>
      <c r="F31" s="1396"/>
      <c r="G31" s="1396"/>
      <c r="H31" s="1396"/>
      <c r="I31" s="1397" t="s">
        <v>752</v>
      </c>
      <c r="J31" s="1397"/>
      <c r="K31" s="1112"/>
      <c r="L31" s="1110" t="s">
        <v>1693</v>
      </c>
      <c r="M31" s="1118"/>
      <c r="N31" s="1112"/>
      <c r="O31" s="1396" t="s">
        <v>751</v>
      </c>
      <c r="P31" s="1396"/>
      <c r="Q31" s="1396"/>
      <c r="R31" s="1396"/>
      <c r="S31" s="1396"/>
      <c r="T31" s="1396"/>
      <c r="U31" s="1396"/>
      <c r="V31" s="1397" t="s">
        <v>752</v>
      </c>
      <c r="W31" s="1397"/>
      <c r="X31" s="1112"/>
      <c r="Y31" s="1396" t="s">
        <v>751</v>
      </c>
      <c r="Z31" s="1396"/>
      <c r="AA31" s="1396"/>
      <c r="AB31" s="1396"/>
      <c r="AC31" s="1396"/>
      <c r="AD31" s="1396"/>
      <c r="AE31" s="1396"/>
      <c r="AF31" s="1397" t="s">
        <v>752</v>
      </c>
      <c r="AG31" s="1397"/>
      <c r="AH31" s="1112"/>
      <c r="AI31" s="1396" t="s">
        <v>751</v>
      </c>
      <c r="AJ31" s="1396"/>
      <c r="AK31" s="1396"/>
      <c r="AL31" s="1396"/>
      <c r="AM31" s="1396"/>
      <c r="AN31" s="1396"/>
      <c r="AO31" s="1396"/>
      <c r="AP31" s="1397" t="s">
        <v>752</v>
      </c>
      <c r="AQ31" s="1397"/>
    </row>
    <row r="32" spans="2:43" ht="22.5" customHeight="1">
      <c r="B32" s="1404" t="s">
        <v>753</v>
      </c>
      <c r="C32" s="1406" t="s">
        <v>754</v>
      </c>
      <c r="D32" s="1407"/>
      <c r="E32" s="1407"/>
      <c r="F32" s="1408"/>
      <c r="G32" s="56">
        <f ca="1">INDEX(参考2_エネ使用量経年!$L$95:$O$95,H39-2023)</f>
        <v>0</v>
      </c>
      <c r="H32" s="1141" t="s">
        <v>755</v>
      </c>
      <c r="I32" s="1428" t="s">
        <v>1909</v>
      </c>
      <c r="J32" s="1428"/>
      <c r="K32" s="1112"/>
      <c r="L32" s="1393" t="s">
        <v>1812</v>
      </c>
      <c r="M32" s="1118" t="s">
        <v>756</v>
      </c>
      <c r="N32" s="1112"/>
      <c r="O32" s="1404" t="s">
        <v>753</v>
      </c>
      <c r="P32" s="1406" t="s">
        <v>754</v>
      </c>
      <c r="Q32" s="1407"/>
      <c r="R32" s="1407"/>
      <c r="S32" s="1408"/>
      <c r="T32" s="56">
        <f ca="1">参考2_エネ使用量経年!M95</f>
        <v>0</v>
      </c>
      <c r="U32" s="1141" t="s">
        <v>755</v>
      </c>
      <c r="V32" s="1403" t="str">
        <f>$I$32</f>
        <v>■</v>
      </c>
      <c r="W32" s="1403"/>
      <c r="X32" s="1112"/>
      <c r="Y32" s="1404" t="s">
        <v>753</v>
      </c>
      <c r="Z32" s="1406" t="s">
        <v>754</v>
      </c>
      <c r="AA32" s="1407"/>
      <c r="AB32" s="1407"/>
      <c r="AC32" s="1408"/>
      <c r="AD32" s="56">
        <f ca="1">参考2_エネ使用量経年!N95</f>
        <v>0</v>
      </c>
      <c r="AE32" s="1141" t="s">
        <v>755</v>
      </c>
      <c r="AF32" s="1403" t="str">
        <f>$I$32</f>
        <v>■</v>
      </c>
      <c r="AG32" s="1403"/>
      <c r="AH32" s="1112"/>
      <c r="AI32" s="1404" t="s">
        <v>753</v>
      </c>
      <c r="AJ32" s="1406" t="s">
        <v>754</v>
      </c>
      <c r="AK32" s="1407"/>
      <c r="AL32" s="1407"/>
      <c r="AM32" s="1408"/>
      <c r="AN32" s="56">
        <f ca="1">参考2_エネ使用量経年!O95</f>
        <v>0</v>
      </c>
      <c r="AO32" s="1141" t="s">
        <v>755</v>
      </c>
      <c r="AP32" s="1403" t="str">
        <f>$I$32</f>
        <v>■</v>
      </c>
      <c r="AQ32" s="1403"/>
    </row>
    <row r="33" spans="2:43" ht="22.5" customHeight="1">
      <c r="B33" s="1414"/>
      <c r="C33" s="1406" t="s">
        <v>757</v>
      </c>
      <c r="D33" s="1407"/>
      <c r="E33" s="1407"/>
      <c r="F33" s="1408"/>
      <c r="G33" s="56">
        <f ca="1">INDEX(参考2_エネ使用量経年!$T$95:$W$95,H39-2023)</f>
        <v>0</v>
      </c>
      <c r="H33" s="1141" t="s">
        <v>755</v>
      </c>
      <c r="I33" s="1428" t="s">
        <v>1905</v>
      </c>
      <c r="J33" s="1428"/>
      <c r="K33" s="1112"/>
      <c r="L33" s="1393"/>
      <c r="M33" s="1118" t="s">
        <v>1906</v>
      </c>
      <c r="N33" s="1112"/>
      <c r="O33" s="1414"/>
      <c r="P33" s="1406" t="s">
        <v>757</v>
      </c>
      <c r="Q33" s="1407"/>
      <c r="R33" s="1407"/>
      <c r="S33" s="1408"/>
      <c r="T33" s="56">
        <f ca="1">参考2_エネ使用量経年!U95</f>
        <v>0</v>
      </c>
      <c r="U33" s="1141" t="s">
        <v>755</v>
      </c>
      <c r="V33" s="1403" t="str">
        <f>$I$33</f>
        <v>□</v>
      </c>
      <c r="W33" s="1403"/>
      <c r="X33" s="1112"/>
      <c r="Y33" s="1414"/>
      <c r="Z33" s="1406" t="s">
        <v>757</v>
      </c>
      <c r="AA33" s="1407"/>
      <c r="AB33" s="1407"/>
      <c r="AC33" s="1408"/>
      <c r="AD33" s="56">
        <f ca="1">参考2_エネ使用量経年!V95</f>
        <v>0</v>
      </c>
      <c r="AE33" s="1141" t="s">
        <v>755</v>
      </c>
      <c r="AF33" s="1403" t="str">
        <f>$I$33</f>
        <v>□</v>
      </c>
      <c r="AG33" s="1403"/>
      <c r="AH33" s="1112"/>
      <c r="AI33" s="1414"/>
      <c r="AJ33" s="1406" t="s">
        <v>757</v>
      </c>
      <c r="AK33" s="1407"/>
      <c r="AL33" s="1407"/>
      <c r="AM33" s="1408"/>
      <c r="AN33" s="56">
        <f ca="1">参考2_エネ使用量経年!W95</f>
        <v>0</v>
      </c>
      <c r="AO33" s="1141" t="s">
        <v>755</v>
      </c>
      <c r="AP33" s="1403" t="str">
        <f>$I$33</f>
        <v>□</v>
      </c>
      <c r="AQ33" s="1403"/>
    </row>
    <row r="34" spans="2:43" ht="22.5" customHeight="1">
      <c r="B34" s="1404" t="s">
        <v>758</v>
      </c>
      <c r="C34" s="1406" t="s">
        <v>754</v>
      </c>
      <c r="D34" s="1407"/>
      <c r="E34" s="1407"/>
      <c r="F34" s="1408"/>
      <c r="G34" s="56">
        <f ca="1">INDEX(参考2_エネ使用量経年!$L$118:$O$118,H39-2023)</f>
        <v>0</v>
      </c>
      <c r="H34" s="1141" t="s">
        <v>759</v>
      </c>
      <c r="I34" s="1428" t="s">
        <v>1909</v>
      </c>
      <c r="J34" s="1428"/>
      <c r="K34" s="1112"/>
      <c r="L34" s="1393"/>
      <c r="M34" s="1118" t="s">
        <v>756</v>
      </c>
      <c r="N34" s="1112"/>
      <c r="O34" s="1404" t="s">
        <v>758</v>
      </c>
      <c r="P34" s="1406" t="s">
        <v>754</v>
      </c>
      <c r="Q34" s="1407"/>
      <c r="R34" s="1407"/>
      <c r="S34" s="1408"/>
      <c r="T34" s="56">
        <f ca="1">参考2_エネ使用量経年!M118</f>
        <v>0</v>
      </c>
      <c r="U34" s="1141" t="s">
        <v>759</v>
      </c>
      <c r="V34" s="1403" t="str">
        <f>$I$34</f>
        <v>■</v>
      </c>
      <c r="W34" s="1403"/>
      <c r="X34" s="1112"/>
      <c r="Y34" s="1404" t="s">
        <v>758</v>
      </c>
      <c r="Z34" s="1406" t="s">
        <v>754</v>
      </c>
      <c r="AA34" s="1407"/>
      <c r="AB34" s="1407"/>
      <c r="AC34" s="1408"/>
      <c r="AD34" s="56">
        <f ca="1">参考2_エネ使用量経年!N118</f>
        <v>0</v>
      </c>
      <c r="AE34" s="1141" t="s">
        <v>759</v>
      </c>
      <c r="AF34" s="1403" t="str">
        <f>$I$34</f>
        <v>■</v>
      </c>
      <c r="AG34" s="1403"/>
      <c r="AH34" s="1112"/>
      <c r="AI34" s="1404" t="s">
        <v>758</v>
      </c>
      <c r="AJ34" s="1406" t="s">
        <v>754</v>
      </c>
      <c r="AK34" s="1407"/>
      <c r="AL34" s="1407"/>
      <c r="AM34" s="1408"/>
      <c r="AN34" s="56">
        <f ca="1">参考2_エネ使用量経年!O118</f>
        <v>0</v>
      </c>
      <c r="AO34" s="1141" t="s">
        <v>759</v>
      </c>
      <c r="AP34" s="1403" t="str">
        <f>$I$34</f>
        <v>■</v>
      </c>
      <c r="AQ34" s="1403"/>
    </row>
    <row r="35" spans="2:43" ht="22.5" customHeight="1">
      <c r="B35" s="1405"/>
      <c r="C35" s="1406" t="s">
        <v>757</v>
      </c>
      <c r="D35" s="1407"/>
      <c r="E35" s="1407"/>
      <c r="F35" s="1408"/>
      <c r="G35" s="56">
        <f ca="1">INDEX(参考2_エネ使用量経年!$T$118:$W$118,H39-2023)</f>
        <v>0</v>
      </c>
      <c r="H35" s="1141" t="s">
        <v>759</v>
      </c>
      <c r="I35" s="1428" t="s">
        <v>1905</v>
      </c>
      <c r="J35" s="1428"/>
      <c r="K35" s="1112"/>
      <c r="L35" s="1393"/>
      <c r="M35" s="1118" t="s">
        <v>1907</v>
      </c>
      <c r="N35" s="1112"/>
      <c r="O35" s="1405"/>
      <c r="P35" s="1406" t="s">
        <v>757</v>
      </c>
      <c r="Q35" s="1407"/>
      <c r="R35" s="1407"/>
      <c r="S35" s="1408"/>
      <c r="T35" s="56">
        <f ca="1">参考2_エネ使用量経年!U118</f>
        <v>0</v>
      </c>
      <c r="U35" s="1141" t="s">
        <v>759</v>
      </c>
      <c r="V35" s="1403" t="str">
        <f>$I$35</f>
        <v>□</v>
      </c>
      <c r="W35" s="1403"/>
      <c r="X35" s="1112"/>
      <c r="Y35" s="1405"/>
      <c r="Z35" s="1406" t="s">
        <v>757</v>
      </c>
      <c r="AA35" s="1407"/>
      <c r="AB35" s="1407"/>
      <c r="AC35" s="1408"/>
      <c r="AD35" s="56">
        <f ca="1">参考2_エネ使用量経年!V118</f>
        <v>0</v>
      </c>
      <c r="AE35" s="1141" t="s">
        <v>759</v>
      </c>
      <c r="AF35" s="1403" t="str">
        <f>$I$35</f>
        <v>□</v>
      </c>
      <c r="AG35" s="1403"/>
      <c r="AH35" s="1112"/>
      <c r="AI35" s="1405"/>
      <c r="AJ35" s="1406" t="s">
        <v>757</v>
      </c>
      <c r="AK35" s="1407"/>
      <c r="AL35" s="1407"/>
      <c r="AM35" s="1408"/>
      <c r="AN35" s="56">
        <f ca="1">参考2_エネ使用量経年!W118</f>
        <v>0</v>
      </c>
      <c r="AO35" s="1141" t="s">
        <v>759</v>
      </c>
      <c r="AP35" s="1403" t="str">
        <f>$I$35</f>
        <v>□</v>
      </c>
      <c r="AQ35" s="1403"/>
    </row>
    <row r="36" spans="2:43" ht="7.5" customHeight="1">
      <c r="B36" s="1139"/>
      <c r="C36" s="1139"/>
      <c r="D36" s="1139"/>
      <c r="E36" s="1139"/>
      <c r="F36" s="1139"/>
      <c r="G36" s="1139"/>
      <c r="H36" s="1139"/>
      <c r="I36" s="1139"/>
      <c r="J36" s="1139"/>
      <c r="K36" s="1140"/>
      <c r="L36" s="1393"/>
      <c r="M36" s="1142"/>
      <c r="N36" s="1140"/>
      <c r="O36" s="1139"/>
      <c r="P36" s="1139"/>
      <c r="Q36" s="1139"/>
      <c r="R36" s="1139"/>
      <c r="S36" s="1139"/>
      <c r="T36" s="1139"/>
      <c r="U36" s="1139"/>
      <c r="V36" s="1139"/>
      <c r="W36" s="1139"/>
      <c r="X36" s="1112"/>
      <c r="Y36" s="1139"/>
      <c r="Z36" s="1139"/>
      <c r="AA36" s="1139"/>
      <c r="AB36" s="1139"/>
      <c r="AC36" s="1139"/>
      <c r="AD36" s="1139"/>
      <c r="AE36" s="1139"/>
      <c r="AF36" s="1139"/>
      <c r="AG36" s="1139"/>
      <c r="AH36" s="1112"/>
      <c r="AI36" s="1139"/>
      <c r="AJ36" s="1139"/>
      <c r="AK36" s="1139"/>
      <c r="AL36" s="1139"/>
      <c r="AM36" s="1139"/>
      <c r="AN36" s="1139"/>
      <c r="AO36" s="1139"/>
      <c r="AP36" s="1139"/>
      <c r="AQ36" s="1139"/>
    </row>
    <row r="37" spans="2:43" ht="15" customHeight="1">
      <c r="B37" s="1139"/>
      <c r="C37" s="1139"/>
      <c r="D37" s="1139"/>
      <c r="E37" s="1139"/>
      <c r="F37" s="1139"/>
      <c r="G37" s="1139"/>
      <c r="H37" s="1139"/>
      <c r="I37" s="1139"/>
      <c r="J37" s="1139"/>
      <c r="K37" s="1140"/>
      <c r="L37" s="1393"/>
      <c r="M37" s="1118"/>
      <c r="N37" s="1140"/>
      <c r="O37" s="1139"/>
      <c r="P37" s="1139"/>
      <c r="Q37" s="1139"/>
      <c r="R37" s="1139"/>
      <c r="S37" s="1139"/>
      <c r="T37" s="1139"/>
      <c r="U37" s="1139"/>
      <c r="V37" s="1139"/>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row>
    <row r="38" spans="2:43" ht="15" customHeight="1">
      <c r="B38" s="1143" t="s">
        <v>760</v>
      </c>
      <c r="C38" s="1143"/>
      <c r="D38" s="1143"/>
      <c r="E38" s="1143"/>
      <c r="F38" s="1143"/>
      <c r="G38" s="1144"/>
      <c r="H38" s="1144"/>
      <c r="I38" s="1144"/>
      <c r="J38" s="1144"/>
      <c r="K38" s="1144"/>
      <c r="L38" s="1145"/>
      <c r="M38" s="1146"/>
      <c r="N38" s="1144"/>
      <c r="O38" s="1143" t="s">
        <v>760</v>
      </c>
      <c r="P38" s="1143"/>
      <c r="Q38" s="1143"/>
      <c r="R38" s="1143"/>
      <c r="S38" s="1143"/>
      <c r="T38" s="1144"/>
      <c r="U38" s="1144"/>
      <c r="V38" s="1144"/>
      <c r="W38" s="1144"/>
      <c r="X38" s="1112"/>
      <c r="Y38" s="1143" t="s">
        <v>760</v>
      </c>
      <c r="Z38" s="1143"/>
      <c r="AA38" s="1143"/>
      <c r="AB38" s="1143"/>
      <c r="AC38" s="1143"/>
      <c r="AD38" s="1144"/>
      <c r="AE38" s="1144"/>
      <c r="AF38" s="1144"/>
      <c r="AG38" s="1144"/>
      <c r="AH38" s="1112"/>
      <c r="AI38" s="1143" t="s">
        <v>760</v>
      </c>
      <c r="AJ38" s="1143"/>
      <c r="AK38" s="1143"/>
      <c r="AL38" s="1143"/>
      <c r="AM38" s="1143"/>
      <c r="AN38" s="1144"/>
      <c r="AO38" s="1144"/>
      <c r="AP38" s="1144"/>
      <c r="AQ38" s="1144"/>
    </row>
    <row r="39" spans="2:43" ht="22.5" customHeight="1">
      <c r="B39" s="1147" t="s">
        <v>761</v>
      </c>
      <c r="C39" s="1148">
        <f ca="1">OFFSET(A1_基礎情報集計,7,5)</f>
        <v>2025</v>
      </c>
      <c r="D39" s="1149" t="s">
        <v>762</v>
      </c>
      <c r="E39" s="1150">
        <v>2027</v>
      </c>
      <c r="F39" s="1149" t="s">
        <v>763</v>
      </c>
      <c r="G39" s="1151" t="s">
        <v>764</v>
      </c>
      <c r="H39" s="1150">
        <f ca="1">C39-1</f>
        <v>2024</v>
      </c>
      <c r="I39" s="1436" t="s">
        <v>765</v>
      </c>
      <c r="J39" s="1437"/>
      <c r="K39" s="1112"/>
      <c r="L39" s="1125"/>
      <c r="M39" s="1118" t="s">
        <v>766</v>
      </c>
      <c r="N39" s="1152"/>
      <c r="O39" s="1147" t="s">
        <v>761</v>
      </c>
      <c r="P39" s="1148">
        <f ca="1">$C$39</f>
        <v>2025</v>
      </c>
      <c r="Q39" s="1149" t="s">
        <v>762</v>
      </c>
      <c r="R39" s="1150">
        <v>2027</v>
      </c>
      <c r="S39" s="1149" t="s">
        <v>763</v>
      </c>
      <c r="T39" s="1151" t="s">
        <v>764</v>
      </c>
      <c r="U39" s="1150">
        <f ca="1">H39</f>
        <v>2024</v>
      </c>
      <c r="V39" s="1436" t="s">
        <v>765</v>
      </c>
      <c r="W39" s="1437"/>
      <c r="X39" s="1112"/>
      <c r="Y39" s="1147" t="s">
        <v>761</v>
      </c>
      <c r="Z39" s="1148">
        <f ca="1">$C$39</f>
        <v>2025</v>
      </c>
      <c r="AA39" s="1149" t="s">
        <v>762</v>
      </c>
      <c r="AB39" s="1150">
        <v>2027</v>
      </c>
      <c r="AC39" s="1149" t="s">
        <v>763</v>
      </c>
      <c r="AD39" s="1151" t="s">
        <v>764</v>
      </c>
      <c r="AE39" s="1150">
        <f ca="1">$H$39</f>
        <v>2024</v>
      </c>
      <c r="AF39" s="1436" t="s">
        <v>765</v>
      </c>
      <c r="AG39" s="1437"/>
      <c r="AH39" s="1112"/>
      <c r="AI39" s="1147" t="s">
        <v>761</v>
      </c>
      <c r="AJ39" s="1148">
        <f ca="1">$C$39</f>
        <v>2025</v>
      </c>
      <c r="AK39" s="1149" t="s">
        <v>762</v>
      </c>
      <c r="AL39" s="1150">
        <v>2027</v>
      </c>
      <c r="AM39" s="1149" t="s">
        <v>763</v>
      </c>
      <c r="AN39" s="1151" t="s">
        <v>764</v>
      </c>
      <c r="AO39" s="1150">
        <f ca="1">$H$39</f>
        <v>2024</v>
      </c>
      <c r="AP39" s="1436" t="s">
        <v>765</v>
      </c>
      <c r="AQ39" s="1437"/>
    </row>
    <row r="40" spans="2:43" ht="7.5" customHeight="1">
      <c r="B40" s="1139"/>
      <c r="C40" s="1139"/>
      <c r="D40" s="1139"/>
      <c r="E40" s="1139"/>
      <c r="F40" s="1139"/>
      <c r="G40" s="1139"/>
      <c r="H40" s="1139"/>
      <c r="I40" s="1139"/>
      <c r="J40" s="1139"/>
      <c r="K40" s="1140"/>
      <c r="L40" s="1153"/>
      <c r="M40" s="1142"/>
      <c r="N40" s="1140"/>
      <c r="O40" s="1139"/>
      <c r="P40" s="1139"/>
      <c r="Q40" s="1139"/>
      <c r="R40" s="1139"/>
      <c r="S40" s="1139"/>
      <c r="T40" s="1139"/>
      <c r="U40" s="1139"/>
      <c r="V40" s="1139"/>
      <c r="W40" s="1139"/>
      <c r="X40" s="1112"/>
      <c r="Y40" s="1139"/>
      <c r="Z40" s="1139"/>
      <c r="AA40" s="1139"/>
      <c r="AB40" s="1139"/>
      <c r="AC40" s="1139"/>
      <c r="AD40" s="1139"/>
      <c r="AE40" s="1139"/>
      <c r="AF40" s="1139"/>
      <c r="AG40" s="1139"/>
      <c r="AH40" s="1112"/>
      <c r="AI40" s="1139"/>
      <c r="AJ40" s="1139"/>
      <c r="AK40" s="1139"/>
      <c r="AL40" s="1139"/>
      <c r="AM40" s="1139"/>
      <c r="AN40" s="1139"/>
      <c r="AO40" s="1139"/>
      <c r="AP40" s="1139"/>
      <c r="AQ40" s="1139"/>
    </row>
    <row r="41" spans="2:43" ht="15" customHeight="1">
      <c r="B41" s="1139"/>
      <c r="C41" s="1139"/>
      <c r="D41" s="1139"/>
      <c r="E41" s="1139"/>
      <c r="F41" s="1139"/>
      <c r="G41" s="1139"/>
      <c r="H41" s="1139"/>
      <c r="I41" s="1139"/>
      <c r="J41" s="1139"/>
      <c r="K41" s="1140"/>
      <c r="L41" s="1112"/>
      <c r="M41" s="1118"/>
      <c r="N41" s="1140"/>
      <c r="O41" s="1139"/>
      <c r="P41" s="1139"/>
      <c r="Q41" s="1139"/>
      <c r="R41" s="1139"/>
      <c r="S41" s="1139"/>
      <c r="T41" s="1139"/>
      <c r="U41" s="1139"/>
      <c r="V41" s="1139"/>
      <c r="W41" s="1112"/>
      <c r="X41" s="1112"/>
      <c r="Y41" s="1112"/>
      <c r="Z41" s="1139"/>
      <c r="AA41" s="1139"/>
      <c r="AB41" s="1139"/>
      <c r="AC41" s="1139"/>
      <c r="AD41" s="1139"/>
      <c r="AE41" s="1139"/>
      <c r="AF41" s="1139"/>
      <c r="AG41" s="1112"/>
      <c r="AH41" s="1112"/>
      <c r="AI41" s="1112"/>
      <c r="AJ41" s="1139"/>
      <c r="AK41" s="1139"/>
      <c r="AL41" s="1139"/>
      <c r="AM41" s="1139"/>
      <c r="AN41" s="1139"/>
      <c r="AO41" s="1139"/>
      <c r="AP41" s="1139"/>
      <c r="AQ41" s="1112"/>
    </row>
    <row r="42" spans="2:43" ht="15" customHeight="1">
      <c r="B42" s="1143" t="s">
        <v>767</v>
      </c>
      <c r="C42" s="1143"/>
      <c r="D42" s="1143"/>
      <c r="E42" s="1143"/>
      <c r="F42" s="1143"/>
      <c r="G42" s="1154"/>
      <c r="H42" s="1154"/>
      <c r="I42" s="1154"/>
      <c r="J42" s="1154"/>
      <c r="K42" s="1154"/>
      <c r="L42" s="1110" t="s">
        <v>1694</v>
      </c>
      <c r="M42" s="1155"/>
      <c r="N42" s="1154"/>
      <c r="O42" s="1143" t="s">
        <v>768</v>
      </c>
      <c r="P42" s="1143"/>
      <c r="Q42" s="1143"/>
      <c r="R42" s="1143"/>
      <c r="S42" s="1143"/>
      <c r="T42" s="1154"/>
      <c r="U42" s="1154"/>
      <c r="V42" s="1154"/>
      <c r="W42" s="1154"/>
      <c r="X42" s="1112"/>
      <c r="Y42" s="1143" t="s">
        <v>768</v>
      </c>
      <c r="Z42" s="1143"/>
      <c r="AA42" s="1143"/>
      <c r="AB42" s="1143"/>
      <c r="AC42" s="1143"/>
      <c r="AD42" s="1154"/>
      <c r="AE42" s="1154"/>
      <c r="AF42" s="1154"/>
      <c r="AG42" s="1154"/>
      <c r="AH42" s="1112"/>
      <c r="AI42" s="1143" t="s">
        <v>768</v>
      </c>
      <c r="AJ42" s="1143"/>
      <c r="AK42" s="1143"/>
      <c r="AL42" s="1143"/>
      <c r="AM42" s="1143"/>
      <c r="AN42" s="1154"/>
      <c r="AO42" s="1154"/>
      <c r="AP42" s="1154"/>
      <c r="AQ42" s="1154"/>
    </row>
    <row r="43" spans="2:43" ht="22.5" customHeight="1">
      <c r="B43" s="1444"/>
      <c r="C43" s="1445"/>
      <c r="D43" s="1445"/>
      <c r="E43" s="1445"/>
      <c r="F43" s="1445"/>
      <c r="G43" s="1445"/>
      <c r="H43" s="1445"/>
      <c r="I43" s="1445"/>
      <c r="J43" s="1446"/>
      <c r="K43" s="1112"/>
      <c r="L43" s="1156" t="s">
        <v>1695</v>
      </c>
      <c r="M43" s="1440" t="s">
        <v>769</v>
      </c>
      <c r="N43" s="1112"/>
      <c r="O43" s="1157" t="s">
        <v>770</v>
      </c>
      <c r="P43" s="1148">
        <v>2025</v>
      </c>
      <c r="Q43" s="1401" t="s">
        <v>763</v>
      </c>
      <c r="R43" s="1401"/>
      <c r="S43" s="1401"/>
      <c r="T43" s="1401"/>
      <c r="U43" s="1401"/>
      <c r="V43" s="1401"/>
      <c r="W43" s="1402"/>
      <c r="X43" s="1112"/>
      <c r="Y43" s="1157" t="s">
        <v>770</v>
      </c>
      <c r="Z43" s="1148">
        <v>2026</v>
      </c>
      <c r="AA43" s="1401" t="s">
        <v>763</v>
      </c>
      <c r="AB43" s="1401"/>
      <c r="AC43" s="1401"/>
      <c r="AD43" s="1401"/>
      <c r="AE43" s="1401"/>
      <c r="AF43" s="1401"/>
      <c r="AG43" s="1402"/>
      <c r="AH43" s="1112"/>
      <c r="AI43" s="1157" t="s">
        <v>770</v>
      </c>
      <c r="AJ43" s="1148">
        <v>2027</v>
      </c>
      <c r="AK43" s="1401" t="s">
        <v>763</v>
      </c>
      <c r="AL43" s="1401"/>
      <c r="AM43" s="1401"/>
      <c r="AN43" s="1401"/>
      <c r="AO43" s="1401"/>
      <c r="AP43" s="1401"/>
      <c r="AQ43" s="1402"/>
    </row>
    <row r="44" spans="2:43" ht="82.5" customHeight="1">
      <c r="B44" s="1447"/>
      <c r="C44" s="1448"/>
      <c r="D44" s="1448"/>
      <c r="E44" s="1448"/>
      <c r="F44" s="1448"/>
      <c r="G44" s="1448"/>
      <c r="H44" s="1448"/>
      <c r="I44" s="1448"/>
      <c r="J44" s="1449"/>
      <c r="K44" s="1112"/>
      <c r="L44" s="1393" t="s">
        <v>1696</v>
      </c>
      <c r="M44" s="1440"/>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row>
    <row r="45" spans="2:43" ht="18" customHeight="1">
      <c r="L45" s="1393"/>
    </row>
    <row r="46" spans="2:43" ht="18" customHeight="1">
      <c r="L46" s="1393"/>
    </row>
    <row r="47" spans="2:43" ht="18" customHeight="1">
      <c r="L47" s="1393"/>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password="E7B8" sheet="1" formatCells="0"/>
  <mergeCells count="172">
    <mergeCell ref="I1:J1"/>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Z32:AC32"/>
    <mergeCell ref="AF32:AG32"/>
    <mergeCell ref="Z33:AC33"/>
    <mergeCell ref="AP39:AQ39"/>
    <mergeCell ref="AL14:AM14"/>
    <mergeCell ref="AN14:AQ14"/>
    <mergeCell ref="AL15:AM15"/>
    <mergeCell ref="AN15:AQ15"/>
    <mergeCell ref="AI17:AQ17"/>
    <mergeCell ref="AI20:AI21"/>
    <mergeCell ref="AJ20:AK20"/>
    <mergeCell ref="AL20:AQ20"/>
    <mergeCell ref="AJ21:AK21"/>
    <mergeCell ref="AL21:AM21"/>
    <mergeCell ref="AO21:AQ21"/>
    <mergeCell ref="AL22:AQ22"/>
    <mergeCell ref="AI23:AK25"/>
    <mergeCell ref="AM23:AO23"/>
    <mergeCell ref="AM25:AO25"/>
    <mergeCell ref="AI26:AJ27"/>
    <mergeCell ref="AB26:AG26"/>
    <mergeCell ref="AB27:AG27"/>
    <mergeCell ref="Y31:AE31"/>
    <mergeCell ref="AF31:AG31"/>
    <mergeCell ref="Y32:Y33"/>
    <mergeCell ref="AF33:AG33"/>
    <mergeCell ref="AI3:AQ3"/>
    <mergeCell ref="AI6:AQ6"/>
    <mergeCell ref="AI8:AQ8"/>
    <mergeCell ref="AL12:AM12"/>
    <mergeCell ref="AN12:AQ12"/>
    <mergeCell ref="AL13:AM13"/>
    <mergeCell ref="AN13:AQ13"/>
    <mergeCell ref="Y3:AG3"/>
    <mergeCell ref="Y6:AG6"/>
    <mergeCell ref="Y8:AG8"/>
    <mergeCell ref="AB12:AC12"/>
    <mergeCell ref="AD12:AG12"/>
    <mergeCell ref="AB13:AC13"/>
    <mergeCell ref="AD13:AG13"/>
    <mergeCell ref="AB14:AC14"/>
    <mergeCell ref="AD14:AG14"/>
    <mergeCell ref="AB15:AC15"/>
    <mergeCell ref="AD15:AG15"/>
    <mergeCell ref="B43:J44"/>
    <mergeCell ref="M4:M6"/>
    <mergeCell ref="O20:O21"/>
    <mergeCell ref="P20:Q20"/>
    <mergeCell ref="R20:W20"/>
    <mergeCell ref="P21:Q21"/>
    <mergeCell ref="R21:S21"/>
    <mergeCell ref="U21:W21"/>
    <mergeCell ref="O22:Q22"/>
    <mergeCell ref="R22:W22"/>
    <mergeCell ref="O17:W17"/>
    <mergeCell ref="E14:F14"/>
    <mergeCell ref="E15:F15"/>
    <mergeCell ref="C35:F35"/>
    <mergeCell ref="C34:F34"/>
    <mergeCell ref="C33:F33"/>
    <mergeCell ref="C32:F32"/>
    <mergeCell ref="F25:H25"/>
    <mergeCell ref="F23:H23"/>
    <mergeCell ref="B23:D25"/>
    <mergeCell ref="E22:J22"/>
    <mergeCell ref="B6:J6"/>
    <mergeCell ref="S23:U23"/>
    <mergeCell ref="S25:U25"/>
    <mergeCell ref="I39:J39"/>
    <mergeCell ref="O23:Q25"/>
    <mergeCell ref="I35:J35"/>
    <mergeCell ref="I34:J34"/>
    <mergeCell ref="I33:J33"/>
    <mergeCell ref="H21:J21"/>
    <mergeCell ref="B3:J3"/>
    <mergeCell ref="M25:M26"/>
    <mergeCell ref="M23:M24"/>
    <mergeCell ref="M8:M10"/>
    <mergeCell ref="B8:J8"/>
    <mergeCell ref="B34:B35"/>
    <mergeCell ref="B32:B33"/>
    <mergeCell ref="O26:P27"/>
    <mergeCell ref="O31:U31"/>
    <mergeCell ref="O32:O33"/>
    <mergeCell ref="P32:S32"/>
    <mergeCell ref="P33:S33"/>
    <mergeCell ref="E20:J20"/>
    <mergeCell ref="B20:B21"/>
    <mergeCell ref="C21:D21"/>
    <mergeCell ref="B17:J17"/>
    <mergeCell ref="B22:D22"/>
    <mergeCell ref="B26:C27"/>
    <mergeCell ref="O3:W3"/>
    <mergeCell ref="O6:W6"/>
    <mergeCell ref="O8:W8"/>
    <mergeCell ref="R12:S12"/>
    <mergeCell ref="T12:W12"/>
    <mergeCell ref="R13:S13"/>
    <mergeCell ref="T13:W13"/>
    <mergeCell ref="R14:S14"/>
    <mergeCell ref="T14:W14"/>
    <mergeCell ref="R15:S15"/>
    <mergeCell ref="T15:W15"/>
    <mergeCell ref="R26:W26"/>
    <mergeCell ref="R27:W27"/>
    <mergeCell ref="E21:F21"/>
    <mergeCell ref="E12:F12"/>
    <mergeCell ref="E13:F13"/>
    <mergeCell ref="I32:J32"/>
    <mergeCell ref="I31:J31"/>
    <mergeCell ref="B31:H31"/>
    <mergeCell ref="G15:J15"/>
    <mergeCell ref="G12:J12"/>
    <mergeCell ref="G13:J13"/>
    <mergeCell ref="E27:J27"/>
    <mergeCell ref="E26:J26"/>
    <mergeCell ref="G14:J14"/>
    <mergeCell ref="C20:D20"/>
    <mergeCell ref="Y17:AG17"/>
    <mergeCell ref="AB20:AG20"/>
    <mergeCell ref="AB21:AC21"/>
    <mergeCell ref="AE21:AG21"/>
    <mergeCell ref="Y22:AA22"/>
    <mergeCell ref="AB22:AG22"/>
    <mergeCell ref="Y20:Y21"/>
    <mergeCell ref="Z20:AA20"/>
    <mergeCell ref="Z21:AA21"/>
    <mergeCell ref="L7:L9"/>
    <mergeCell ref="L10:L11"/>
    <mergeCell ref="L12:L17"/>
    <mergeCell ref="L26:L28"/>
    <mergeCell ref="L32:L37"/>
    <mergeCell ref="L44:L47"/>
    <mergeCell ref="AL26:AQ26"/>
    <mergeCell ref="AL27:AQ27"/>
    <mergeCell ref="AI31:AO31"/>
    <mergeCell ref="AP31:AQ31"/>
    <mergeCell ref="AI22:AK22"/>
    <mergeCell ref="Q43:W43"/>
    <mergeCell ref="V31:W31"/>
    <mergeCell ref="V32:W32"/>
    <mergeCell ref="V33:W33"/>
    <mergeCell ref="Y34:Y35"/>
    <mergeCell ref="Z34:AC34"/>
    <mergeCell ref="AF34:AG34"/>
    <mergeCell ref="Z35:AC35"/>
    <mergeCell ref="AF35:AG35"/>
    <mergeCell ref="Y23:AA25"/>
    <mergeCell ref="AC23:AE23"/>
    <mergeCell ref="AC25:AE25"/>
    <mergeCell ref="Y26:Z27"/>
  </mergeCells>
  <phoneticPr fontId="4"/>
  <conditionalFormatting sqref="B3:J44">
    <cfRule type="expression" dxfId="18" priority="35">
      <formula>OR($I$1&lt;=DATEVALUE($C$39&amp;"/3/31"),$I$1&gt;=DATEVALUE($C$39+1&amp;"/4/1"))</formula>
    </cfRule>
  </conditionalFormatting>
  <conditionalFormatting sqref="O3:W43">
    <cfRule type="expression" dxfId="17" priority="36">
      <formula>OR($H$39=2025,$I$1&lt;=DATEVALUE("2026/3/31"),$I$1&gt;=DATEVALUE("2027/4/1"))</formula>
    </cfRule>
  </conditionalFormatting>
  <conditionalFormatting sqref="Y3:AG43">
    <cfRule type="expression" dxfId="16" priority="37">
      <formula>OR($H$39=2026,$I$1&lt;=DATEVALUE("2027/3/31"),$I$1&gt;=DATEVALUE("2028/4/1"))</formula>
    </cfRule>
  </conditionalFormatting>
  <conditionalFormatting sqref="AI3:AQ43">
    <cfRule type="expression" dxfId="15" priority="38">
      <formula>$I$1&lt;=DATEVALUE("2028/3/31")</formula>
    </cfRule>
  </conditionalFormatting>
  <conditionalFormatting sqref="I32:J33">
    <cfRule type="expression" dxfId="14" priority="2">
      <formula>AND($I$32="■",$I$33="■")</formula>
    </cfRule>
  </conditionalFormatting>
  <conditionalFormatting sqref="I34:J35">
    <cfRule type="expression" dxfId="13"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&amp;R1/4</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非表示_リスト!$G$99:$H$99</xm:f>
          </x14:formula1>
          <xm:sqref>I35:J35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AX188"/>
  <sheetViews>
    <sheetView zoomScaleNormal="100" workbookViewId="0">
      <selection activeCell="I12" sqref="I12:J12"/>
    </sheetView>
  </sheetViews>
  <sheetFormatPr defaultColWidth="8.69921875" defaultRowHeight="19.8" outlineLevelRow="1" outlineLevelCol="1"/>
  <cols>
    <col min="1" max="1" width="3.59765625" style="8" customWidth="1"/>
    <col min="2" max="2" width="4.09765625" style="8" customWidth="1"/>
    <col min="3" max="3" width="9.09765625" style="8" customWidth="1"/>
    <col min="4" max="5" width="6.59765625" style="8" customWidth="1"/>
    <col min="6" max="6" width="2.5" style="8" customWidth="1"/>
    <col min="7" max="7" width="5.59765625" style="8" customWidth="1"/>
    <col min="8" max="8" width="5.09765625" style="8" customWidth="1"/>
    <col min="9" max="9" width="2.5" style="8" customWidth="1"/>
    <col min="10" max="10" width="5.59765625" style="8" customWidth="1"/>
    <col min="11" max="11" width="5.09765625" style="8" customWidth="1"/>
    <col min="12" max="12" width="2.5" style="8" customWidth="1"/>
    <col min="13" max="13" width="5.59765625" style="8" customWidth="1"/>
    <col min="14" max="14" width="5.09765625" style="8" customWidth="1"/>
    <col min="15" max="15" width="2.5" style="8" customWidth="1"/>
    <col min="16" max="16" width="5.59765625" style="8" customWidth="1"/>
    <col min="17" max="17" width="5.09765625" style="8" customWidth="1"/>
    <col min="18" max="18" width="2.5" style="8" customWidth="1"/>
    <col min="19" max="19" width="5.59765625" style="8" customWidth="1"/>
    <col min="20" max="20" width="5.09765625" style="8" customWidth="1"/>
    <col min="21" max="21" width="1.19921875" style="8" customWidth="1"/>
    <col min="22" max="22" width="46.69921875" style="537" customWidth="1"/>
    <col min="23" max="23" width="56.3984375" style="21" hidden="1" customWidth="1" outlineLevel="1"/>
    <col min="24" max="28" width="8.69921875" style="21" hidden="1" customWidth="1" outlineLevel="1"/>
    <col min="29" max="29" width="10.69921875" style="21" hidden="1" customWidth="1" outlineLevel="1"/>
    <col min="30" max="32" width="8.69921875" style="21" hidden="1" customWidth="1" outlineLevel="1"/>
    <col min="33" max="33" width="8.69921875" style="8" collapsed="1"/>
    <col min="34" max="16384" width="8.69921875" style="8"/>
  </cols>
  <sheetData>
    <row r="1" spans="1:50" ht="39.9" customHeight="1">
      <c r="A1" s="529" t="s">
        <v>771</v>
      </c>
      <c r="K1" s="542" t="s">
        <v>1738</v>
      </c>
      <c r="L1" s="1461" t="s">
        <v>711</v>
      </c>
      <c r="M1" s="1461"/>
      <c r="N1" s="1462" t="s">
        <v>1739</v>
      </c>
      <c r="O1" s="1463"/>
      <c r="P1" s="1464"/>
      <c r="Q1" s="1465" t="s">
        <v>712</v>
      </c>
      <c r="R1" s="1465"/>
      <c r="S1" s="1467">
        <f ca="1">'B1.入力_第1面'!I1</f>
        <v>45803</v>
      </c>
      <c r="T1" s="1468"/>
      <c r="V1" s="530" t="s">
        <v>1684</v>
      </c>
      <c r="W1" s="18" t="s">
        <v>1737</v>
      </c>
    </row>
    <row r="2" spans="1:50" s="543" customFormat="1" ht="24" hidden="1" customHeight="1" outlineLevel="1">
      <c r="B2" s="1723"/>
      <c r="C2" s="1723"/>
      <c r="D2" s="1723"/>
      <c r="E2" s="1724"/>
      <c r="F2" s="1724"/>
      <c r="G2" s="544"/>
      <c r="H2" s="1725"/>
      <c r="I2" s="1725"/>
      <c r="J2" s="545"/>
      <c r="K2" s="545"/>
      <c r="L2" s="545"/>
      <c r="M2" s="545"/>
      <c r="N2" s="1725"/>
      <c r="O2" s="1725"/>
      <c r="W2" s="551"/>
      <c r="AX2" s="546"/>
    </row>
    <row r="3" spans="1:50" s="9" customFormat="1" ht="15" customHeight="1" collapsed="1">
      <c r="B3" s="1690" t="s">
        <v>772</v>
      </c>
      <c r="C3" s="1691"/>
      <c r="D3" s="1691"/>
      <c r="E3" s="1691"/>
      <c r="F3" s="1691"/>
      <c r="G3" s="1691"/>
      <c r="H3" s="1691"/>
      <c r="I3" s="1691"/>
      <c r="J3" s="1691"/>
      <c r="K3" s="1692"/>
      <c r="L3" s="1676" t="s">
        <v>773</v>
      </c>
      <c r="M3" s="1676"/>
      <c r="N3" s="1676"/>
      <c r="O3" s="1676" t="s">
        <v>774</v>
      </c>
      <c r="P3" s="1676"/>
      <c r="Q3" s="1676"/>
      <c r="R3" s="1676" t="s">
        <v>775</v>
      </c>
      <c r="S3" s="1676"/>
      <c r="T3" s="1676"/>
      <c r="V3" s="531" t="s">
        <v>1685</v>
      </c>
      <c r="W3" s="1279" t="s">
        <v>1749</v>
      </c>
      <c r="X3" s="20"/>
      <c r="Y3" s="20"/>
      <c r="Z3" s="20"/>
      <c r="AA3" s="20"/>
      <c r="AB3" s="20"/>
      <c r="AC3" s="20"/>
      <c r="AD3" s="20"/>
      <c r="AE3" s="20"/>
      <c r="AF3" s="20"/>
      <c r="AX3" s="10"/>
    </row>
    <row r="4" spans="1:50" s="9" customFormat="1" ht="15" customHeight="1">
      <c r="B4" s="1693" t="s">
        <v>776</v>
      </c>
      <c r="C4" s="1694"/>
      <c r="D4" s="1694"/>
      <c r="E4" s="1694"/>
      <c r="F4" s="1694"/>
      <c r="G4" s="1694"/>
      <c r="H4" s="1694"/>
      <c r="I4" s="1694"/>
      <c r="J4" s="1694"/>
      <c r="K4" s="1695"/>
      <c r="L4" s="1699" t="s">
        <v>777</v>
      </c>
      <c r="M4" s="1699"/>
      <c r="N4" s="1699"/>
      <c r="O4" s="1699" t="s">
        <v>778</v>
      </c>
      <c r="P4" s="1699"/>
      <c r="Q4" s="1699"/>
      <c r="R4" s="1699" t="s">
        <v>779</v>
      </c>
      <c r="S4" s="1699"/>
      <c r="T4" s="1699"/>
      <c r="V4" s="532" t="s">
        <v>1703</v>
      </c>
      <c r="W4" s="1279"/>
      <c r="X4" s="20"/>
      <c r="Y4" s="20"/>
      <c r="Z4" s="20"/>
      <c r="AA4" s="20"/>
      <c r="AB4" s="20"/>
      <c r="AC4" s="20"/>
      <c r="AD4" s="20"/>
      <c r="AE4" s="20"/>
      <c r="AF4" s="20"/>
      <c r="AX4" s="10"/>
    </row>
    <row r="5" spans="1:50" s="9" customFormat="1" ht="15" customHeight="1">
      <c r="B5" s="1696" t="s">
        <v>780</v>
      </c>
      <c r="C5" s="1697"/>
      <c r="D5" s="1697"/>
      <c r="E5" s="1697"/>
      <c r="F5" s="1697"/>
      <c r="G5" s="1697"/>
      <c r="H5" s="1697"/>
      <c r="I5" s="1697"/>
      <c r="J5" s="1697"/>
      <c r="K5" s="1698"/>
      <c r="L5" s="1700" t="s">
        <v>780</v>
      </c>
      <c r="M5" s="1700"/>
      <c r="N5" s="1700"/>
      <c r="O5" s="1700" t="s">
        <v>780</v>
      </c>
      <c r="P5" s="1700"/>
      <c r="Q5" s="1700"/>
      <c r="R5" s="1700" t="s">
        <v>780</v>
      </c>
      <c r="S5" s="1700"/>
      <c r="T5" s="1700"/>
      <c r="V5" s="533" t="s">
        <v>1704</v>
      </c>
      <c r="W5" s="1279"/>
      <c r="X5" s="20"/>
      <c r="Y5" s="20"/>
      <c r="Z5" s="20"/>
      <c r="AA5" s="20"/>
      <c r="AB5" s="20"/>
      <c r="AC5" s="20"/>
      <c r="AD5" s="20"/>
      <c r="AE5" s="20"/>
      <c r="AF5" s="20"/>
      <c r="AX5" s="10"/>
    </row>
    <row r="6" spans="1:50" ht="18.75" customHeight="1">
      <c r="B6" s="1677" t="s">
        <v>781</v>
      </c>
      <c r="C6" s="1677"/>
      <c r="D6" s="1677"/>
      <c r="E6" s="1677"/>
      <c r="F6" s="1677"/>
      <c r="G6" s="1677"/>
      <c r="H6" s="1677"/>
      <c r="I6" s="1677"/>
      <c r="J6" s="1677"/>
      <c r="K6" s="1677"/>
      <c r="L6" s="1677"/>
      <c r="M6" s="1677"/>
      <c r="N6" s="1677"/>
      <c r="O6" s="1677"/>
      <c r="P6" s="1677"/>
      <c r="Q6" s="1677"/>
      <c r="R6" s="1677"/>
      <c r="S6" s="1677"/>
      <c r="T6" s="1677"/>
      <c r="V6" s="534" t="s">
        <v>1705</v>
      </c>
      <c r="W6" s="20"/>
      <c r="AX6" s="48"/>
    </row>
    <row r="7" spans="1:50" ht="15" customHeight="1">
      <c r="B7" s="15" t="s">
        <v>1787</v>
      </c>
      <c r="C7" s="15"/>
      <c r="D7" s="15"/>
      <c r="E7" s="15"/>
      <c r="F7" s="45"/>
      <c r="G7" s="45"/>
      <c r="H7" s="45"/>
      <c r="I7" s="45"/>
      <c r="J7" s="45"/>
      <c r="K7" s="45"/>
      <c r="L7" s="45"/>
      <c r="M7" s="45"/>
      <c r="N7" s="45"/>
      <c r="O7" s="45"/>
      <c r="P7" s="45"/>
      <c r="Q7" s="45"/>
      <c r="R7" s="45"/>
      <c r="S7" s="45"/>
      <c r="T7" s="45"/>
      <c r="V7" s="533" t="s">
        <v>1761</v>
      </c>
      <c r="W7" s="36" t="s">
        <v>782</v>
      </c>
    </row>
    <row r="8" spans="1:50" s="42" customFormat="1" ht="7.5" customHeight="1">
      <c r="B8" s="43"/>
      <c r="C8" s="43"/>
      <c r="D8" s="43"/>
      <c r="E8" s="43"/>
      <c r="F8" s="43"/>
      <c r="G8" s="43"/>
      <c r="H8" s="43"/>
      <c r="I8" s="43"/>
      <c r="J8" s="43"/>
      <c r="K8" s="44"/>
      <c r="L8" s="44"/>
      <c r="M8" s="44"/>
      <c r="N8" s="43"/>
      <c r="O8" s="43"/>
      <c r="P8" s="43"/>
      <c r="Q8" s="43"/>
      <c r="R8" s="43"/>
      <c r="S8" s="43"/>
      <c r="T8" s="43"/>
      <c r="U8" s="43"/>
      <c r="V8" s="535"/>
      <c r="W8" s="19"/>
      <c r="X8" s="49"/>
      <c r="Y8" s="49"/>
      <c r="Z8" s="49"/>
      <c r="AA8" s="49"/>
      <c r="AB8" s="49"/>
      <c r="AC8" s="49"/>
      <c r="AD8" s="49"/>
      <c r="AE8" s="49"/>
      <c r="AF8" s="49"/>
    </row>
    <row r="9" spans="1:50" ht="15" customHeight="1">
      <c r="B9" s="15" t="s">
        <v>783</v>
      </c>
      <c r="C9" s="15"/>
      <c r="D9" s="15"/>
      <c r="E9" s="15"/>
      <c r="V9" s="533"/>
      <c r="W9" s="21" t="s">
        <v>790</v>
      </c>
      <c r="Z9" s="1177" t="s">
        <v>1895</v>
      </c>
      <c r="AA9" s="1178" t="s">
        <v>1896</v>
      </c>
      <c r="AB9" s="1177" t="s">
        <v>1897</v>
      </c>
      <c r="AC9" s="1178" t="s">
        <v>1896</v>
      </c>
    </row>
    <row r="10" spans="1:50" s="307" customFormat="1" ht="19.5" hidden="1" customHeight="1" outlineLevel="1">
      <c r="B10" s="1658" t="s">
        <v>784</v>
      </c>
      <c r="C10" s="1658"/>
      <c r="D10" s="1658"/>
      <c r="E10" s="1658"/>
      <c r="F10" s="1658"/>
      <c r="G10" s="1658"/>
      <c r="H10" s="303" t="s">
        <v>785</v>
      </c>
      <c r="I10" s="1659"/>
      <c r="J10" s="1660"/>
      <c r="K10" s="304" t="s">
        <v>786</v>
      </c>
      <c r="V10" s="1485"/>
      <c r="W10" s="21" t="s">
        <v>1750</v>
      </c>
      <c r="Z10" s="1178"/>
      <c r="AA10" s="1178"/>
      <c r="AB10" s="1178"/>
      <c r="AC10" s="1178"/>
    </row>
    <row r="11" spans="1:50" s="307" customFormat="1" ht="19.5" hidden="1" customHeight="1" outlineLevel="1">
      <c r="B11" s="313"/>
      <c r="C11" s="314" t="s">
        <v>787</v>
      </c>
      <c r="D11" s="300"/>
      <c r="E11" s="1661" t="s">
        <v>788</v>
      </c>
      <c r="F11" s="1661"/>
      <c r="G11" s="1662"/>
      <c r="H11" s="308" t="s">
        <v>789</v>
      </c>
      <c r="I11" s="1489"/>
      <c r="J11" s="1490"/>
      <c r="K11" s="309" t="s">
        <v>786</v>
      </c>
      <c r="V11" s="1485"/>
      <c r="W11" s="21" t="s">
        <v>1751</v>
      </c>
      <c r="Z11" s="1178"/>
      <c r="AA11" s="1178"/>
      <c r="AB11" s="1178"/>
      <c r="AC11" s="1178"/>
    </row>
    <row r="12" spans="1:50" ht="19.5" customHeight="1" collapsed="1">
      <c r="B12" s="1663" t="s">
        <v>791</v>
      </c>
      <c r="C12" s="1664"/>
      <c r="D12" s="1664"/>
      <c r="E12" s="1664"/>
      <c r="F12" s="1664"/>
      <c r="G12" s="1665"/>
      <c r="H12" s="558" t="s">
        <v>785</v>
      </c>
      <c r="I12" s="1666" t="str">
        <f ca="1">IF('B1.入力_第1面'!$I$32="■",IF(Z12=TRUE(),AA12,IF(AB12=TRUE(),AC12,"")),IF('B1.入力_第1面'!$I$33="■",IF(Z12=FALSE(),AA12,IF(AB12=FALSE(),AC12,"")),""))</f>
        <v/>
      </c>
      <c r="J12" s="1667"/>
      <c r="K12" s="7" t="s">
        <v>786</v>
      </c>
      <c r="V12" s="1485"/>
      <c r="W12" s="21" t="s">
        <v>1820</v>
      </c>
      <c r="Z12" s="1178" t="str">
        <f ca="1">OFFSET(INDIRECT("貼付け_"&amp;'B1.入力_第1面'!$H$39&amp;"実績"),2,18+(3*(D13-2022)))</f>
        <v/>
      </c>
      <c r="AA12" s="1178" t="str">
        <f ca="1">OFFSET(INDIRECT("貼付け_"&amp;'B1.入力_第1面'!$H$39&amp;"実績"),2,19+(3*(D13-2022)))</f>
        <v/>
      </c>
      <c r="AB12" s="1178" t="str">
        <f ca="1">OFFSET(INDIRECT("貼付け_"&amp;'B1.入力_第1面'!$H$39&amp;"実績"),2,46+(3*(D13-2022)))</f>
        <v/>
      </c>
      <c r="AC12" s="1178" t="str">
        <f ca="1">OFFSET(INDIRECT("貼付け_"&amp;'B1.入力_第1面'!$H$39&amp;"実績"),2,47+(3*(D13-2022)))</f>
        <v/>
      </c>
    </row>
    <row r="13" spans="1:50" ht="19.5" customHeight="1">
      <c r="B13" s="16"/>
      <c r="C13" s="225" t="s">
        <v>787</v>
      </c>
      <c r="D13" s="226">
        <f ca="1">'B1.入力_第1面'!$H$39-2</f>
        <v>2022</v>
      </c>
      <c r="E13" s="1678" t="s">
        <v>788</v>
      </c>
      <c r="F13" s="1678"/>
      <c r="G13" s="1679"/>
      <c r="H13" s="559" t="s">
        <v>789</v>
      </c>
      <c r="I13" s="1670" t="str">
        <f ca="1">IF('B1.入力_第1面'!$I$32="■",IF(Z13=TRUE(),AA13,IF(AB13=TRUE(),AC13,"")),IF('B1.入力_第1面'!$I$33="■",IF(Z13=FALSE(),AA13,IF(AB13=FALSE(),AC13,"")),""))</f>
        <v/>
      </c>
      <c r="J13" s="1671"/>
      <c r="K13" s="47" t="s">
        <v>786</v>
      </c>
      <c r="V13" s="533" t="s">
        <v>1762</v>
      </c>
      <c r="W13" s="21" t="s">
        <v>1821</v>
      </c>
      <c r="Z13" s="1178" t="str">
        <f ca="1">OFFSET(INDIRECT("貼付け_"&amp;'B1.入力_第1面'!$H$39&amp;"実績"),2,18+(3*(D13-2022)))</f>
        <v/>
      </c>
      <c r="AA13" s="1178" t="str">
        <f ca="1">OFFSET(INDIRECT("貼付け_"&amp;'B1.入力_第1面'!$H$39&amp;"実績"),2,20+(3*(D13-2022)))</f>
        <v/>
      </c>
      <c r="AB13" s="1178" t="str">
        <f ca="1">OFFSET(INDIRECT("貼付け_"&amp;'B1.入力_第1面'!$H$39&amp;"実績"),2,46+(3*(D13-2022)))</f>
        <v/>
      </c>
      <c r="AC13" s="1178" t="str">
        <f ca="1">OFFSET(INDIRECT("貼付け_"&amp;'B1.入力_第1面'!$H$39&amp;"実績"),2,48+(3*(D13-2022)))</f>
        <v/>
      </c>
    </row>
    <row r="14" spans="1:50" ht="19.5" customHeight="1">
      <c r="B14" s="1672" t="s">
        <v>792</v>
      </c>
      <c r="C14" s="1673"/>
      <c r="D14" s="1673"/>
      <c r="E14" s="1673"/>
      <c r="F14" s="1673"/>
      <c r="G14" s="1674"/>
      <c r="H14" s="558" t="s">
        <v>785</v>
      </c>
      <c r="I14" s="1666" t="str">
        <f ca="1">IF('B1.入力_第1面'!$I$32="■",IF(Z14=TRUE(),AA14,IF(AB14=TRUE(),AC14,"")),IF('B1.入力_第1面'!$I$33="■",IF(Z14=FALSE(),AA14,IF(AB14=FALSE(),AC14,"")),""))</f>
        <v/>
      </c>
      <c r="J14" s="1667"/>
      <c r="K14" s="7" t="s">
        <v>786</v>
      </c>
      <c r="V14" s="1485" t="s">
        <v>1706</v>
      </c>
      <c r="W14" s="21" t="s">
        <v>1822</v>
      </c>
      <c r="Z14" s="1178" t="str">
        <f ca="1">OFFSET(INDIRECT("貼付け_"&amp;'B1.入力_第1面'!$H$39&amp;"実績"),2,18+(3*(D15-2022)))</f>
        <v/>
      </c>
      <c r="AA14" s="1178" t="str">
        <f ca="1">OFFSET(INDIRECT("貼付け_"&amp;'B1.入力_第1面'!$H$39&amp;"実績"),2,19+(3*(D15-2022)))</f>
        <v/>
      </c>
      <c r="AB14" s="1178" t="str">
        <f ca="1">OFFSET(INDIRECT("貼付け_"&amp;'B1.入力_第1面'!$H$39&amp;"実績"),2,46+(3*(D15-2022)))</f>
        <v/>
      </c>
      <c r="AC14" s="1178" t="str">
        <f ca="1">OFFSET(INDIRECT("貼付け_"&amp;'B1.入力_第1面'!$H$39&amp;"実績"),2,47+(3*(D15-2022)))</f>
        <v/>
      </c>
    </row>
    <row r="15" spans="1:50" ht="19.5" customHeight="1">
      <c r="B15" s="16"/>
      <c r="C15" s="225" t="s">
        <v>787</v>
      </c>
      <c r="D15" s="226">
        <f ca="1">'B1.入力_第1面'!$H$39-1</f>
        <v>2023</v>
      </c>
      <c r="E15" s="1678" t="s">
        <v>788</v>
      </c>
      <c r="F15" s="1678"/>
      <c r="G15" s="1679"/>
      <c r="H15" s="559" t="s">
        <v>789</v>
      </c>
      <c r="I15" s="1670" t="str">
        <f ca="1">IF('B1.入力_第1面'!$I$32="■",IF(Z15=TRUE(),AA15,IF(AB15=TRUE(),AC15,"")),IF('B1.入力_第1面'!$I$33="■",IF(Z15=FALSE(),AA15,IF(AB15=FALSE(),AC15,"")),""))</f>
        <v/>
      </c>
      <c r="J15" s="1671"/>
      <c r="K15" s="47" t="s">
        <v>786</v>
      </c>
      <c r="V15" s="1485"/>
      <c r="W15" s="21" t="s">
        <v>1823</v>
      </c>
      <c r="Z15" s="1178" t="str">
        <f ca="1">OFFSET(INDIRECT("貼付け_"&amp;'B1.入力_第1面'!$H$39&amp;"実績"),2,18+(3*(D15-2022)))</f>
        <v/>
      </c>
      <c r="AA15" s="1178" t="str">
        <f ca="1">OFFSET(INDIRECT("貼付け_"&amp;'B1.入力_第1面'!$H$39&amp;"実績"),2,20+(3*(D15-2022)))</f>
        <v/>
      </c>
      <c r="AB15" s="1178" t="str">
        <f ca="1">OFFSET(INDIRECT("貼付け_"&amp;'B1.入力_第1面'!$H$39&amp;"実績"),2,46+(3*(D15-2022)))</f>
        <v/>
      </c>
      <c r="AC15" s="1178" t="str">
        <f ca="1">OFFSET(INDIRECT("貼付け_"&amp;'B1.入力_第1面'!$H$39&amp;"実績"),2,48+(3*(D15-2022)))</f>
        <v/>
      </c>
    </row>
    <row r="16" spans="1:50" s="4" customFormat="1" ht="7.5" customHeight="1">
      <c r="B16" s="14"/>
      <c r="C16" s="14"/>
      <c r="D16" s="14"/>
      <c r="E16" s="14"/>
      <c r="F16" s="14"/>
      <c r="G16" s="14"/>
      <c r="H16" s="14"/>
      <c r="I16" s="14"/>
      <c r="J16" s="14"/>
      <c r="K16" s="13"/>
      <c r="L16" s="13"/>
      <c r="M16" s="13"/>
      <c r="N16" s="14"/>
      <c r="O16" s="14"/>
      <c r="P16" s="14"/>
      <c r="Q16" s="14"/>
      <c r="R16" s="14"/>
      <c r="S16" s="14"/>
      <c r="T16" s="14"/>
      <c r="U16" s="14"/>
      <c r="V16" s="536"/>
      <c r="W16" s="49"/>
      <c r="X16" s="19"/>
      <c r="Y16" s="19"/>
      <c r="Z16" s="19"/>
      <c r="AA16" s="19"/>
      <c r="AB16" s="19"/>
      <c r="AC16" s="19"/>
      <c r="AD16" s="19"/>
      <c r="AE16" s="19"/>
      <c r="AF16" s="19"/>
    </row>
    <row r="17" spans="2:32" ht="15" customHeight="1">
      <c r="B17" s="15" t="s">
        <v>793</v>
      </c>
      <c r="C17" s="15"/>
      <c r="D17" s="15"/>
      <c r="E17" s="15"/>
    </row>
    <row r="18" spans="2:32" ht="15" customHeight="1">
      <c r="B18" s="1482"/>
      <c r="C18" s="1483"/>
      <c r="D18" s="1483"/>
      <c r="E18" s="1484"/>
      <c r="F18" s="1482" t="s">
        <v>794</v>
      </c>
      <c r="G18" s="1483"/>
      <c r="H18" s="1483"/>
      <c r="I18" s="1483"/>
      <c r="J18" s="1483"/>
      <c r="K18" s="1484"/>
      <c r="L18" s="1479" t="s">
        <v>795</v>
      </c>
      <c r="M18" s="1480"/>
      <c r="N18" s="1480"/>
      <c r="O18" s="1480"/>
      <c r="P18" s="1480"/>
      <c r="Q18" s="1480"/>
      <c r="R18" s="1480"/>
      <c r="S18" s="1480"/>
      <c r="T18" s="1481"/>
      <c r="Z18" s="21" t="s">
        <v>796</v>
      </c>
    </row>
    <row r="19" spans="2:32" ht="15" customHeight="1" thickBot="1">
      <c r="B19" s="1525"/>
      <c r="C19" s="1526"/>
      <c r="D19" s="1526"/>
      <c r="E19" s="1527"/>
      <c r="F19" s="1482" t="s">
        <v>797</v>
      </c>
      <c r="G19" s="1483"/>
      <c r="H19" s="1483"/>
      <c r="I19" s="1482" t="s">
        <v>798</v>
      </c>
      <c r="J19" s="1483"/>
      <c r="K19" s="1484"/>
      <c r="L19" s="1482" t="s">
        <v>97</v>
      </c>
      <c r="M19" s="1483"/>
      <c r="N19" s="1484"/>
      <c r="O19" s="1482" t="s">
        <v>102</v>
      </c>
      <c r="P19" s="1483"/>
      <c r="Q19" s="1484"/>
      <c r="R19" s="1482" t="s">
        <v>123</v>
      </c>
      <c r="S19" s="1483"/>
      <c r="T19" s="1484"/>
      <c r="V19" s="533" t="s">
        <v>1707</v>
      </c>
      <c r="AA19" s="21">
        <v>2022</v>
      </c>
      <c r="AB19" s="21">
        <v>2023</v>
      </c>
      <c r="AC19" s="21">
        <v>2024</v>
      </c>
      <c r="AD19" s="21">
        <v>2025</v>
      </c>
      <c r="AE19" s="21">
        <v>2026</v>
      </c>
      <c r="AF19" s="21">
        <v>2027</v>
      </c>
    </row>
    <row r="20" spans="2:32" ht="19.5" customHeight="1" thickTop="1">
      <c r="B20" s="1499" t="s">
        <v>799</v>
      </c>
      <c r="C20" s="1500"/>
      <c r="D20" s="1500"/>
      <c r="E20" s="558" t="s">
        <v>785</v>
      </c>
      <c r="F20" s="1652">
        <f ca="1">IF('B1.入力_第1面'!I32="■",INDEX(参考3_排出量経年!L116:O116,'B1.入力_第1面'!H39-2023),IF('B1.入力_第1面'!I33="■",INDEX(参考3_排出量経年!T116:W116,'B1.入力_第1面'!H39-2023),""))</f>
        <v>0</v>
      </c>
      <c r="G20" s="1653"/>
      <c r="H20" s="24" t="s">
        <v>786</v>
      </c>
      <c r="I20" s="1654"/>
      <c r="J20" s="1655"/>
      <c r="K20" s="26" t="s">
        <v>786</v>
      </c>
      <c r="L20" s="1653" t="str">
        <f>IF(ISBLANK(A.貼付_2026提出!C9),"",IF('B1.入力_第1面'!I32="■",参考3_排出量経年!M116,IF('B1.入力_第1面'!I33="■",参考3_排出量経年!U116,"")))</f>
        <v/>
      </c>
      <c r="M20" s="1653"/>
      <c r="N20" s="7" t="s">
        <v>786</v>
      </c>
      <c r="O20" s="1652" t="str">
        <f>IF(ISBLANK(A.貼付_2027提出!C9),"",IF('B1.入力_第1面'!I32="■",参考3_排出量経年!N116,IF('B1.入力_第1面'!I33="■",参考3_排出量経年!V116,"")))</f>
        <v/>
      </c>
      <c r="P20" s="1653"/>
      <c r="Q20" s="7" t="s">
        <v>786</v>
      </c>
      <c r="R20" s="1652" t="str">
        <f>IF(ISBLANK(A.貼付_2028提出!C9),"",IF('B1.入力_第1面'!I32="■",参考3_排出量経年!O116,IF('B1.入力_第1面'!I33="■",参考3_排出量経年!W116,"")))</f>
        <v/>
      </c>
      <c r="S20" s="1653"/>
      <c r="T20" s="7" t="s">
        <v>786</v>
      </c>
      <c r="V20" s="1485" t="s">
        <v>1708</v>
      </c>
      <c r="Z20" s="21" t="s">
        <v>800</v>
      </c>
      <c r="AA20" s="77" t="str">
        <f ca="1">IF(D13=AA19,I12,"")</f>
        <v/>
      </c>
      <c r="AB20" s="77" t="str">
        <f ca="1">IF(D13=AB19,I12,IF(D15=AB19,I14,""))</f>
        <v/>
      </c>
      <c r="AC20" s="77">
        <f ca="1">IF(D13=AC19,I12,IF(D15=AC19,I14,IF(AC19='B1.入力_第1面'!$H$39,F20,"")))</f>
        <v>0</v>
      </c>
      <c r="AD20" s="77" t="str">
        <f>L20</f>
        <v/>
      </c>
      <c r="AE20" s="77" t="str">
        <f>O20</f>
        <v/>
      </c>
      <c r="AF20" s="77" t="str">
        <f>R20</f>
        <v/>
      </c>
    </row>
    <row r="21" spans="2:32" ht="19.5" customHeight="1" thickBot="1">
      <c r="B21" s="1607"/>
      <c r="C21" s="1608"/>
      <c r="D21" s="1608"/>
      <c r="E21" s="559" t="s">
        <v>789</v>
      </c>
      <c r="F21" s="1487">
        <f ca="1">IF('B1.入力_第1面'!I32="■",INDEX(参考3_排出量経年!L227:O227,'B1.入力_第1面'!H39-2023),IF('B1.入力_第1面'!I33="■",INDEX(参考3_排出量経年!T227:W227,'B1.入力_第1面'!H39-2023),""))</f>
        <v>0</v>
      </c>
      <c r="G21" s="1488"/>
      <c r="H21" s="29" t="s">
        <v>786</v>
      </c>
      <c r="I21" s="1656"/>
      <c r="J21" s="1657"/>
      <c r="K21" s="28" t="s">
        <v>786</v>
      </c>
      <c r="L21" s="1488" t="str">
        <f>IF(ISBLANK(A.貼付_2026提出!C9),"",IF('B1.入力_第1面'!I32="■",参考3_排出量経年!M227,IF('B1.入力_第1面'!I33="■",参考3_排出量経年!U227,"")))</f>
        <v/>
      </c>
      <c r="M21" s="1488"/>
      <c r="N21" s="47" t="s">
        <v>786</v>
      </c>
      <c r="O21" s="1487" t="str">
        <f>IF(ISBLANK(A.貼付_2027提出!C9),"",IF('B1.入力_第1面'!I32="■",参考3_排出量経年!N227,IF('B1.入力_第1面'!I33="■",参考3_排出量経年!V227,"")))</f>
        <v/>
      </c>
      <c r="P21" s="1488"/>
      <c r="Q21" s="47" t="s">
        <v>786</v>
      </c>
      <c r="R21" s="1487" t="str">
        <f>IF(ISBLANK(A.貼付_2028提出!C9),"",IF('B1.入力_第1面'!I32="■",参考3_排出量経年!O227,IF('B1.入力_第1面'!I33="■",参考3_排出量経年!W227,"")))</f>
        <v/>
      </c>
      <c r="S21" s="1488"/>
      <c r="T21" s="47" t="s">
        <v>786</v>
      </c>
      <c r="V21" s="1485"/>
      <c r="Z21" s="21" t="s">
        <v>77</v>
      </c>
      <c r="AA21" s="77" t="str">
        <f ca="1">IF(D13=AA19,I13,"")</f>
        <v/>
      </c>
      <c r="AB21" s="77" t="str">
        <f ca="1">IF(D13=AB19,I13,IF(D15=AB19,I15,""))</f>
        <v/>
      </c>
      <c r="AC21" s="77">
        <f ca="1">IF(D13=AC19,I13,IF(D15=AC19,I15,IF(AC19='B1.入力_第1面'!$H$39,F21,"")))</f>
        <v>0</v>
      </c>
      <c r="AD21" s="77" t="str">
        <f>L21</f>
        <v/>
      </c>
      <c r="AE21" s="77" t="str">
        <f>O21</f>
        <v/>
      </c>
      <c r="AF21" s="77" t="str">
        <f>R21</f>
        <v/>
      </c>
    </row>
    <row r="22" spans="2:32" ht="19.5" customHeight="1" thickTop="1">
      <c r="B22" s="1499" t="s">
        <v>801</v>
      </c>
      <c r="C22" s="1500"/>
      <c r="D22" s="1500"/>
      <c r="E22" s="558" t="s">
        <v>785</v>
      </c>
      <c r="F22" s="1469"/>
      <c r="G22" s="1470"/>
      <c r="H22" s="1471"/>
      <c r="I22" s="1681" t="str">
        <f ca="1">IFERROR(100-I20/F20*100,"")</f>
        <v/>
      </c>
      <c r="J22" s="1682"/>
      <c r="K22" s="30" t="s">
        <v>802</v>
      </c>
      <c r="L22" s="1708" t="str">
        <f ca="1">IF('B1.入力_第1面'!H39&gt;=2025,"",IFERROR(100-L20/$F20*100,""))</f>
        <v/>
      </c>
      <c r="M22" s="1709"/>
      <c r="N22" s="7" t="s">
        <v>802</v>
      </c>
      <c r="O22" s="1708" t="str">
        <f ca="1">IF('B1.入力_第1面'!H39&gt;=2026,"",IFERROR(100-O20/$F20*100,""))</f>
        <v/>
      </c>
      <c r="P22" s="1709"/>
      <c r="Q22" s="7" t="s">
        <v>802</v>
      </c>
      <c r="R22" s="1708" t="str">
        <f ca="1">IFERROR(100-R20/$F20*100,"")</f>
        <v/>
      </c>
      <c r="S22" s="1709"/>
      <c r="T22" s="7" t="s">
        <v>802</v>
      </c>
      <c r="V22" s="1485"/>
      <c r="Z22" s="21" t="s">
        <v>803</v>
      </c>
      <c r="AD22" s="21">
        <f ca="1">IFERROR((1-(IFERROR(AB20/AA20,1)*IFERROR(AC20/AB20,1)*IFERROR(AD20/AC20,1))^(1/(COUNTIF(AA20:AD20,"&gt;0")-1)))*100,"")</f>
        <v>0</v>
      </c>
      <c r="AE22" s="21">
        <f t="shared" ref="AE22:AF23" ca="1" si="0">IFERROR((1-(IFERROR(AC20/AB20,1)*IFERROR(AD20/AC20,1)*IFERROR(AE20/AD20,1))^(1/(COUNTIF(AB20:AE20,"&gt;0")-1)))*100,"")</f>
        <v>0</v>
      </c>
      <c r="AF22" s="21">
        <f ca="1">IFERROR((1-(IFERROR(AD20/AC20,1)*IFERROR(AE20/AD20,1)*IFERROR(AF20/AE20,1))^(1/(COUNTIF(AC20:AF20,"&gt;0")-1)))*100,"")</f>
        <v>0</v>
      </c>
    </row>
    <row r="23" spans="2:32" ht="19.5" customHeight="1" thickBot="1">
      <c r="B23" s="1607"/>
      <c r="C23" s="1608"/>
      <c r="D23" s="1608"/>
      <c r="E23" s="559" t="s">
        <v>789</v>
      </c>
      <c r="F23" s="1472"/>
      <c r="G23" s="1473"/>
      <c r="H23" s="1474"/>
      <c r="I23" s="1683" t="str">
        <f ca="1">IFERROR(100-I21/F21*100,"")</f>
        <v/>
      </c>
      <c r="J23" s="1684"/>
      <c r="K23" s="47" t="s">
        <v>802</v>
      </c>
      <c r="L23" s="1706" t="str">
        <f ca="1">IF('B1.入力_第1面'!H39&gt;=2025,"",IFERROR(100-L21/$F21*100,""))</f>
        <v/>
      </c>
      <c r="M23" s="1707"/>
      <c r="N23" s="25" t="s">
        <v>802</v>
      </c>
      <c r="O23" s="1706" t="str">
        <f ca="1">IF('B1.入力_第1面'!H39&gt;=2026,"",IFERROR(100-O21/$F21*100,""))</f>
        <v/>
      </c>
      <c r="P23" s="1707"/>
      <c r="Q23" s="25" t="s">
        <v>802</v>
      </c>
      <c r="R23" s="1706" t="str">
        <f ca="1">IFERROR(100-R21/$F21*100,"")</f>
        <v/>
      </c>
      <c r="S23" s="1707"/>
      <c r="T23" s="25" t="s">
        <v>802</v>
      </c>
      <c r="V23" s="1485"/>
      <c r="Z23" s="21" t="s">
        <v>804</v>
      </c>
      <c r="AD23" s="21">
        <f ca="1">IFERROR((1-(IFERROR(AB21/AA21,1)*IFERROR(AC21/AB21,1)*IFERROR(AD21/AC21,1))^(1/(COUNTIF(AA21:AD21,"&gt;0")-1)))*100,"")</f>
        <v>0</v>
      </c>
      <c r="AE23" s="21">
        <f t="shared" ca="1" si="0"/>
        <v>0</v>
      </c>
      <c r="AF23" s="21">
        <f t="shared" ca="1" si="0"/>
        <v>0</v>
      </c>
    </row>
    <row r="24" spans="2:32" ht="19.5" customHeight="1" thickTop="1">
      <c r="B24" s="1499" t="s">
        <v>1788</v>
      </c>
      <c r="C24" s="1500"/>
      <c r="D24" s="1501"/>
      <c r="E24" s="558" t="s">
        <v>785</v>
      </c>
      <c r="F24" s="1469"/>
      <c r="G24" s="1470"/>
      <c r="H24" s="1471"/>
      <c r="I24" s="1681" t="str">
        <f ca="1">IFERROR((1-(I20/F20)^(1/('B1.入力_第1面'!E39-'B1.入力_第1面'!H39)))*100,"")</f>
        <v/>
      </c>
      <c r="J24" s="1682"/>
      <c r="K24" s="24" t="s">
        <v>802</v>
      </c>
      <c r="L24" s="1713" t="str">
        <f ca="1">IF('B1.入力_第1面'!H39&gt;=2025,"",IF(L20="","",AD22))</f>
        <v/>
      </c>
      <c r="M24" s="1714"/>
      <c r="N24" s="46" t="s">
        <v>802</v>
      </c>
      <c r="O24" s="1715" t="str">
        <f ca="1">IF('B1.入力_第1面'!H39&gt;=2026,"",IF(O20="","",AE22))</f>
        <v/>
      </c>
      <c r="P24" s="1714"/>
      <c r="Q24" s="46" t="s">
        <v>802</v>
      </c>
      <c r="R24" s="1715" t="str">
        <f>IF(R20="","",AF22)</f>
        <v/>
      </c>
      <c r="S24" s="1714"/>
      <c r="T24" s="26" t="s">
        <v>802</v>
      </c>
      <c r="V24" s="1485"/>
      <c r="Z24" s="21" t="s">
        <v>805</v>
      </c>
    </row>
    <row r="25" spans="2:32" ht="19.5" customHeight="1" thickBot="1">
      <c r="B25" s="1607"/>
      <c r="C25" s="1608"/>
      <c r="D25" s="1609"/>
      <c r="E25" s="559" t="s">
        <v>789</v>
      </c>
      <c r="F25" s="1472"/>
      <c r="G25" s="1473"/>
      <c r="H25" s="1474"/>
      <c r="I25" s="1683" t="str">
        <f ca="1">IFERROR((1-(I21/F21)^(1/('B1.入力_第1面'!E39-'B1.入力_第1面'!H39)))*100,"")</f>
        <v/>
      </c>
      <c r="J25" s="1684"/>
      <c r="K25" s="29" t="s">
        <v>802</v>
      </c>
      <c r="L25" s="1710" t="str">
        <f ca="1">IF('B1.入力_第1面'!H39&gt;=2025,"",IF(L21="","",AD23))</f>
        <v/>
      </c>
      <c r="M25" s="1711"/>
      <c r="N25" s="27" t="s">
        <v>802</v>
      </c>
      <c r="O25" s="1712" t="str">
        <f ca="1">IF('B1.入力_第1面'!H39&gt;=2026,"",IF(O21="","",AE23))</f>
        <v/>
      </c>
      <c r="P25" s="1711"/>
      <c r="Q25" s="27" t="s">
        <v>802</v>
      </c>
      <c r="R25" s="1712" t="str">
        <f>IF(R21="","",AF23)</f>
        <v/>
      </c>
      <c r="S25" s="1711"/>
      <c r="T25" s="28" t="s">
        <v>802</v>
      </c>
      <c r="V25" s="1485"/>
      <c r="Z25" s="21" t="s">
        <v>806</v>
      </c>
    </row>
    <row r="26" spans="2:32" s="307" customFormat="1" ht="19.5" hidden="1" customHeight="1" outlineLevel="1" thickTop="1">
      <c r="B26" s="1619" t="s">
        <v>807</v>
      </c>
      <c r="C26" s="1620"/>
      <c r="D26" s="1621"/>
      <c r="E26" s="303" t="s">
        <v>785</v>
      </c>
      <c r="F26" s="1625"/>
      <c r="G26" s="1626"/>
      <c r="H26" s="304" t="s">
        <v>802</v>
      </c>
      <c r="I26" s="1625"/>
      <c r="J26" s="1626"/>
      <c r="K26" s="305" t="s">
        <v>802</v>
      </c>
      <c r="L26" s="1627" t="str">
        <f>IFERROR(100-L20/$I$10*100,"")</f>
        <v/>
      </c>
      <c r="M26" s="1626"/>
      <c r="N26" s="304" t="s">
        <v>802</v>
      </c>
      <c r="O26" s="1625" t="str">
        <f>IFERROR(100-O20/$I$10*100,"")</f>
        <v/>
      </c>
      <c r="P26" s="1626"/>
      <c r="Q26" s="304" t="s">
        <v>802</v>
      </c>
      <c r="R26" s="1625" t="str">
        <f>IFERROR(100-R20/$I$10*100,"")</f>
        <v/>
      </c>
      <c r="S26" s="1626"/>
      <c r="T26" s="306" t="s">
        <v>802</v>
      </c>
      <c r="V26" s="1485"/>
      <c r="W26" s="21"/>
    </row>
    <row r="27" spans="2:32" s="307" customFormat="1" ht="19.5" hidden="1" customHeight="1" outlineLevel="1" thickBot="1">
      <c r="B27" s="1622"/>
      <c r="C27" s="1623"/>
      <c r="D27" s="1624"/>
      <c r="E27" s="308" t="s">
        <v>789</v>
      </c>
      <c r="F27" s="1628"/>
      <c r="G27" s="1629"/>
      <c r="H27" s="309" t="s">
        <v>802</v>
      </c>
      <c r="I27" s="1628"/>
      <c r="J27" s="1629"/>
      <c r="K27" s="310" t="s">
        <v>802</v>
      </c>
      <c r="L27" s="1630" t="str">
        <f>IFERROR(100-L21/$I$11*100,"")</f>
        <v/>
      </c>
      <c r="M27" s="1631"/>
      <c r="N27" s="311" t="s">
        <v>802</v>
      </c>
      <c r="O27" s="1632" t="str">
        <f>IFERROR(100-O21/$I$11*100,"")</f>
        <v/>
      </c>
      <c r="P27" s="1631"/>
      <c r="Q27" s="311" t="s">
        <v>802</v>
      </c>
      <c r="R27" s="1632" t="str">
        <f>IFERROR(100-R21/$I$11*100,"")</f>
        <v/>
      </c>
      <c r="S27" s="1631"/>
      <c r="T27" s="312" t="s">
        <v>802</v>
      </c>
      <c r="V27" s="1485"/>
      <c r="W27" s="21"/>
    </row>
    <row r="28" spans="2:32" s="4" customFormat="1" ht="26.1" customHeight="1" collapsed="1" thickTop="1">
      <c r="B28" s="80" t="s">
        <v>808</v>
      </c>
      <c r="C28" s="43"/>
      <c r="D28" s="14"/>
      <c r="E28" s="14"/>
      <c r="F28" s="14"/>
      <c r="G28" s="14"/>
      <c r="H28" s="14"/>
      <c r="I28" s="14"/>
      <c r="J28" s="14"/>
      <c r="K28" s="13"/>
      <c r="L28" s="13"/>
      <c r="M28" s="13"/>
      <c r="N28" s="14"/>
      <c r="O28" s="14"/>
      <c r="P28" s="14"/>
      <c r="Q28" s="14"/>
      <c r="R28" s="14"/>
      <c r="S28" s="14"/>
      <c r="T28" s="14"/>
      <c r="U28" s="14"/>
      <c r="V28" s="1485"/>
      <c r="W28" s="49"/>
      <c r="X28" s="19"/>
      <c r="Y28" s="19"/>
      <c r="Z28" s="19"/>
      <c r="AA28" s="19"/>
      <c r="AB28" s="19"/>
      <c r="AC28" s="19"/>
      <c r="AD28" s="19"/>
      <c r="AE28" s="19"/>
      <c r="AF28" s="19"/>
    </row>
    <row r="29" spans="2:32" ht="15" customHeight="1">
      <c r="B29" s="15" t="s">
        <v>809</v>
      </c>
      <c r="C29" s="15"/>
      <c r="D29" s="15"/>
      <c r="E29" s="15"/>
      <c r="V29" s="1181" t="s">
        <v>1899</v>
      </c>
    </row>
    <row r="30" spans="2:32" ht="15" customHeight="1">
      <c r="B30" s="1482" t="s">
        <v>794</v>
      </c>
      <c r="C30" s="1483"/>
      <c r="D30" s="1483"/>
      <c r="E30" s="1483"/>
      <c r="F30" s="1483"/>
      <c r="G30" s="1483"/>
      <c r="H30" s="1483"/>
      <c r="I30" s="1483"/>
      <c r="J30" s="1483"/>
      <c r="K30" s="1484"/>
      <c r="L30" s="1680" t="s">
        <v>795</v>
      </c>
      <c r="M30" s="1680"/>
      <c r="N30" s="1680"/>
      <c r="O30" s="1680"/>
      <c r="P30" s="1680"/>
      <c r="Q30" s="1680"/>
      <c r="R30" s="1680"/>
      <c r="S30" s="1680"/>
      <c r="T30" s="1680"/>
      <c r="V30" s="1485" t="s">
        <v>1903</v>
      </c>
    </row>
    <row r="31" spans="2:32" ht="15" customHeight="1">
      <c r="B31" s="1680" t="s">
        <v>810</v>
      </c>
      <c r="C31" s="1680"/>
      <c r="D31" s="1680"/>
      <c r="E31" s="1680" t="s">
        <v>7</v>
      </c>
      <c r="F31" s="1680"/>
      <c r="G31" s="1680"/>
      <c r="H31" s="1680"/>
      <c r="I31" s="1680"/>
      <c r="J31" s="1680"/>
      <c r="K31" s="1680"/>
      <c r="L31" s="1481" t="s">
        <v>97</v>
      </c>
      <c r="M31" s="1680"/>
      <c r="N31" s="1680"/>
      <c r="O31" s="1680" t="s">
        <v>102</v>
      </c>
      <c r="P31" s="1680"/>
      <c r="Q31" s="1680"/>
      <c r="R31" s="1680" t="s">
        <v>123</v>
      </c>
      <c r="S31" s="1680"/>
      <c r="T31" s="1680"/>
      <c r="V31" s="1485"/>
      <c r="W31" s="23"/>
    </row>
    <row r="32" spans="2:32" ht="33.6" customHeight="1">
      <c r="B32" s="1687"/>
      <c r="C32" s="1687"/>
      <c r="D32" s="1687"/>
      <c r="E32" s="1704"/>
      <c r="F32" s="1704"/>
      <c r="G32" s="1704"/>
      <c r="H32" s="1704"/>
      <c r="I32" s="1704"/>
      <c r="J32" s="1704"/>
      <c r="K32" s="1705"/>
      <c r="L32" s="1492"/>
      <c r="M32" s="1493"/>
      <c r="N32" s="1494"/>
      <c r="O32" s="1492"/>
      <c r="P32" s="1493"/>
      <c r="Q32" s="1494"/>
      <c r="R32" s="1492"/>
      <c r="S32" s="1493"/>
      <c r="T32" s="1494"/>
      <c r="V32" s="1485"/>
    </row>
    <row r="33" spans="2:32" ht="33.6" customHeight="1">
      <c r="B33" s="1687"/>
      <c r="C33" s="1687"/>
      <c r="D33" s="1687"/>
      <c r="E33" s="1704"/>
      <c r="F33" s="1704"/>
      <c r="G33" s="1704"/>
      <c r="H33" s="1704"/>
      <c r="I33" s="1704"/>
      <c r="J33" s="1704"/>
      <c r="K33" s="1705"/>
      <c r="L33" s="1492"/>
      <c r="M33" s="1493"/>
      <c r="N33" s="1494"/>
      <c r="O33" s="1492"/>
      <c r="P33" s="1493"/>
      <c r="Q33" s="1494"/>
      <c r="R33" s="1492"/>
      <c r="S33" s="1493"/>
      <c r="T33" s="1494"/>
      <c r="V33" s="1485"/>
      <c r="W33" s="23" t="s">
        <v>1900</v>
      </c>
    </row>
    <row r="34" spans="2:32" ht="33.6" customHeight="1">
      <c r="B34" s="1687"/>
      <c r="C34" s="1687"/>
      <c r="D34" s="1687"/>
      <c r="E34" s="1704"/>
      <c r="F34" s="1704"/>
      <c r="G34" s="1704"/>
      <c r="H34" s="1704"/>
      <c r="I34" s="1704"/>
      <c r="J34" s="1704"/>
      <c r="K34" s="1705"/>
      <c r="L34" s="1492"/>
      <c r="M34" s="1493"/>
      <c r="N34" s="1494"/>
      <c r="O34" s="1492"/>
      <c r="P34" s="1493"/>
      <c r="Q34" s="1494"/>
      <c r="R34" s="1492"/>
      <c r="S34" s="1493"/>
      <c r="T34" s="1494"/>
      <c r="V34" s="1485"/>
    </row>
    <row r="35" spans="2:32" s="1180" customFormat="1" ht="33.6" hidden="1" customHeight="1" outlineLevel="1">
      <c r="B35" s="1686"/>
      <c r="C35" s="1686"/>
      <c r="D35" s="1686"/>
      <c r="E35" s="1688"/>
      <c r="F35" s="1688"/>
      <c r="G35" s="1688"/>
      <c r="H35" s="1688"/>
      <c r="I35" s="1688"/>
      <c r="J35" s="1688"/>
      <c r="K35" s="1689"/>
      <c r="L35" s="1701"/>
      <c r="M35" s="1702"/>
      <c r="N35" s="1703"/>
      <c r="O35" s="1701"/>
      <c r="P35" s="1702"/>
      <c r="Q35" s="1703"/>
      <c r="R35" s="1701"/>
      <c r="S35" s="1702"/>
      <c r="T35" s="1703"/>
      <c r="V35" s="536"/>
      <c r="W35" s="23"/>
      <c r="X35" s="21"/>
      <c r="Y35" s="21"/>
      <c r="Z35" s="21"/>
      <c r="AA35" s="21"/>
      <c r="AB35" s="21"/>
      <c r="AC35" s="21"/>
      <c r="AD35" s="21"/>
      <c r="AE35" s="21"/>
      <c r="AF35" s="21"/>
    </row>
    <row r="36" spans="2:32" s="1180" customFormat="1" ht="33.6" hidden="1" customHeight="1" outlineLevel="1">
      <c r="B36" s="1686"/>
      <c r="C36" s="1686"/>
      <c r="D36" s="1686"/>
      <c r="E36" s="1688"/>
      <c r="F36" s="1688"/>
      <c r="G36" s="1688"/>
      <c r="H36" s="1688"/>
      <c r="I36" s="1688"/>
      <c r="J36" s="1688"/>
      <c r="K36" s="1689"/>
      <c r="L36" s="1701"/>
      <c r="M36" s="1702"/>
      <c r="N36" s="1703"/>
      <c r="O36" s="1701"/>
      <c r="P36" s="1702"/>
      <c r="Q36" s="1703"/>
      <c r="R36" s="1701"/>
      <c r="S36" s="1702"/>
      <c r="T36" s="1703"/>
      <c r="W36" s="21"/>
      <c r="X36" s="21"/>
      <c r="Y36" s="21"/>
      <c r="Z36" s="21"/>
      <c r="AA36" s="21"/>
      <c r="AB36" s="21"/>
      <c r="AC36" s="21"/>
      <c r="AD36" s="21"/>
      <c r="AE36" s="21"/>
      <c r="AF36" s="21"/>
    </row>
    <row r="37" spans="2:32" s="317" customFormat="1" ht="7.5" hidden="1" customHeight="1" outlineLevel="1">
      <c r="B37" s="315"/>
      <c r="C37" s="315"/>
      <c r="D37" s="315"/>
      <c r="E37" s="315"/>
      <c r="F37" s="315"/>
      <c r="G37" s="315"/>
      <c r="H37" s="315"/>
      <c r="I37" s="315"/>
      <c r="J37" s="315"/>
      <c r="K37" s="316"/>
      <c r="L37" s="316"/>
      <c r="M37" s="316"/>
      <c r="N37" s="315"/>
      <c r="O37" s="315"/>
      <c r="P37" s="315"/>
      <c r="Q37" s="315"/>
      <c r="R37" s="315"/>
      <c r="S37" s="315"/>
      <c r="T37" s="315"/>
      <c r="U37" s="315"/>
      <c r="V37" s="547"/>
      <c r="W37" s="49"/>
    </row>
    <row r="38" spans="2:32" s="307" customFormat="1" ht="15" hidden="1" customHeight="1" outlineLevel="1">
      <c r="B38" s="318" t="s">
        <v>812</v>
      </c>
      <c r="C38" s="318"/>
      <c r="V38" s="548" t="s">
        <v>1709</v>
      </c>
      <c r="W38" s="21"/>
    </row>
    <row r="39" spans="2:32" s="307" customFormat="1" ht="15" hidden="1" customHeight="1" outlineLevel="1">
      <c r="B39" s="1685" t="s">
        <v>813</v>
      </c>
      <c r="C39" s="1685"/>
      <c r="D39" s="1685"/>
      <c r="E39" s="1685" t="s">
        <v>814</v>
      </c>
      <c r="F39" s="1685"/>
      <c r="G39" s="1685"/>
      <c r="H39" s="1685"/>
      <c r="I39" s="1685" t="s">
        <v>794</v>
      </c>
      <c r="J39" s="1685"/>
      <c r="K39" s="1685"/>
      <c r="L39" s="1545" t="s">
        <v>795</v>
      </c>
      <c r="M39" s="1546"/>
      <c r="N39" s="1546"/>
      <c r="O39" s="1546"/>
      <c r="P39" s="1546"/>
      <c r="Q39" s="1546"/>
      <c r="R39" s="1546"/>
      <c r="S39" s="1546"/>
      <c r="T39" s="1547"/>
      <c r="V39" s="541" t="s">
        <v>1710</v>
      </c>
      <c r="W39" s="21"/>
    </row>
    <row r="40" spans="2:32" s="307" customFormat="1" ht="15" hidden="1" customHeight="1" outlineLevel="1">
      <c r="B40" s="1685"/>
      <c r="C40" s="1685"/>
      <c r="D40" s="1685"/>
      <c r="E40" s="1685"/>
      <c r="F40" s="1685"/>
      <c r="G40" s="1685"/>
      <c r="H40" s="1685"/>
      <c r="I40" s="1545" t="s">
        <v>797</v>
      </c>
      <c r="J40" s="1546"/>
      <c r="K40" s="1546"/>
      <c r="L40" s="1545" t="s">
        <v>97</v>
      </c>
      <c r="M40" s="1546"/>
      <c r="N40" s="1547"/>
      <c r="O40" s="1545" t="s">
        <v>102</v>
      </c>
      <c r="P40" s="1546"/>
      <c r="Q40" s="1547"/>
      <c r="R40" s="1545" t="s">
        <v>123</v>
      </c>
      <c r="S40" s="1546"/>
      <c r="T40" s="1547"/>
      <c r="V40" s="541" t="s">
        <v>1711</v>
      </c>
      <c r="W40" s="21"/>
    </row>
    <row r="41" spans="2:32" s="307" customFormat="1" ht="19.5" hidden="1" customHeight="1" outlineLevel="1">
      <c r="B41" s="1675"/>
      <c r="C41" s="1675"/>
      <c r="D41" s="1675"/>
      <c r="E41" s="1675"/>
      <c r="F41" s="1675"/>
      <c r="G41" s="1675"/>
      <c r="H41" s="1675"/>
      <c r="I41" s="1716"/>
      <c r="J41" s="1717"/>
      <c r="K41" s="319" t="s">
        <v>786</v>
      </c>
      <c r="L41" s="1716"/>
      <c r="M41" s="1717"/>
      <c r="N41" s="319" t="s">
        <v>786</v>
      </c>
      <c r="O41" s="1716"/>
      <c r="P41" s="1717"/>
      <c r="Q41" s="319" t="s">
        <v>786</v>
      </c>
      <c r="R41" s="1716"/>
      <c r="S41" s="1717"/>
      <c r="T41" s="319" t="s">
        <v>786</v>
      </c>
      <c r="V41" s="549"/>
      <c r="W41" s="21" t="s">
        <v>1752</v>
      </c>
    </row>
    <row r="42" spans="2:32" s="307" customFormat="1" ht="19.5" hidden="1" customHeight="1" outlineLevel="1">
      <c r="B42" s="1675"/>
      <c r="C42" s="1675"/>
      <c r="D42" s="1675"/>
      <c r="E42" s="1675"/>
      <c r="F42" s="1675"/>
      <c r="G42" s="1675"/>
      <c r="H42" s="1675"/>
      <c r="I42" s="1489"/>
      <c r="J42" s="1490"/>
      <c r="K42" s="309" t="s">
        <v>786</v>
      </c>
      <c r="L42" s="1489"/>
      <c r="M42" s="1490"/>
      <c r="N42" s="309" t="s">
        <v>786</v>
      </c>
      <c r="O42" s="1489"/>
      <c r="P42" s="1490"/>
      <c r="Q42" s="309" t="s">
        <v>786</v>
      </c>
      <c r="R42" s="1489"/>
      <c r="S42" s="1490"/>
      <c r="T42" s="309" t="s">
        <v>786</v>
      </c>
      <c r="V42" s="549"/>
      <c r="W42" s="21" t="s">
        <v>1753</v>
      </c>
    </row>
    <row r="43" spans="2:32" s="307" customFormat="1" ht="19.5" hidden="1" customHeight="1" outlineLevel="1">
      <c r="B43" s="1675"/>
      <c r="C43" s="1675"/>
      <c r="D43" s="1675"/>
      <c r="E43" s="1675"/>
      <c r="F43" s="1675"/>
      <c r="G43" s="1675"/>
      <c r="H43" s="1675"/>
      <c r="I43" s="1489"/>
      <c r="J43" s="1490"/>
      <c r="K43" s="309" t="s">
        <v>786</v>
      </c>
      <c r="L43" s="1489"/>
      <c r="M43" s="1490"/>
      <c r="N43" s="309" t="s">
        <v>786</v>
      </c>
      <c r="O43" s="1489"/>
      <c r="P43" s="1490"/>
      <c r="Q43" s="309" t="s">
        <v>786</v>
      </c>
      <c r="R43" s="1489"/>
      <c r="S43" s="1490"/>
      <c r="T43" s="309" t="s">
        <v>786</v>
      </c>
      <c r="V43" s="549"/>
      <c r="W43" s="21" t="s">
        <v>1754</v>
      </c>
    </row>
    <row r="44" spans="2:32" s="307" customFormat="1" ht="19.5" hidden="1" customHeight="1" outlineLevel="1">
      <c r="B44" s="1675"/>
      <c r="C44" s="1675"/>
      <c r="D44" s="1675"/>
      <c r="E44" s="1675"/>
      <c r="F44" s="1675"/>
      <c r="G44" s="1675"/>
      <c r="H44" s="1675"/>
      <c r="I44" s="1489"/>
      <c r="J44" s="1490"/>
      <c r="K44" s="309" t="s">
        <v>786</v>
      </c>
      <c r="L44" s="1489"/>
      <c r="M44" s="1490"/>
      <c r="N44" s="309" t="s">
        <v>786</v>
      </c>
      <c r="O44" s="1489"/>
      <c r="P44" s="1490"/>
      <c r="Q44" s="309" t="s">
        <v>786</v>
      </c>
      <c r="R44" s="1489"/>
      <c r="S44" s="1490"/>
      <c r="T44" s="309" t="s">
        <v>786</v>
      </c>
      <c r="V44" s="549"/>
      <c r="W44" s="21"/>
    </row>
    <row r="45" spans="2:32" s="307" customFormat="1" ht="19.5" hidden="1" customHeight="1" outlineLevel="1">
      <c r="B45" s="1675"/>
      <c r="C45" s="1675"/>
      <c r="D45" s="1675"/>
      <c r="E45" s="1675"/>
      <c r="F45" s="1675"/>
      <c r="G45" s="1675"/>
      <c r="H45" s="1675"/>
      <c r="I45" s="1489"/>
      <c r="J45" s="1490"/>
      <c r="K45" s="309" t="s">
        <v>786</v>
      </c>
      <c r="L45" s="1489"/>
      <c r="M45" s="1490"/>
      <c r="N45" s="309" t="s">
        <v>786</v>
      </c>
      <c r="O45" s="1489"/>
      <c r="P45" s="1490"/>
      <c r="Q45" s="309" t="s">
        <v>786</v>
      </c>
      <c r="R45" s="1489"/>
      <c r="S45" s="1490"/>
      <c r="T45" s="309" t="s">
        <v>786</v>
      </c>
      <c r="V45" s="549"/>
      <c r="W45" s="21"/>
    </row>
    <row r="46" spans="2:32" s="307" customFormat="1" ht="19.5" hidden="1" customHeight="1" outlineLevel="1">
      <c r="B46" s="1675"/>
      <c r="C46" s="1675"/>
      <c r="D46" s="1675"/>
      <c r="E46" s="1675"/>
      <c r="F46" s="1675"/>
      <c r="G46" s="1675"/>
      <c r="H46" s="1675"/>
      <c r="I46" s="1489"/>
      <c r="J46" s="1490"/>
      <c r="K46" s="309" t="s">
        <v>786</v>
      </c>
      <c r="L46" s="1489"/>
      <c r="M46" s="1490"/>
      <c r="N46" s="309" t="s">
        <v>786</v>
      </c>
      <c r="O46" s="1489"/>
      <c r="P46" s="1490"/>
      <c r="Q46" s="309" t="s">
        <v>786</v>
      </c>
      <c r="R46" s="1489"/>
      <c r="S46" s="1490"/>
      <c r="T46" s="309" t="s">
        <v>786</v>
      </c>
      <c r="V46" s="549"/>
      <c r="W46" s="21"/>
    </row>
    <row r="47" spans="2:32" s="307" customFormat="1" ht="19.5" hidden="1" customHeight="1" outlineLevel="1">
      <c r="B47" s="1675"/>
      <c r="C47" s="1675"/>
      <c r="D47" s="1675"/>
      <c r="E47" s="1675"/>
      <c r="F47" s="1675"/>
      <c r="G47" s="1675"/>
      <c r="H47" s="1675"/>
      <c r="I47" s="1489"/>
      <c r="J47" s="1490"/>
      <c r="K47" s="309" t="s">
        <v>786</v>
      </c>
      <c r="L47" s="1489"/>
      <c r="M47" s="1490"/>
      <c r="N47" s="309" t="s">
        <v>786</v>
      </c>
      <c r="O47" s="1489"/>
      <c r="P47" s="1490"/>
      <c r="Q47" s="309" t="s">
        <v>786</v>
      </c>
      <c r="R47" s="1489"/>
      <c r="S47" s="1490"/>
      <c r="T47" s="309" t="s">
        <v>786</v>
      </c>
      <c r="V47" s="549"/>
      <c r="W47" s="21"/>
    </row>
    <row r="48" spans="2:32" s="307" customFormat="1" ht="19.5" hidden="1" customHeight="1" outlineLevel="1">
      <c r="B48" s="1675"/>
      <c r="C48" s="1675"/>
      <c r="D48" s="1675"/>
      <c r="E48" s="1675"/>
      <c r="F48" s="1675"/>
      <c r="G48" s="1675"/>
      <c r="H48" s="1675"/>
      <c r="I48" s="1489"/>
      <c r="J48" s="1490"/>
      <c r="K48" s="309" t="s">
        <v>786</v>
      </c>
      <c r="L48" s="1489"/>
      <c r="M48" s="1490"/>
      <c r="N48" s="309" t="s">
        <v>786</v>
      </c>
      <c r="O48" s="1489"/>
      <c r="P48" s="1490"/>
      <c r="Q48" s="309" t="s">
        <v>786</v>
      </c>
      <c r="R48" s="1489"/>
      <c r="S48" s="1490"/>
      <c r="T48" s="309" t="s">
        <v>786</v>
      </c>
      <c r="V48" s="549"/>
      <c r="W48" s="21"/>
    </row>
    <row r="49" spans="2:50" s="307" customFormat="1" ht="19.5" hidden="1" customHeight="1" outlineLevel="1">
      <c r="B49" s="1675"/>
      <c r="C49" s="1675"/>
      <c r="D49" s="1675"/>
      <c r="E49" s="1675"/>
      <c r="F49" s="1675"/>
      <c r="G49" s="1675"/>
      <c r="H49" s="1675"/>
      <c r="I49" s="1489"/>
      <c r="J49" s="1490"/>
      <c r="K49" s="309" t="s">
        <v>786</v>
      </c>
      <c r="L49" s="1489"/>
      <c r="M49" s="1490"/>
      <c r="N49" s="309" t="s">
        <v>786</v>
      </c>
      <c r="O49" s="1489"/>
      <c r="P49" s="1490"/>
      <c r="Q49" s="309" t="s">
        <v>786</v>
      </c>
      <c r="R49" s="1489"/>
      <c r="S49" s="1490"/>
      <c r="T49" s="309" t="s">
        <v>786</v>
      </c>
      <c r="V49" s="549"/>
      <c r="W49" s="21"/>
    </row>
    <row r="50" spans="2:50" s="307" customFormat="1" ht="19.5" hidden="1" customHeight="1" outlineLevel="1">
      <c r="B50" s="1675"/>
      <c r="C50" s="1675"/>
      <c r="D50" s="1675"/>
      <c r="E50" s="1675"/>
      <c r="F50" s="1675"/>
      <c r="G50" s="1675"/>
      <c r="H50" s="1675"/>
      <c r="I50" s="1489"/>
      <c r="J50" s="1490"/>
      <c r="K50" s="309" t="s">
        <v>786</v>
      </c>
      <c r="L50" s="1489"/>
      <c r="M50" s="1490"/>
      <c r="N50" s="309" t="s">
        <v>786</v>
      </c>
      <c r="O50" s="1489"/>
      <c r="P50" s="1490"/>
      <c r="Q50" s="309" t="s">
        <v>786</v>
      </c>
      <c r="R50" s="1489"/>
      <c r="S50" s="1490"/>
      <c r="T50" s="309" t="s">
        <v>786</v>
      </c>
      <c r="V50" s="549"/>
      <c r="W50" s="21"/>
    </row>
    <row r="51" spans="2:50" s="4" customFormat="1" ht="7.5" hidden="1" customHeight="1" outlineLevel="1">
      <c r="B51" s="14"/>
      <c r="C51" s="14"/>
      <c r="D51" s="14"/>
      <c r="E51" s="14"/>
      <c r="F51" s="14"/>
      <c r="G51" s="14"/>
      <c r="H51" s="14"/>
      <c r="I51" s="14"/>
      <c r="J51" s="14"/>
      <c r="K51" s="13"/>
      <c r="L51" s="13"/>
      <c r="M51" s="13"/>
      <c r="N51" s="14"/>
      <c r="O51" s="14"/>
      <c r="P51" s="14"/>
      <c r="Q51" s="14"/>
      <c r="R51" s="14"/>
      <c r="S51" s="14"/>
      <c r="T51" s="14"/>
      <c r="U51" s="14"/>
      <c r="V51" s="538"/>
      <c r="W51" s="49"/>
      <c r="X51" s="19"/>
      <c r="Y51" s="19"/>
      <c r="Z51" s="19"/>
      <c r="AA51" s="19"/>
      <c r="AB51" s="19"/>
      <c r="AC51" s="19"/>
      <c r="AD51" s="19"/>
      <c r="AE51" s="19"/>
      <c r="AF51" s="19"/>
    </row>
    <row r="52" spans="2:50" s="320" customFormat="1" ht="0.6" hidden="1" customHeight="1" outlineLevel="1">
      <c r="B52" s="1600" t="s">
        <v>815</v>
      </c>
      <c r="C52" s="1600"/>
      <c r="D52" s="1600"/>
      <c r="E52" s="1600"/>
      <c r="F52" s="1600"/>
      <c r="G52" s="1600"/>
      <c r="H52" s="1600"/>
      <c r="I52" s="1600"/>
      <c r="J52" s="1600"/>
      <c r="K52" s="1600"/>
      <c r="L52" s="1600"/>
      <c r="M52" s="1600"/>
      <c r="N52" s="1600"/>
      <c r="O52" s="1600"/>
      <c r="P52" s="1600"/>
      <c r="Q52" s="1600"/>
      <c r="R52" s="1600"/>
      <c r="S52" s="1600"/>
      <c r="T52" s="1600"/>
      <c r="V52" s="537"/>
      <c r="W52" s="21"/>
      <c r="AX52" s="321"/>
    </row>
    <row r="53" spans="2:50" ht="15" customHeight="1" collapsed="1">
      <c r="B53" s="15" t="s">
        <v>1789</v>
      </c>
      <c r="C53" s="15"/>
      <c r="D53" s="15"/>
      <c r="E53" s="15"/>
      <c r="F53" s="45"/>
      <c r="G53" s="45"/>
      <c r="H53" s="45"/>
      <c r="I53" s="45"/>
      <c r="J53" s="45"/>
      <c r="K53" s="45"/>
      <c r="L53" s="45"/>
      <c r="M53" s="45"/>
      <c r="N53" s="45"/>
      <c r="O53" s="45"/>
      <c r="P53" s="45"/>
      <c r="Q53" s="45"/>
      <c r="R53" s="45"/>
      <c r="S53" s="45"/>
      <c r="T53" s="45"/>
      <c r="V53" s="533" t="s">
        <v>1763</v>
      </c>
    </row>
    <row r="54" spans="2:50" s="4" customFormat="1" ht="7.5" customHeight="1">
      <c r="B54" s="14"/>
      <c r="C54" s="14"/>
      <c r="D54" s="14"/>
      <c r="E54" s="14"/>
      <c r="F54" s="14"/>
      <c r="G54" s="14"/>
      <c r="H54" s="14"/>
      <c r="I54" s="14"/>
      <c r="J54" s="14"/>
      <c r="K54" s="13"/>
      <c r="L54" s="13"/>
      <c r="M54" s="13"/>
      <c r="N54" s="14"/>
      <c r="O54" s="14"/>
      <c r="P54" s="14"/>
      <c r="Q54" s="14"/>
      <c r="R54" s="14"/>
      <c r="S54" s="14"/>
      <c r="T54" s="14"/>
      <c r="U54" s="14"/>
      <c r="V54" s="538"/>
      <c r="W54" s="49"/>
      <c r="X54" s="19"/>
      <c r="Y54" s="19"/>
      <c r="Z54" s="19"/>
      <c r="AA54" s="19"/>
      <c r="AB54" s="19"/>
      <c r="AC54" s="19"/>
      <c r="AD54" s="19"/>
      <c r="AE54" s="19"/>
      <c r="AF54" s="19"/>
    </row>
    <row r="55" spans="2:50" ht="15" customHeight="1">
      <c r="B55" s="15" t="s">
        <v>783</v>
      </c>
      <c r="C55" s="15"/>
      <c r="D55" s="15"/>
      <c r="E55" s="15"/>
      <c r="V55" s="533"/>
      <c r="W55" s="21" t="s">
        <v>790</v>
      </c>
      <c r="Z55" s="1177" t="s">
        <v>1895</v>
      </c>
      <c r="AA55" s="1178" t="s">
        <v>1896</v>
      </c>
      <c r="AB55" s="1177" t="s">
        <v>1897</v>
      </c>
      <c r="AC55" s="1178" t="s">
        <v>1896</v>
      </c>
    </row>
    <row r="56" spans="2:50" s="307" customFormat="1" ht="19.5" hidden="1" customHeight="1" outlineLevel="1">
      <c r="B56" s="1658" t="s">
        <v>784</v>
      </c>
      <c r="C56" s="1658"/>
      <c r="D56" s="1658"/>
      <c r="E56" s="1658"/>
      <c r="F56" s="1658"/>
      <c r="G56" s="1658"/>
      <c r="H56" s="303" t="s">
        <v>785</v>
      </c>
      <c r="I56" s="1659"/>
      <c r="J56" s="1660"/>
      <c r="K56" s="304" t="s">
        <v>786</v>
      </c>
      <c r="V56" s="1485"/>
      <c r="W56" s="21" t="s">
        <v>1755</v>
      </c>
      <c r="Z56" s="1178"/>
      <c r="AA56" s="1178"/>
      <c r="AB56" s="1178"/>
      <c r="AC56" s="1178"/>
    </row>
    <row r="57" spans="2:50" s="307" customFormat="1" ht="19.5" hidden="1" customHeight="1" outlineLevel="1">
      <c r="B57" s="313"/>
      <c r="C57" s="314" t="s">
        <v>787</v>
      </c>
      <c r="D57" s="300"/>
      <c r="E57" s="1661" t="s">
        <v>788</v>
      </c>
      <c r="F57" s="1661"/>
      <c r="G57" s="1662"/>
      <c r="H57" s="308" t="s">
        <v>789</v>
      </c>
      <c r="I57" s="1489"/>
      <c r="J57" s="1490"/>
      <c r="K57" s="309" t="s">
        <v>786</v>
      </c>
      <c r="V57" s="1485"/>
      <c r="W57" s="21" t="s">
        <v>1756</v>
      </c>
      <c r="Z57" s="1178"/>
      <c r="AA57" s="1178"/>
      <c r="AB57" s="1178"/>
      <c r="AC57" s="1178"/>
    </row>
    <row r="58" spans="2:50" ht="19.5" customHeight="1" collapsed="1">
      <c r="B58" s="1663" t="s">
        <v>791</v>
      </c>
      <c r="C58" s="1664"/>
      <c r="D58" s="1664"/>
      <c r="E58" s="1664"/>
      <c r="F58" s="1664"/>
      <c r="G58" s="1665"/>
      <c r="H58" s="558" t="s">
        <v>785</v>
      </c>
      <c r="I58" s="1666" t="str">
        <f ca="1">IF('B1.入力_第1面'!$I$34="■",IF(Z58=TRUE(),AA58,IF(AB58=TRUE(),AC58,"")),IF('B1.入力_第1面'!$I$35="■",IF(Z58=FALSE(),AA58,IF(AB58=FALSE(),AC58,"")),""))</f>
        <v/>
      </c>
      <c r="J58" s="1667"/>
      <c r="K58" s="7" t="s">
        <v>786</v>
      </c>
      <c r="V58" s="1485"/>
      <c r="W58" s="21" t="s">
        <v>1828</v>
      </c>
      <c r="Z58" s="1178" t="str">
        <f ca="1">OFFSET(INDIRECT("貼付け_"&amp;'B1.入力_第1面'!$H$39&amp;"実績"),2,34+(3*(D59-2022)))</f>
        <v/>
      </c>
      <c r="AA58" s="1178" t="str">
        <f ca="1">OFFSET(INDIRECT("貼付け_"&amp;'B1.入力_第1面'!$H$39&amp;"実績"),2,35+(3*(D59-2022)))</f>
        <v/>
      </c>
      <c r="AB58" s="1178" t="str">
        <f ca="1">OFFSET(INDIRECT("貼付け_"&amp;'B1.入力_第1面'!$H$39&amp;"実績"),2,58+(3*(D59-2022)))</f>
        <v/>
      </c>
      <c r="AC58" s="1178" t="str">
        <f ca="1">OFFSET(INDIRECT("貼付け_"&amp;'B1.入力_第1面'!$H$39&amp;"実績"),2,59+(3*(D59-2022)))</f>
        <v/>
      </c>
    </row>
    <row r="59" spans="2:50" ht="19.5" customHeight="1">
      <c r="B59" s="560"/>
      <c r="C59" s="561" t="s">
        <v>787</v>
      </c>
      <c r="D59" s="562">
        <f ca="1">'B1.入力_第1面'!$H$39-2</f>
        <v>2022</v>
      </c>
      <c r="E59" s="1668" t="s">
        <v>788</v>
      </c>
      <c r="F59" s="1668"/>
      <c r="G59" s="1669"/>
      <c r="H59" s="559" t="s">
        <v>789</v>
      </c>
      <c r="I59" s="1670" t="str">
        <f ca="1">IF('B1.入力_第1面'!$I$34="■",IF(Z59=TRUE(),AA59,IF(AB59=TRUE(),AC59,"")),IF('B1.入力_第1面'!$I$35="■",IF(Z59=FALSE(),AA59,IF(AB59=FALSE(),AC59,"")),""))</f>
        <v/>
      </c>
      <c r="J59" s="1671"/>
      <c r="K59" s="47" t="s">
        <v>786</v>
      </c>
      <c r="V59" s="533" t="s">
        <v>1764</v>
      </c>
      <c r="W59" s="21" t="s">
        <v>1829</v>
      </c>
      <c r="Z59" s="1178" t="str">
        <f ca="1">OFFSET(INDIRECT("貼付け_"&amp;'B1.入力_第1面'!$H$39&amp;"実績"),2,34+(3*(D59-2022)))</f>
        <v/>
      </c>
      <c r="AA59" s="1178" t="str">
        <f ca="1">OFFSET(INDIRECT("貼付け_"&amp;'B1.入力_第1面'!$H$39&amp;"実績"),2,36+(3*(D59-2022)))</f>
        <v/>
      </c>
      <c r="AB59" s="1178" t="str">
        <f ca="1">OFFSET(INDIRECT("貼付け_"&amp;'B1.入力_第1面'!$H$39&amp;"実績"),2,58+(3*(D59-2022)))</f>
        <v/>
      </c>
      <c r="AC59" s="1178" t="str">
        <f ca="1">OFFSET(INDIRECT("貼付け_"&amp;'B1.入力_第1面'!$H$39&amp;"実績"),2,60+(3*(D59-2022)))</f>
        <v/>
      </c>
    </row>
    <row r="60" spans="2:50" ht="19.5" customHeight="1">
      <c r="B60" s="1672" t="s">
        <v>792</v>
      </c>
      <c r="C60" s="1673"/>
      <c r="D60" s="1673"/>
      <c r="E60" s="1673"/>
      <c r="F60" s="1673"/>
      <c r="G60" s="1674"/>
      <c r="H60" s="558" t="s">
        <v>785</v>
      </c>
      <c r="I60" s="1666" t="str">
        <f ca="1">IF('B1.入力_第1面'!$I$34="■",IF(Z60=TRUE(),AA60,IF(AB60=TRUE(),AC60,"")),IF('B1.入力_第1面'!$I$35="■",IF(Z60=FALSE(),AA60,IF(AB60=FALSE(),AC60,"")),""))</f>
        <v/>
      </c>
      <c r="J60" s="1667"/>
      <c r="K60" s="7" t="s">
        <v>786</v>
      </c>
      <c r="V60" s="1486" t="s">
        <v>1904</v>
      </c>
      <c r="W60" s="21" t="s">
        <v>1830</v>
      </c>
      <c r="Z60" s="1178" t="str">
        <f ca="1">OFFSET(INDIRECT("貼付け_"&amp;'B1.入力_第1面'!$H$39&amp;"実績"),2,34+(3*(D61-2022)))</f>
        <v/>
      </c>
      <c r="AA60" s="1178" t="str">
        <f ca="1">OFFSET(INDIRECT("貼付け_"&amp;'B1.入力_第1面'!$H$39&amp;"実績"),2,35+(3*(D61-2022)))</f>
        <v/>
      </c>
      <c r="AB60" s="1178" t="str">
        <f ca="1">OFFSET(INDIRECT("貼付け_"&amp;'B1.入力_第1面'!$H$39&amp;"実績"),2,58+(3*(D61-2022)))</f>
        <v/>
      </c>
      <c r="AC60" s="1178" t="str">
        <f ca="1">OFFSET(INDIRECT("貼付け_"&amp;'B1.入力_第1面'!$H$39&amp;"実績"),2,59+(3*(D61-2022)))</f>
        <v/>
      </c>
    </row>
    <row r="61" spans="2:50" ht="19.5" customHeight="1">
      <c r="B61" s="560"/>
      <c r="C61" s="561" t="s">
        <v>787</v>
      </c>
      <c r="D61" s="562">
        <f ca="1">'B1.入力_第1面'!$H$39-1</f>
        <v>2023</v>
      </c>
      <c r="E61" s="1668" t="s">
        <v>788</v>
      </c>
      <c r="F61" s="1668"/>
      <c r="G61" s="1669"/>
      <c r="H61" s="559" t="s">
        <v>789</v>
      </c>
      <c r="I61" s="1670" t="str">
        <f ca="1">IF('B1.入力_第1面'!$I$34="■",IF(Z61=TRUE(),AA61,IF(AB61=TRUE(),AC61,"")),IF('B1.入力_第1面'!$I$35="■",IF(Z61=FALSE(),AA61,IF(AB61=FALSE(),AC61,"")),""))</f>
        <v/>
      </c>
      <c r="J61" s="1671"/>
      <c r="K61" s="47" t="s">
        <v>786</v>
      </c>
      <c r="V61" s="1486"/>
      <c r="W61" s="21" t="s">
        <v>1831</v>
      </c>
      <c r="Z61" s="1178" t="str">
        <f ca="1">OFFSET(INDIRECT("貼付け_"&amp;'B1.入力_第1面'!$H$39&amp;"実績"),2,34+(3*(D61-2022)))</f>
        <v/>
      </c>
      <c r="AA61" s="1178" t="str">
        <f ca="1">OFFSET(INDIRECT("貼付け_"&amp;'B1.入力_第1面'!$H$39&amp;"実績"),2,36+(3*(D61-2022)))</f>
        <v/>
      </c>
      <c r="AB61" s="1178" t="str">
        <f ca="1">OFFSET(INDIRECT("貼付け_"&amp;'B1.入力_第1面'!$H$39&amp;"実績"),2,58+(3*(D61-2022)))</f>
        <v/>
      </c>
      <c r="AC61" s="1178" t="str">
        <f ca="1">OFFSET(INDIRECT("貼付け_"&amp;'B1.入力_第1面'!$H$39&amp;"実績"),2,60+(3*(D61-2022)))</f>
        <v/>
      </c>
    </row>
    <row r="62" spans="2:50" s="4" customFormat="1" ht="7.5" customHeight="1">
      <c r="B62" s="14"/>
      <c r="C62" s="14"/>
      <c r="D62" s="14"/>
      <c r="E62" s="14"/>
      <c r="F62" s="14"/>
      <c r="G62" s="14"/>
      <c r="H62" s="14"/>
      <c r="I62" s="14"/>
      <c r="J62" s="14"/>
      <c r="K62" s="13"/>
      <c r="L62" s="13"/>
      <c r="M62" s="13"/>
      <c r="N62" s="14"/>
      <c r="O62" s="14"/>
      <c r="P62" s="14"/>
      <c r="Q62" s="14"/>
      <c r="R62" s="14"/>
      <c r="S62" s="14"/>
      <c r="T62" s="14"/>
      <c r="U62" s="14"/>
      <c r="V62" s="1486"/>
      <c r="W62" s="49"/>
      <c r="X62" s="19"/>
      <c r="Y62" s="19"/>
      <c r="Z62" s="19"/>
      <c r="AA62" s="19"/>
      <c r="AB62" s="19"/>
      <c r="AC62" s="19"/>
      <c r="AD62" s="19"/>
      <c r="AE62" s="19"/>
      <c r="AF62" s="19"/>
    </row>
    <row r="63" spans="2:50" ht="15" customHeight="1">
      <c r="B63" s="15" t="s">
        <v>793</v>
      </c>
      <c r="C63" s="15"/>
      <c r="D63" s="15"/>
      <c r="E63" s="15"/>
    </row>
    <row r="64" spans="2:50" ht="15" customHeight="1">
      <c r="B64" s="1482"/>
      <c r="C64" s="1483"/>
      <c r="D64" s="1483"/>
      <c r="E64" s="1484"/>
      <c r="F64" s="1482" t="s">
        <v>794</v>
      </c>
      <c r="G64" s="1483"/>
      <c r="H64" s="1483"/>
      <c r="I64" s="1483"/>
      <c r="J64" s="1483"/>
      <c r="K64" s="1484"/>
      <c r="L64" s="1479" t="s">
        <v>795</v>
      </c>
      <c r="M64" s="1480"/>
      <c r="N64" s="1480"/>
      <c r="O64" s="1480"/>
      <c r="P64" s="1480"/>
      <c r="Q64" s="1480"/>
      <c r="R64" s="1480"/>
      <c r="S64" s="1480"/>
      <c r="T64" s="1481"/>
      <c r="Z64" s="21" t="s">
        <v>796</v>
      </c>
    </row>
    <row r="65" spans="2:32" ht="15" customHeight="1" thickBot="1">
      <c r="B65" s="1525"/>
      <c r="C65" s="1526"/>
      <c r="D65" s="1526"/>
      <c r="E65" s="1527"/>
      <c r="F65" s="1482" t="s">
        <v>797</v>
      </c>
      <c r="G65" s="1483"/>
      <c r="H65" s="1483"/>
      <c r="I65" s="1482" t="s">
        <v>798</v>
      </c>
      <c r="J65" s="1483"/>
      <c r="K65" s="1484"/>
      <c r="L65" s="1482" t="s">
        <v>97</v>
      </c>
      <c r="M65" s="1483"/>
      <c r="N65" s="1484"/>
      <c r="O65" s="1482" t="s">
        <v>102</v>
      </c>
      <c r="P65" s="1483"/>
      <c r="Q65" s="1484"/>
      <c r="R65" s="1482" t="s">
        <v>123</v>
      </c>
      <c r="S65" s="1483"/>
      <c r="T65" s="1484"/>
      <c r="V65" s="539" t="s">
        <v>1712</v>
      </c>
      <c r="AA65" s="21">
        <v>2022</v>
      </c>
      <c r="AB65" s="21">
        <v>2023</v>
      </c>
      <c r="AC65" s="21">
        <v>2024</v>
      </c>
      <c r="AD65" s="21">
        <v>2025</v>
      </c>
      <c r="AE65" s="21">
        <v>2026</v>
      </c>
      <c r="AF65" s="21">
        <v>2027</v>
      </c>
    </row>
    <row r="66" spans="2:32" ht="19.5" customHeight="1" thickTop="1">
      <c r="B66" s="1499" t="s">
        <v>799</v>
      </c>
      <c r="C66" s="1500"/>
      <c r="D66" s="1501"/>
      <c r="E66" s="558" t="s">
        <v>785</v>
      </c>
      <c r="F66" s="1652">
        <f ca="1">IF('B1.入力_第1面'!I34="■",INDEX(参考3_排出量経年!L273:O273,'B1.入力_第1面'!H39-2023),IF('B1.入力_第1面'!I35="■",INDEX(参考3_排出量経年!T273:W273,'B1.入力_第1面'!H39-2023),""))</f>
        <v>0</v>
      </c>
      <c r="G66" s="1653"/>
      <c r="H66" s="24" t="s">
        <v>786</v>
      </c>
      <c r="I66" s="1654"/>
      <c r="J66" s="1655"/>
      <c r="K66" s="26" t="s">
        <v>786</v>
      </c>
      <c r="L66" s="1653" t="str">
        <f>IF(ISBLANK(A.貼付_2026提出!C9),"",IF('B1.入力_第1面'!I34="■",参考3_排出量経年!M273,IF('B1.入力_第1面'!I35="■",参考3_排出量経年!U273,"")))</f>
        <v/>
      </c>
      <c r="M66" s="1653"/>
      <c r="N66" s="7" t="s">
        <v>786</v>
      </c>
      <c r="O66" s="1652" t="str">
        <f>IF(ISBLANK(A.貼付_2027提出!C9),"",IF('B1.入力_第1面'!I34="■",参考3_排出量経年!N273,IF('B1.入力_第1面'!I35="■",参考3_排出量経年!V273,"")))</f>
        <v/>
      </c>
      <c r="P66" s="1653"/>
      <c r="Q66" s="7" t="s">
        <v>786</v>
      </c>
      <c r="R66" s="1652" t="str">
        <f>IF(ISBLANK(A.貼付_2028提出!C9),"",IF('B1.入力_第1面'!I34="■",参考3_排出量経年!O273,IF('B1.入力_第1面'!I35="■",参考3_排出量経年!W273,"")))</f>
        <v/>
      </c>
      <c r="S66" s="1653"/>
      <c r="T66" s="7" t="s">
        <v>786</v>
      </c>
      <c r="V66" s="1485" t="s">
        <v>1713</v>
      </c>
      <c r="Z66" s="21" t="s">
        <v>800</v>
      </c>
      <c r="AA66" s="77" t="str">
        <f ca="1">IF(D59=AA65,I58,"")</f>
        <v/>
      </c>
      <c r="AB66" s="77" t="str">
        <f ca="1">IF(D59=AB65,I58,IF(D61=AB65,I60,""))</f>
        <v/>
      </c>
      <c r="AC66" s="77">
        <f ca="1">IF(D59=AC65,I58,IF(D61=AC65,I60,IF(AC65='B1.入力_第1面'!$H$39,F66,"")))</f>
        <v>0</v>
      </c>
      <c r="AD66" s="77" t="str">
        <f>L66</f>
        <v/>
      </c>
      <c r="AE66" s="77" t="str">
        <f>O66</f>
        <v/>
      </c>
      <c r="AF66" s="77" t="str">
        <f>R66</f>
        <v/>
      </c>
    </row>
    <row r="67" spans="2:32" ht="19.5" customHeight="1" thickBot="1">
      <c r="B67" s="1607"/>
      <c r="C67" s="1608"/>
      <c r="D67" s="1609"/>
      <c r="E67" s="559" t="s">
        <v>789</v>
      </c>
      <c r="F67" s="1487">
        <f ca="1">IF('B1.入力_第1面'!I34="■",INDEX(参考3_排出量経年!L318:O318,'B1.入力_第1面'!H39-2023),IF('B1.入力_第1面'!I35="■",INDEX(参考3_排出量経年!T318:W318,'B1.入力_第1面'!H39-2023),""))</f>
        <v>0</v>
      </c>
      <c r="G67" s="1488"/>
      <c r="H67" s="29" t="s">
        <v>786</v>
      </c>
      <c r="I67" s="1656"/>
      <c r="J67" s="1657"/>
      <c r="K67" s="28" t="s">
        <v>786</v>
      </c>
      <c r="L67" s="1488" t="str">
        <f>IF(ISBLANK(A.貼付_2026提出!C9),"",IF('B1.入力_第1面'!I34="■",参考3_排出量経年!M318,IF('B1.入力_第1面'!I35="■",参考3_排出量経年!U318,"")))</f>
        <v/>
      </c>
      <c r="M67" s="1488"/>
      <c r="N67" s="47" t="s">
        <v>786</v>
      </c>
      <c r="O67" s="1487" t="str">
        <f>IF(ISBLANK(A.貼付_2027提出!C9),"",IF('B1.入力_第1面'!I34="■",参考3_排出量経年!N318,IF('B1.入力_第1面'!I35="■",参考3_排出量経年!V318,"")))</f>
        <v/>
      </c>
      <c r="P67" s="1488"/>
      <c r="Q67" s="47" t="s">
        <v>786</v>
      </c>
      <c r="R67" s="1487" t="str">
        <f>IF(ISBLANK(A.貼付_2028提出!C9),"",IF('B1.入力_第1面'!I34="■",参考3_排出量経年!O318,IF('B1.入力_第1面'!I35="■",参考3_排出量経年!W318,"")))</f>
        <v/>
      </c>
      <c r="S67" s="1488"/>
      <c r="T67" s="47" t="s">
        <v>786</v>
      </c>
      <c r="V67" s="1485"/>
      <c r="Z67" s="21" t="s">
        <v>77</v>
      </c>
      <c r="AA67" s="77" t="str">
        <f ca="1">IF(D59=AA65,I59,"")</f>
        <v/>
      </c>
      <c r="AB67" s="77" t="str">
        <f ca="1">IF(D59=AB65,I59,IF(D61=AB65,I61,""))</f>
        <v/>
      </c>
      <c r="AC67" s="77">
        <f ca="1">IF(D59=AC65,I59,IF(D61=AC65,I61,IF(AC65='B1.入力_第1面'!$H$39,F67,"")))</f>
        <v>0</v>
      </c>
      <c r="AD67" s="77" t="str">
        <f>L67</f>
        <v/>
      </c>
      <c r="AE67" s="77" t="str">
        <f>O67</f>
        <v/>
      </c>
      <c r="AF67" s="77" t="str">
        <f>R67</f>
        <v/>
      </c>
    </row>
    <row r="68" spans="2:32" ht="19.5" customHeight="1" thickTop="1">
      <c r="B68" s="1499" t="s">
        <v>801</v>
      </c>
      <c r="C68" s="1500"/>
      <c r="D68" s="1501"/>
      <c r="E68" s="558" t="s">
        <v>785</v>
      </c>
      <c r="F68" s="1469"/>
      <c r="G68" s="1470"/>
      <c r="H68" s="1471"/>
      <c r="I68" s="1638" t="str">
        <f ca="1">IFERROR(100-I66/F66*100,"")</f>
        <v/>
      </c>
      <c r="J68" s="1639"/>
      <c r="K68" s="285" t="s">
        <v>802</v>
      </c>
      <c r="L68" s="1648" t="str">
        <f ca="1">IF('B1.入力_第1面'!H39&gt;=2025,"",IFERROR(100-L66/$F66*100,""))</f>
        <v/>
      </c>
      <c r="M68" s="1649"/>
      <c r="N68" s="286" t="s">
        <v>802</v>
      </c>
      <c r="O68" s="1648" t="str">
        <f ca="1">IF('B1.入力_第1面'!H39&gt;=2026,"",IFERROR(100-O66/$F66*100,""))</f>
        <v/>
      </c>
      <c r="P68" s="1649"/>
      <c r="Q68" s="286" t="s">
        <v>802</v>
      </c>
      <c r="R68" s="1648" t="str">
        <f ca="1">IFERROR(100-R66/$F66*100,"")</f>
        <v/>
      </c>
      <c r="S68" s="1649"/>
      <c r="T68" s="7" t="s">
        <v>802</v>
      </c>
      <c r="V68" s="1485"/>
      <c r="Z68" s="21" t="s">
        <v>803</v>
      </c>
      <c r="AD68" s="21">
        <f ca="1">IFERROR((1-(IFERROR(AB66/AA66,1)*IFERROR(AC66/AB66,1)*IFERROR(AD66/AC66,1))^(1/(COUNTIF(AA66:AD66,"&gt;0")-1)))*100,"")</f>
        <v>0</v>
      </c>
      <c r="AE68" s="21">
        <f t="shared" ref="AE68:AF69" ca="1" si="1">IFERROR((1-(IFERROR(AC66/AB66,1)*IFERROR(AD66/AC66,1)*IFERROR(AE66/AD66,1))^(1/(COUNTIF(AB66:AE66,"&gt;0")-1)))*100,"")</f>
        <v>0</v>
      </c>
      <c r="AF68" s="21">
        <f t="shared" ca="1" si="1"/>
        <v>0</v>
      </c>
    </row>
    <row r="69" spans="2:32" ht="19.5" customHeight="1" thickBot="1">
      <c r="B69" s="1607"/>
      <c r="C69" s="1608"/>
      <c r="D69" s="1609"/>
      <c r="E69" s="559" t="s">
        <v>789</v>
      </c>
      <c r="F69" s="1472"/>
      <c r="G69" s="1473"/>
      <c r="H69" s="1474"/>
      <c r="I69" s="1643" t="str">
        <f ca="1">IFERROR(100-I67/F67*100,"")</f>
        <v/>
      </c>
      <c r="J69" s="1644"/>
      <c r="K69" s="287" t="s">
        <v>802</v>
      </c>
      <c r="L69" s="1650" t="str">
        <f ca="1">IF('B1.入力_第1面'!H39&gt;=2025,"",IFERROR(100-L67/$F67*100,""))</f>
        <v/>
      </c>
      <c r="M69" s="1651"/>
      <c r="N69" s="288" t="s">
        <v>802</v>
      </c>
      <c r="O69" s="1650" t="str">
        <f ca="1">IF('B1.入力_第1面'!H39&gt;=2026,"",IFERROR(100-O67/$F67*100,""))</f>
        <v/>
      </c>
      <c r="P69" s="1651"/>
      <c r="Q69" s="288" t="s">
        <v>802</v>
      </c>
      <c r="R69" s="1650" t="str">
        <f ca="1">IFERROR(100-R67/$F67*100,"")</f>
        <v/>
      </c>
      <c r="S69" s="1651"/>
      <c r="T69" s="25" t="s">
        <v>802</v>
      </c>
      <c r="V69" s="1485"/>
      <c r="Z69" s="21" t="s">
        <v>804</v>
      </c>
      <c r="AD69" s="21">
        <f ca="1">IFERROR((1-(IFERROR(AB67/AA67,1)*IFERROR(AC67/AB67,1)*IFERROR(AD67/AC67,1))^(1/(COUNTIF(AA67:AD67,"&gt;0")-1)))*100,"")</f>
        <v>0</v>
      </c>
      <c r="AE69" s="21">
        <f t="shared" ca="1" si="1"/>
        <v>0</v>
      </c>
      <c r="AF69" s="21">
        <f t="shared" ca="1" si="1"/>
        <v>0</v>
      </c>
    </row>
    <row r="70" spans="2:32" ht="19.5" customHeight="1" thickTop="1">
      <c r="B70" s="1499" t="s">
        <v>1790</v>
      </c>
      <c r="C70" s="1500"/>
      <c r="D70" s="1501"/>
      <c r="E70" s="558" t="s">
        <v>785</v>
      </c>
      <c r="F70" s="1469"/>
      <c r="G70" s="1470"/>
      <c r="H70" s="1471"/>
      <c r="I70" s="1638" t="str">
        <f ca="1">IFERROR((1-(I66/F66)^(1/('B1.入力_第1面'!E39-'B1.入力_第1面'!H39)))*100,"")</f>
        <v/>
      </c>
      <c r="J70" s="1639"/>
      <c r="K70" s="289" t="s">
        <v>802</v>
      </c>
      <c r="L70" s="1640" t="str">
        <f ca="1">IF('B1.入力_第1面'!H39&gt;=2025,"",IF(L66="","",AD68))</f>
        <v/>
      </c>
      <c r="M70" s="1641"/>
      <c r="N70" s="290" t="s">
        <v>802</v>
      </c>
      <c r="O70" s="1642" t="str">
        <f ca="1">IF('B1.入力_第1面'!H39&gt;=2026,"",IF(O66="","",AE68))</f>
        <v/>
      </c>
      <c r="P70" s="1641"/>
      <c r="Q70" s="290" t="s">
        <v>802</v>
      </c>
      <c r="R70" s="1642" t="str">
        <f>IF(R66="","",AF68)</f>
        <v/>
      </c>
      <c r="S70" s="1641"/>
      <c r="T70" s="26" t="s">
        <v>802</v>
      </c>
      <c r="V70" s="1485"/>
      <c r="Z70" s="21" t="s">
        <v>805</v>
      </c>
    </row>
    <row r="71" spans="2:32" ht="19.5" customHeight="1" thickBot="1">
      <c r="B71" s="1607"/>
      <c r="C71" s="1608"/>
      <c r="D71" s="1609"/>
      <c r="E71" s="559" t="s">
        <v>789</v>
      </c>
      <c r="F71" s="1472"/>
      <c r="G71" s="1473"/>
      <c r="H71" s="1474"/>
      <c r="I71" s="1643" t="str">
        <f ca="1">IFERROR((1-(I67/F67)^(1/('B1.入力_第1面'!E39-'B1.入力_第1面'!H39)))*100,"")</f>
        <v/>
      </c>
      <c r="J71" s="1644"/>
      <c r="K71" s="291" t="s">
        <v>802</v>
      </c>
      <c r="L71" s="1645" t="str">
        <f ca="1">IF('B1.入力_第1面'!H39&gt;=2025,"",IF(L67="","",AD69))</f>
        <v/>
      </c>
      <c r="M71" s="1646"/>
      <c r="N71" s="292" t="s">
        <v>802</v>
      </c>
      <c r="O71" s="1647" t="str">
        <f ca="1">IF('B1.入力_第1面'!H39&gt;=2026,"",IF(O67="","",AE69))</f>
        <v/>
      </c>
      <c r="P71" s="1646"/>
      <c r="Q71" s="292" t="s">
        <v>802</v>
      </c>
      <c r="R71" s="1647" t="str">
        <f>IF(R67="","",AF69)</f>
        <v/>
      </c>
      <c r="S71" s="1646"/>
      <c r="T71" s="28" t="s">
        <v>802</v>
      </c>
      <c r="V71" s="1485"/>
      <c r="Z71" s="21" t="s">
        <v>806</v>
      </c>
    </row>
    <row r="72" spans="2:32" s="307" customFormat="1" ht="23.25" hidden="1" customHeight="1" outlineLevel="1" thickTop="1">
      <c r="B72" s="1619" t="s">
        <v>807</v>
      </c>
      <c r="C72" s="1620"/>
      <c r="D72" s="1621"/>
      <c r="E72" s="303" t="s">
        <v>785</v>
      </c>
      <c r="F72" s="1625"/>
      <c r="G72" s="1626"/>
      <c r="H72" s="304" t="s">
        <v>802</v>
      </c>
      <c r="I72" s="1625"/>
      <c r="J72" s="1626"/>
      <c r="K72" s="305" t="s">
        <v>802</v>
      </c>
      <c r="L72" s="1627" t="str">
        <f>IFERROR(100-L66/$I$56*100,"")</f>
        <v/>
      </c>
      <c r="M72" s="1626"/>
      <c r="N72" s="304" t="s">
        <v>802</v>
      </c>
      <c r="O72" s="1625" t="str">
        <f>IFERROR(100-O66/$I$56*100,"")</f>
        <v/>
      </c>
      <c r="P72" s="1626"/>
      <c r="Q72" s="304" t="s">
        <v>802</v>
      </c>
      <c r="R72" s="1625" t="str">
        <f>IFERROR(100-R66/$I$56*100,"")</f>
        <v/>
      </c>
      <c r="S72" s="1626"/>
      <c r="T72" s="306" t="s">
        <v>802</v>
      </c>
      <c r="V72" s="1485"/>
      <c r="W72" s="21"/>
    </row>
    <row r="73" spans="2:32" s="307" customFormat="1" ht="21.75" hidden="1" customHeight="1" outlineLevel="1" thickBot="1">
      <c r="B73" s="1622"/>
      <c r="C73" s="1623"/>
      <c r="D73" s="1624"/>
      <c r="E73" s="308" t="s">
        <v>789</v>
      </c>
      <c r="F73" s="1628"/>
      <c r="G73" s="1629"/>
      <c r="H73" s="309" t="s">
        <v>802</v>
      </c>
      <c r="I73" s="1628"/>
      <c r="J73" s="1629"/>
      <c r="K73" s="310" t="s">
        <v>802</v>
      </c>
      <c r="L73" s="1630" t="str">
        <f>IFERROR(100-L67/$I$57*100,"")</f>
        <v/>
      </c>
      <c r="M73" s="1631"/>
      <c r="N73" s="311" t="s">
        <v>802</v>
      </c>
      <c r="O73" s="1632" t="str">
        <f>IFERROR(100-O67/$I$57*100,"")</f>
        <v/>
      </c>
      <c r="P73" s="1631"/>
      <c r="Q73" s="311" t="s">
        <v>802</v>
      </c>
      <c r="R73" s="1632" t="str">
        <f>IFERROR(100-R67/$I$57*100,"")</f>
        <v/>
      </c>
      <c r="S73" s="1631"/>
      <c r="T73" s="312" t="s">
        <v>802</v>
      </c>
      <c r="V73" s="1485"/>
      <c r="W73" s="21"/>
    </row>
    <row r="74" spans="2:32" s="4" customFormat="1" ht="21.75" customHeight="1" collapsed="1" thickTop="1">
      <c r="B74" s="80" t="s">
        <v>816</v>
      </c>
      <c r="C74" s="43"/>
      <c r="D74" s="14"/>
      <c r="E74" s="14"/>
      <c r="F74" s="14"/>
      <c r="G74" s="14"/>
      <c r="H74" s="14"/>
      <c r="I74" s="14"/>
      <c r="J74" s="14"/>
      <c r="K74" s="13"/>
      <c r="L74" s="13"/>
      <c r="M74" s="13"/>
      <c r="N74" s="14"/>
      <c r="O74" s="14"/>
      <c r="P74" s="14"/>
      <c r="Q74" s="14"/>
      <c r="R74" s="14"/>
      <c r="S74" s="14"/>
      <c r="T74" s="14"/>
      <c r="U74" s="14"/>
      <c r="V74" s="1485"/>
      <c r="W74" s="49"/>
      <c r="X74" s="19"/>
      <c r="Y74" s="19"/>
      <c r="Z74" s="19"/>
      <c r="AA74" s="19"/>
      <c r="AB74" s="19"/>
      <c r="AC74" s="19"/>
      <c r="AD74" s="19"/>
      <c r="AE74" s="19"/>
      <c r="AF74" s="19"/>
    </row>
    <row r="75" spans="2:32" ht="15" customHeight="1">
      <c r="B75" s="15" t="s">
        <v>809</v>
      </c>
      <c r="C75" s="15"/>
      <c r="D75" s="15"/>
      <c r="E75" s="15"/>
      <c r="V75" s="1181" t="s">
        <v>1901</v>
      </c>
    </row>
    <row r="76" spans="2:32" ht="15" customHeight="1">
      <c r="B76" s="1482" t="s">
        <v>794</v>
      </c>
      <c r="C76" s="1483"/>
      <c r="D76" s="1483"/>
      <c r="E76" s="1483"/>
      <c r="F76" s="1483"/>
      <c r="G76" s="1483"/>
      <c r="H76" s="1483"/>
      <c r="I76" s="1483"/>
      <c r="J76" s="1483"/>
      <c r="K76" s="1484"/>
      <c r="L76" s="1680" t="s">
        <v>795</v>
      </c>
      <c r="M76" s="1680"/>
      <c r="N76" s="1680"/>
      <c r="O76" s="1680"/>
      <c r="P76" s="1680"/>
      <c r="Q76" s="1680"/>
      <c r="R76" s="1680"/>
      <c r="S76" s="1680"/>
      <c r="T76" s="1680"/>
      <c r="V76" s="1495" t="s">
        <v>1902</v>
      </c>
    </row>
    <row r="77" spans="2:32" ht="15" customHeight="1">
      <c r="B77" s="1680" t="s">
        <v>810</v>
      </c>
      <c r="C77" s="1680"/>
      <c r="D77" s="1680"/>
      <c r="E77" s="1680" t="s">
        <v>7</v>
      </c>
      <c r="F77" s="1680"/>
      <c r="G77" s="1680"/>
      <c r="H77" s="1680"/>
      <c r="I77" s="1680"/>
      <c r="J77" s="1680"/>
      <c r="K77" s="1680"/>
      <c r="L77" s="1481" t="s">
        <v>97</v>
      </c>
      <c r="M77" s="1680"/>
      <c r="N77" s="1680"/>
      <c r="O77" s="1680" t="s">
        <v>102</v>
      </c>
      <c r="P77" s="1680"/>
      <c r="Q77" s="1680"/>
      <c r="R77" s="1680" t="s">
        <v>123</v>
      </c>
      <c r="S77" s="1680"/>
      <c r="T77" s="1680"/>
      <c r="V77" s="1496"/>
      <c r="W77" s="23"/>
    </row>
    <row r="78" spans="2:32" ht="33.6" customHeight="1">
      <c r="B78" s="1687"/>
      <c r="C78" s="1687"/>
      <c r="D78" s="1687"/>
      <c r="E78" s="1704"/>
      <c r="F78" s="1704"/>
      <c r="G78" s="1704"/>
      <c r="H78" s="1704"/>
      <c r="I78" s="1704"/>
      <c r="J78" s="1704"/>
      <c r="K78" s="1705"/>
      <c r="L78" s="1492"/>
      <c r="M78" s="1493"/>
      <c r="N78" s="1494"/>
      <c r="O78" s="1492"/>
      <c r="P78" s="1493"/>
      <c r="Q78" s="1494"/>
      <c r="R78" s="1492"/>
      <c r="S78" s="1493"/>
      <c r="T78" s="1494"/>
      <c r="V78" s="1496"/>
    </row>
    <row r="79" spans="2:32" ht="33.6" customHeight="1">
      <c r="B79" s="1687"/>
      <c r="C79" s="1687"/>
      <c r="D79" s="1687"/>
      <c r="E79" s="1704"/>
      <c r="F79" s="1704"/>
      <c r="G79" s="1704"/>
      <c r="H79" s="1704"/>
      <c r="I79" s="1704"/>
      <c r="J79" s="1704"/>
      <c r="K79" s="1705"/>
      <c r="L79" s="1492"/>
      <c r="M79" s="1493"/>
      <c r="N79" s="1494"/>
      <c r="O79" s="1492"/>
      <c r="P79" s="1493"/>
      <c r="Q79" s="1494"/>
      <c r="R79" s="1492"/>
      <c r="S79" s="1493"/>
      <c r="T79" s="1494"/>
      <c r="V79" s="1496"/>
      <c r="W79" s="23" t="s">
        <v>1900</v>
      </c>
    </row>
    <row r="80" spans="2:32" ht="33.6" customHeight="1">
      <c r="B80" s="1687"/>
      <c r="C80" s="1687"/>
      <c r="D80" s="1687"/>
      <c r="E80" s="1704"/>
      <c r="F80" s="1704"/>
      <c r="G80" s="1704"/>
      <c r="H80" s="1704"/>
      <c r="I80" s="1704"/>
      <c r="J80" s="1704"/>
      <c r="K80" s="1705"/>
      <c r="L80" s="1492"/>
      <c r="M80" s="1493"/>
      <c r="N80" s="1494"/>
      <c r="O80" s="1492"/>
      <c r="P80" s="1493"/>
      <c r="Q80" s="1494"/>
      <c r="R80" s="1492"/>
      <c r="S80" s="1493"/>
      <c r="T80" s="1494"/>
      <c r="V80" s="1497"/>
    </row>
    <row r="81" spans="2:50" s="1180" customFormat="1" ht="33.6" hidden="1" customHeight="1" outlineLevel="1">
      <c r="B81" s="1686"/>
      <c r="C81" s="1686"/>
      <c r="D81" s="1686"/>
      <c r="E81" s="1688"/>
      <c r="F81" s="1688"/>
      <c r="G81" s="1688"/>
      <c r="H81" s="1688"/>
      <c r="I81" s="1688"/>
      <c r="J81" s="1688"/>
      <c r="K81" s="1689"/>
      <c r="L81" s="1701"/>
      <c r="M81" s="1702"/>
      <c r="N81" s="1703"/>
      <c r="O81" s="1701"/>
      <c r="P81" s="1702"/>
      <c r="Q81" s="1703"/>
      <c r="R81" s="1701"/>
      <c r="S81" s="1702"/>
      <c r="T81" s="1703"/>
      <c r="V81" s="1179"/>
      <c r="W81" s="23"/>
      <c r="X81" s="21"/>
      <c r="Y81" s="21"/>
      <c r="Z81" s="21"/>
      <c r="AA81" s="21"/>
      <c r="AB81" s="21"/>
      <c r="AC81" s="21"/>
      <c r="AD81" s="21"/>
      <c r="AE81" s="21"/>
      <c r="AF81" s="21"/>
    </row>
    <row r="82" spans="2:50" s="1180" customFormat="1" ht="33.6" hidden="1" customHeight="1" outlineLevel="1">
      <c r="B82" s="1686"/>
      <c r="C82" s="1686"/>
      <c r="D82" s="1686"/>
      <c r="E82" s="1688"/>
      <c r="F82" s="1688"/>
      <c r="G82" s="1688"/>
      <c r="H82" s="1688"/>
      <c r="I82" s="1688"/>
      <c r="J82" s="1688"/>
      <c r="K82" s="1689"/>
      <c r="L82" s="1701"/>
      <c r="M82" s="1702"/>
      <c r="N82" s="1703"/>
      <c r="O82" s="1701"/>
      <c r="P82" s="1702"/>
      <c r="Q82" s="1703"/>
      <c r="R82" s="1701"/>
      <c r="S82" s="1702"/>
      <c r="T82" s="1703"/>
      <c r="V82" s="536"/>
      <c r="W82" s="21"/>
      <c r="X82" s="21"/>
      <c r="Y82" s="21"/>
      <c r="Z82" s="21"/>
      <c r="AA82" s="21"/>
      <c r="AB82" s="21"/>
      <c r="AC82" s="21"/>
      <c r="AD82" s="21"/>
      <c r="AE82" s="21"/>
      <c r="AF82" s="21"/>
    </row>
    <row r="83" spans="2:50" ht="19.5" hidden="1" customHeight="1" outlineLevel="1"/>
    <row r="84" spans="2:50" s="9" customFormat="1" ht="18.75" customHeight="1" collapsed="1">
      <c r="B84" s="1478" t="s">
        <v>817</v>
      </c>
      <c r="C84" s="1478"/>
      <c r="D84" s="1478"/>
      <c r="E84" s="1478"/>
      <c r="F84" s="1478"/>
      <c r="G84" s="1478"/>
      <c r="H84" s="1478"/>
      <c r="I84" s="1478"/>
      <c r="J84" s="1478"/>
      <c r="K84" s="1478"/>
      <c r="L84" s="1478"/>
      <c r="M84" s="1478"/>
      <c r="N84" s="1478"/>
      <c r="O84" s="1478"/>
      <c r="P84" s="1478"/>
      <c r="Q84" s="1478"/>
      <c r="R84" s="1478"/>
      <c r="S84" s="1478"/>
      <c r="T84" s="1478"/>
      <c r="V84" s="537"/>
      <c r="W84" s="21"/>
      <c r="X84" s="20"/>
      <c r="Y84" s="20"/>
      <c r="Z84" s="20"/>
      <c r="AA84" s="20"/>
      <c r="AB84" s="20"/>
      <c r="AC84" s="20"/>
      <c r="AD84" s="20"/>
      <c r="AE84" s="20"/>
      <c r="AF84" s="20"/>
      <c r="AX84" s="10"/>
    </row>
    <row r="85" spans="2:50" ht="15" customHeight="1">
      <c r="B85" s="15" t="s">
        <v>1791</v>
      </c>
      <c r="C85" s="15"/>
      <c r="D85" s="15"/>
      <c r="E85" s="15"/>
      <c r="F85" s="45"/>
      <c r="G85" s="45"/>
      <c r="H85" s="45"/>
      <c r="I85" s="45"/>
      <c r="J85" s="45"/>
      <c r="K85" s="45"/>
      <c r="L85" s="45"/>
      <c r="M85" s="45"/>
      <c r="N85" s="45"/>
      <c r="O85" s="45"/>
      <c r="P85" s="45"/>
      <c r="Q85" s="45"/>
      <c r="R85" s="45"/>
      <c r="S85" s="45"/>
      <c r="T85" s="45"/>
      <c r="V85" s="533" t="s">
        <v>1765</v>
      </c>
    </row>
    <row r="86" spans="2:50" s="4" customFormat="1" ht="7.5" customHeight="1">
      <c r="B86" s="14"/>
      <c r="C86" s="14"/>
      <c r="D86" s="14"/>
      <c r="E86" s="14"/>
      <c r="F86" s="14"/>
      <c r="G86" s="14"/>
      <c r="H86" s="14"/>
      <c r="I86" s="14"/>
      <c r="J86" s="14"/>
      <c r="K86" s="13"/>
      <c r="L86" s="13"/>
      <c r="M86" s="13"/>
      <c r="N86" s="14"/>
      <c r="O86" s="14"/>
      <c r="P86" s="14"/>
      <c r="Q86" s="14"/>
      <c r="R86" s="14"/>
      <c r="S86" s="14"/>
      <c r="T86" s="14"/>
      <c r="U86" s="14"/>
      <c r="V86" s="538"/>
      <c r="W86" s="49"/>
      <c r="X86" s="19"/>
      <c r="Y86" s="19"/>
      <c r="Z86" s="19"/>
      <c r="AA86" s="19"/>
      <c r="AB86" s="19"/>
      <c r="AC86" s="19"/>
      <c r="AD86" s="19"/>
      <c r="AE86" s="19"/>
      <c r="AF86" s="19"/>
    </row>
    <row r="87" spans="2:50" ht="15" customHeight="1">
      <c r="B87" s="15" t="s">
        <v>818</v>
      </c>
      <c r="C87" s="15"/>
      <c r="D87" s="15"/>
      <c r="E87" s="15"/>
    </row>
    <row r="88" spans="2:50" ht="19.5" customHeight="1">
      <c r="B88" s="1633" t="s">
        <v>819</v>
      </c>
      <c r="C88" s="1634"/>
      <c r="D88" s="1634"/>
      <c r="E88" s="1634"/>
      <c r="F88" s="1635" t="str">
        <f ca="1">IF('B1.入力_第1面'!$I$32="■",INDEX(参考2_エネ使用量経年!L102:O102,'B1.入力_第1面'!H39-2023),IF('B1.入力_第1面'!$I$33="■",INDEX(参考2_エネ使用量経年!T102:W102,'B1.入力_第1面'!H39-2023),""))</f>
        <v/>
      </c>
      <c r="G88" s="1636"/>
      <c r="H88" s="1636"/>
      <c r="I88" s="1636"/>
      <c r="J88" s="1636"/>
      <c r="K88" s="1637"/>
      <c r="W88" s="1491" t="s">
        <v>820</v>
      </c>
    </row>
    <row r="89" spans="2:50" s="307" customFormat="1" ht="19.5" hidden="1" customHeight="1" outlineLevel="1">
      <c r="B89" s="557"/>
      <c r="C89" s="1479"/>
      <c r="D89" s="1480"/>
      <c r="E89" s="1481"/>
      <c r="F89" s="1616"/>
      <c r="G89" s="1617"/>
      <c r="H89" s="1617"/>
      <c r="I89" s="1617"/>
      <c r="J89" s="1617"/>
      <c r="K89" s="1618"/>
      <c r="W89" s="1491"/>
    </row>
    <row r="90" spans="2:50" ht="19.5" customHeight="1" collapsed="1">
      <c r="B90" s="1634" t="s">
        <v>822</v>
      </c>
      <c r="C90" s="1634"/>
      <c r="D90" s="1634"/>
      <c r="E90" s="1634"/>
      <c r="F90" s="1635" t="str">
        <f ca="1">IF('B1.入力_第1面'!$I$32="■",INDEX(参考2_エネ使用量経年!L103:O103,'B1.入力_第1面'!H39-2023),IF('B1.入力_第1面'!$I$33="■",INDEX(参考2_エネ使用量経年!T103:W103,'B1.入力_第1面'!H39-2023),""))</f>
        <v>-</v>
      </c>
      <c r="G90" s="1636"/>
      <c r="H90" s="1636"/>
      <c r="I90" s="1636"/>
      <c r="J90" s="1636"/>
      <c r="K90" s="1637"/>
      <c r="W90" s="1718" t="s">
        <v>823</v>
      </c>
    </row>
    <row r="91" spans="2:50" s="4" customFormat="1" ht="7.5" customHeight="1">
      <c r="B91" s="14"/>
      <c r="C91" s="14"/>
      <c r="D91" s="14"/>
      <c r="E91" s="14"/>
      <c r="F91" s="14"/>
      <c r="G91" s="14"/>
      <c r="H91" s="14"/>
      <c r="I91" s="14"/>
      <c r="J91" s="14"/>
      <c r="K91" s="13"/>
      <c r="L91" s="13"/>
      <c r="M91" s="13"/>
      <c r="N91" s="14"/>
      <c r="O91" s="14"/>
      <c r="P91" s="14"/>
      <c r="Q91" s="14"/>
      <c r="R91" s="14"/>
      <c r="S91" s="14"/>
      <c r="T91" s="14"/>
      <c r="U91" s="14"/>
      <c r="V91" s="42"/>
      <c r="W91" s="1718"/>
      <c r="X91" s="19"/>
      <c r="Y91" s="19"/>
      <c r="Z91" s="19"/>
      <c r="AA91" s="19"/>
      <c r="AB91" s="19"/>
      <c r="AC91" s="19"/>
      <c r="AD91" s="19"/>
      <c r="AE91" s="19"/>
      <c r="AF91" s="19"/>
    </row>
    <row r="92" spans="2:50" ht="15" customHeight="1">
      <c r="B92" s="15" t="s">
        <v>824</v>
      </c>
      <c r="C92" s="15"/>
      <c r="D92" s="15"/>
      <c r="E92" s="15"/>
      <c r="W92" s="1718"/>
    </row>
    <row r="93" spans="2:50" ht="15" customHeight="1">
      <c r="B93" s="1482"/>
      <c r="C93" s="1483"/>
      <c r="D93" s="1483"/>
      <c r="E93" s="1484"/>
      <c r="F93" s="1482" t="s">
        <v>794</v>
      </c>
      <c r="G93" s="1483"/>
      <c r="H93" s="1483"/>
      <c r="I93" s="1483"/>
      <c r="J93" s="1483"/>
      <c r="K93" s="1484"/>
      <c r="L93" s="1479" t="s">
        <v>795</v>
      </c>
      <c r="M93" s="1480"/>
      <c r="N93" s="1480"/>
      <c r="O93" s="1480"/>
      <c r="P93" s="1480"/>
      <c r="Q93" s="1480"/>
      <c r="R93" s="1480"/>
      <c r="S93" s="1480"/>
      <c r="T93" s="1481"/>
      <c r="V93" s="540" t="s">
        <v>1714</v>
      </c>
    </row>
    <row r="94" spans="2:50" ht="15" customHeight="1">
      <c r="B94" s="1525"/>
      <c r="C94" s="1526"/>
      <c r="D94" s="1526"/>
      <c r="E94" s="1527"/>
      <c r="F94" s="1482" t="s">
        <v>797</v>
      </c>
      <c r="G94" s="1483"/>
      <c r="H94" s="1483"/>
      <c r="I94" s="1482" t="s">
        <v>798</v>
      </c>
      <c r="J94" s="1483"/>
      <c r="K94" s="1484"/>
      <c r="L94" s="1482" t="s">
        <v>97</v>
      </c>
      <c r="M94" s="1483"/>
      <c r="N94" s="1484"/>
      <c r="O94" s="1482" t="s">
        <v>102</v>
      </c>
      <c r="P94" s="1483"/>
      <c r="Q94" s="1484"/>
      <c r="R94" s="1482" t="s">
        <v>123</v>
      </c>
      <c r="S94" s="1483"/>
      <c r="T94" s="1484"/>
      <c r="V94" s="1485" t="s">
        <v>1715</v>
      </c>
    </row>
    <row r="95" spans="2:50" ht="19.5" customHeight="1">
      <c r="B95" s="1499" t="s">
        <v>825</v>
      </c>
      <c r="C95" s="1500"/>
      <c r="D95" s="1500"/>
      <c r="E95" s="1501"/>
      <c r="F95" s="1610" t="str">
        <f ca="1">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611"/>
      <c r="H95" s="1612"/>
      <c r="I95" s="1610" t="str">
        <f>IF(I97="","",IFERROR(ROUND(F95*(1-I97/100),3-INT(LOG(F95*(1-I97/100)))),""))</f>
        <v/>
      </c>
      <c r="J95" s="1611"/>
      <c r="K95" s="1612"/>
      <c r="L95" s="1610"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611"/>
      <c r="N95" s="1612"/>
      <c r="O95" s="1610"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611"/>
      <c r="Q95" s="1612"/>
      <c r="R95" s="1610" t="str">
        <f ca="1">IF(OFFSET(貼付け_2027実績,0,1)="","",IF('B1.入力_第1面'!$I$32="■",ROUND(参考2_エネ使用量経年!O105,3-INT(LOG(参考2_エネ使用量経年!O105))),IF('B1.入力_第1面'!$I$33="■",ROUND(参考2_エネ使用量経年!W105,3-INT(LOG(参考2_エネ使用量経年!W105))),"")))</f>
        <v/>
      </c>
      <c r="S95" s="1611"/>
      <c r="T95" s="1612"/>
      <c r="V95" s="1485"/>
    </row>
    <row r="96" spans="2:50" ht="16.5" customHeight="1">
      <c r="B96" s="1607"/>
      <c r="C96" s="1608"/>
      <c r="D96" s="1608"/>
      <c r="E96" s="1609"/>
      <c r="F96" s="1613" t="str">
        <f ca="1">IF($F$90="-","-","kL/"&amp;$F$90)</f>
        <v>-</v>
      </c>
      <c r="G96" s="1614"/>
      <c r="H96" s="1615"/>
      <c r="I96" s="1613" t="str">
        <f ca="1">IF($F$90="-","-","kL/"&amp;$F$90)</f>
        <v>-</v>
      </c>
      <c r="J96" s="1614"/>
      <c r="K96" s="1615"/>
      <c r="L96" s="1613" t="str">
        <f ca="1">IF($F$90="-","-","kL/"&amp;$F$90)</f>
        <v>-</v>
      </c>
      <c r="M96" s="1614"/>
      <c r="N96" s="1615"/>
      <c r="O96" s="1613" t="str">
        <f ca="1">IF($F$90="-","-","kL/"&amp;$F$90)</f>
        <v>-</v>
      </c>
      <c r="P96" s="1614"/>
      <c r="Q96" s="1615"/>
      <c r="R96" s="1613" t="str">
        <f ca="1">IF($F$90="-","-","kL/"&amp;$F$90)</f>
        <v>-</v>
      </c>
      <c r="S96" s="1614"/>
      <c r="T96" s="1615"/>
      <c r="V96" s="1485"/>
    </row>
    <row r="97" spans="2:32" s="528" customFormat="1" ht="20.100000000000001" customHeight="1" thickBot="1">
      <c r="B97" s="1564" t="s">
        <v>1553</v>
      </c>
      <c r="C97" s="1565"/>
      <c r="D97" s="1565"/>
      <c r="E97" s="1566"/>
      <c r="F97" s="1453"/>
      <c r="G97" s="1454"/>
      <c r="H97" s="1455"/>
      <c r="I97" s="1456"/>
      <c r="J97" s="1457"/>
      <c r="K97" s="553" t="s">
        <v>844</v>
      </c>
      <c r="L97" s="1458"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1459"/>
      <c r="N97" s="554" t="s">
        <v>1766</v>
      </c>
      <c r="O97" s="1458"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1459"/>
      <c r="Q97" s="553" t="s">
        <v>1766</v>
      </c>
      <c r="R97" s="1458"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1459"/>
      <c r="T97" s="555" t="s">
        <v>1766</v>
      </c>
      <c r="U97" s="552"/>
      <c r="V97" s="1485"/>
      <c r="W97" s="21"/>
    </row>
    <row r="98" spans="2:32" ht="22.5" customHeight="1" thickTop="1" thickBot="1">
      <c r="B98" s="1564" t="s">
        <v>826</v>
      </c>
      <c r="C98" s="1565"/>
      <c r="D98" s="1565"/>
      <c r="E98" s="1566"/>
      <c r="F98" s="1453"/>
      <c r="G98" s="1454"/>
      <c r="H98" s="1455"/>
      <c r="I98" s="1726" t="str">
        <f>IF(ISBLANK(I97),"",(1-(1-I97/100)^(1/(2027-'B1.入力_第1面'!$H$39)))*100)</f>
        <v/>
      </c>
      <c r="J98" s="1727"/>
      <c r="K98" s="78" t="s">
        <v>827</v>
      </c>
      <c r="L98" s="1604" t="str">
        <f ca="1">IF(OR(OFFSET(貼付け_2025実績,0,1)="",'B1.入力_第1面'!H39&gt;=2025),"",IF('B1.入力_第1面'!$I$32="■",参考2_エネ使用量経年!M107,IF('B1.入力_第1面'!$I$33="■",参考2_エネ使用量経年!U107,"")))</f>
        <v/>
      </c>
      <c r="M98" s="1605"/>
      <c r="N98" s="31" t="s">
        <v>802</v>
      </c>
      <c r="O98" s="1606" t="str">
        <f ca="1">IF(OR(OFFSET(貼付け_2026実績,0,1)="",'B1.入力_第1面'!H39&gt;=2026),"",IF('B1.入力_第1面'!$I$32="■",参考2_エネ使用量経年!N107,IF('B1.入力_第1面'!$I$33="■",参考2_エネ使用量経年!V107,"")))</f>
        <v/>
      </c>
      <c r="P98" s="1605"/>
      <c r="Q98" s="31" t="s">
        <v>802</v>
      </c>
      <c r="R98" s="1606" t="str">
        <f ca="1">IF(OFFSET(貼付け_2027実績,0,1)="","",IF('B1.入力_第1面'!$I$32="■",参考2_エネ使用量経年!O107,IF('B1.入力_第1面'!$I$33="■",参考2_エネ使用量経年!W107,"")))</f>
        <v/>
      </c>
      <c r="S98" s="1605"/>
      <c r="T98" s="32" t="s">
        <v>802</v>
      </c>
      <c r="V98" s="1485"/>
      <c r="W98" s="49"/>
    </row>
    <row r="99" spans="2:32" s="4" customFormat="1" ht="26.1" customHeight="1" thickTop="1">
      <c r="B99" s="79" t="s">
        <v>828</v>
      </c>
      <c r="C99" s="43"/>
      <c r="D99" s="14"/>
      <c r="E99" s="14"/>
      <c r="F99" s="14"/>
      <c r="G99" s="14"/>
      <c r="H99" s="14"/>
      <c r="I99" s="14"/>
      <c r="J99" s="14"/>
      <c r="K99" s="13"/>
      <c r="L99" s="13"/>
      <c r="M99" s="13"/>
      <c r="N99" s="14"/>
      <c r="O99" s="14"/>
      <c r="P99" s="14"/>
      <c r="Q99" s="14"/>
      <c r="R99" s="14"/>
      <c r="S99" s="14"/>
      <c r="T99" s="14"/>
      <c r="U99" s="14"/>
      <c r="V99" s="42"/>
      <c r="W99" s="49"/>
      <c r="X99" s="19"/>
      <c r="Y99" s="19"/>
      <c r="Z99" s="19"/>
      <c r="AA99" s="19"/>
      <c r="AB99" s="19"/>
      <c r="AC99" s="19"/>
      <c r="AD99" s="19"/>
      <c r="AE99" s="19"/>
      <c r="AF99" s="19"/>
    </row>
    <row r="100" spans="2:32" ht="15" customHeight="1">
      <c r="B100" s="15" t="s">
        <v>1792</v>
      </c>
      <c r="C100" s="15"/>
      <c r="D100" s="15"/>
      <c r="E100" s="15"/>
      <c r="F100" s="45"/>
      <c r="G100" s="45"/>
      <c r="H100" s="45"/>
      <c r="I100" s="45"/>
      <c r="J100" s="45"/>
      <c r="K100" s="45"/>
      <c r="L100" s="45"/>
      <c r="M100" s="45"/>
      <c r="N100" s="45"/>
      <c r="O100" s="45"/>
      <c r="P100" s="45"/>
      <c r="Q100" s="45"/>
      <c r="R100" s="45"/>
      <c r="S100" s="45"/>
      <c r="T100" s="45"/>
      <c r="V100" s="533" t="s">
        <v>1767</v>
      </c>
    </row>
    <row r="101" spans="2:32" s="4" customFormat="1" ht="7.5" customHeight="1">
      <c r="B101" s="14"/>
      <c r="C101" s="14"/>
      <c r="D101" s="14"/>
      <c r="E101" s="14"/>
      <c r="F101" s="14"/>
      <c r="G101" s="14"/>
      <c r="H101" s="14"/>
      <c r="I101" s="14"/>
      <c r="J101" s="14"/>
      <c r="K101" s="13"/>
      <c r="L101" s="13"/>
      <c r="M101" s="13"/>
      <c r="N101" s="14"/>
      <c r="O101" s="14"/>
      <c r="P101" s="14"/>
      <c r="Q101" s="14"/>
      <c r="R101" s="14"/>
      <c r="S101" s="14"/>
      <c r="T101" s="14"/>
      <c r="U101" s="14"/>
      <c r="V101" s="538"/>
      <c r="W101" s="49"/>
      <c r="X101" s="19"/>
      <c r="Y101" s="19"/>
      <c r="Z101" s="19"/>
      <c r="AA101" s="19"/>
      <c r="AB101" s="19"/>
      <c r="AC101" s="19"/>
      <c r="AD101" s="19"/>
      <c r="AE101" s="19"/>
      <c r="AF101" s="19"/>
    </row>
    <row r="102" spans="2:32" ht="15" customHeight="1">
      <c r="B102" s="15" t="s">
        <v>818</v>
      </c>
      <c r="C102" s="15"/>
      <c r="D102" s="15"/>
      <c r="E102" s="15"/>
    </row>
    <row r="103" spans="2:32" ht="19.5" customHeight="1">
      <c r="B103" s="1633" t="s">
        <v>819</v>
      </c>
      <c r="C103" s="1634"/>
      <c r="D103" s="1634"/>
      <c r="E103" s="1634"/>
      <c r="F103" s="1635" t="str">
        <f ca="1">IF('B1.入力_第1面'!$I$34="■",INDEX(参考2_エネ使用量経年!L163:O163,'B1.入力_第1面'!H39-2023),IF('B1.入力_第1面'!$I$35="■",INDEX(参考2_エネ使用量経年!T163:W163,'B1.入力_第1面'!H39-2023),""))</f>
        <v/>
      </c>
      <c r="G103" s="1636"/>
      <c r="H103" s="1636"/>
      <c r="I103" s="1636"/>
      <c r="J103" s="1636"/>
      <c r="K103" s="1637"/>
      <c r="W103" s="1491" t="s">
        <v>829</v>
      </c>
    </row>
    <row r="104" spans="2:32" s="307" customFormat="1" ht="19.5" hidden="1" customHeight="1" outlineLevel="1">
      <c r="B104" s="557"/>
      <c r="C104" s="1479"/>
      <c r="D104" s="1480"/>
      <c r="E104" s="1481"/>
      <c r="F104" s="1616"/>
      <c r="G104" s="1617"/>
      <c r="H104" s="1617"/>
      <c r="I104" s="1617"/>
      <c r="J104" s="1617"/>
      <c r="K104" s="1618"/>
      <c r="V104" s="541"/>
      <c r="W104" s="1491"/>
    </row>
    <row r="105" spans="2:32" ht="19.5" customHeight="1" collapsed="1">
      <c r="B105" s="1634" t="s">
        <v>822</v>
      </c>
      <c r="C105" s="1634"/>
      <c r="D105" s="1634"/>
      <c r="E105" s="1634"/>
      <c r="F105" s="1635" t="str">
        <f ca="1">IF('B1.入力_第1面'!$I$34="■",INDEX(参考2_エネ使用量経年!L164:O164,'B1.入力_第1面'!H39-2023),IF('B1.入力_第1面'!$I$35="■",INDEX(参考2_エネ使用量経年!T164:W164,'B1.入力_第1面'!H39-2023),""))</f>
        <v/>
      </c>
      <c r="G105" s="1636"/>
      <c r="H105" s="1636"/>
      <c r="I105" s="1636"/>
      <c r="J105" s="1636"/>
      <c r="K105" s="1637"/>
      <c r="W105" s="1718" t="s">
        <v>823</v>
      </c>
    </row>
    <row r="106" spans="2:32" s="4" customFormat="1" ht="7.5" customHeight="1">
      <c r="B106" s="14"/>
      <c r="C106" s="14"/>
      <c r="D106" s="14"/>
      <c r="E106" s="14"/>
      <c r="F106" s="14"/>
      <c r="G106" s="14"/>
      <c r="H106" s="14"/>
      <c r="I106" s="14"/>
      <c r="J106" s="14"/>
      <c r="K106" s="13"/>
      <c r="L106" s="13"/>
      <c r="M106" s="13"/>
      <c r="N106" s="14"/>
      <c r="O106" s="14"/>
      <c r="P106" s="14"/>
      <c r="Q106" s="14"/>
      <c r="R106" s="14"/>
      <c r="S106" s="14"/>
      <c r="T106" s="14"/>
      <c r="U106" s="14"/>
      <c r="V106" s="538"/>
      <c r="W106" s="1718"/>
      <c r="X106" s="19"/>
      <c r="Y106" s="19"/>
      <c r="Z106" s="19"/>
      <c r="AA106" s="19"/>
      <c r="AB106" s="19"/>
      <c r="AC106" s="19"/>
      <c r="AD106" s="19"/>
      <c r="AE106" s="19"/>
      <c r="AF106" s="19"/>
    </row>
    <row r="107" spans="2:32" ht="15" customHeight="1">
      <c r="B107" s="15" t="s">
        <v>824</v>
      </c>
      <c r="C107" s="15"/>
      <c r="D107" s="15"/>
      <c r="E107" s="15"/>
      <c r="W107" s="1718"/>
    </row>
    <row r="108" spans="2:32" ht="15" customHeight="1">
      <c r="B108" s="1482"/>
      <c r="C108" s="1483"/>
      <c r="D108" s="1483"/>
      <c r="E108" s="1484"/>
      <c r="F108" s="1482" t="s">
        <v>794</v>
      </c>
      <c r="G108" s="1483"/>
      <c r="H108" s="1483"/>
      <c r="I108" s="1483"/>
      <c r="J108" s="1483"/>
      <c r="K108" s="1484"/>
      <c r="L108" s="1479" t="s">
        <v>795</v>
      </c>
      <c r="M108" s="1480"/>
      <c r="N108" s="1480"/>
      <c r="O108" s="1480"/>
      <c r="P108" s="1480"/>
      <c r="Q108" s="1480"/>
      <c r="R108" s="1480"/>
      <c r="S108" s="1480"/>
      <c r="T108" s="1481"/>
      <c r="V108" s="539" t="s">
        <v>1716</v>
      </c>
    </row>
    <row r="109" spans="2:32" ht="15" customHeight="1">
      <c r="B109" s="1525"/>
      <c r="C109" s="1526"/>
      <c r="D109" s="1526"/>
      <c r="E109" s="1527"/>
      <c r="F109" s="1482" t="s">
        <v>797</v>
      </c>
      <c r="G109" s="1483"/>
      <c r="H109" s="1483"/>
      <c r="I109" s="1482" t="s">
        <v>798</v>
      </c>
      <c r="J109" s="1483"/>
      <c r="K109" s="1484"/>
      <c r="L109" s="1482" t="s">
        <v>97</v>
      </c>
      <c r="M109" s="1483"/>
      <c r="N109" s="1484"/>
      <c r="O109" s="1482" t="s">
        <v>102</v>
      </c>
      <c r="P109" s="1483"/>
      <c r="Q109" s="1484"/>
      <c r="R109" s="1482" t="s">
        <v>123</v>
      </c>
      <c r="S109" s="1483"/>
      <c r="T109" s="1484"/>
      <c r="V109" s="1485" t="s">
        <v>1717</v>
      </c>
    </row>
    <row r="110" spans="2:32" ht="19.5" customHeight="1">
      <c r="B110" s="1499" t="s">
        <v>830</v>
      </c>
      <c r="C110" s="1500"/>
      <c r="D110" s="1500"/>
      <c r="E110" s="1501"/>
      <c r="F110" s="1610" t="str">
        <f ca="1">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611"/>
      <c r="H110" s="1612"/>
      <c r="I110" s="1610" t="str">
        <f>IF(I112="","",IFERROR(ROUND(F110*(1-I112/100),3-INT(LOG(F110*(1-I112/100)))),""))</f>
        <v/>
      </c>
      <c r="J110" s="1611"/>
      <c r="K110" s="1612"/>
      <c r="L110" s="1610"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611"/>
      <c r="N110" s="1612"/>
      <c r="O110" s="1610"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611"/>
      <c r="Q110" s="1612"/>
      <c r="R110" s="1610" t="str">
        <f ca="1">IF(OFFSET(貼付け_2027実績,0,1)="","",IF('B1.入力_第1面'!$V$34="■",ROUND(参考2_エネ使用量経年!O166,3-INT(LOG(参考2_エネ使用量経年!O166))),
IF('B1.入力_第1面'!$V$35="■",ROUND(参考2_エネ使用量経年!W166,3-INT(LOG(参考2_エネ使用量経年!W166))),"")))</f>
        <v/>
      </c>
      <c r="S110" s="1611"/>
      <c r="T110" s="1612"/>
      <c r="V110" s="1485"/>
    </row>
    <row r="111" spans="2:32" ht="16.5" customHeight="1">
      <c r="B111" s="1607"/>
      <c r="C111" s="1608"/>
      <c r="D111" s="1608"/>
      <c r="E111" s="1609"/>
      <c r="F111" s="1601" t="str">
        <f ca="1">"kL/"&amp;$F$105</f>
        <v>kL/</v>
      </c>
      <c r="G111" s="1602"/>
      <c r="H111" s="1603"/>
      <c r="I111" s="1601" t="str">
        <f t="shared" ref="I111" ca="1" si="2">"kL/"&amp;$F$105</f>
        <v>kL/</v>
      </c>
      <c r="J111" s="1602"/>
      <c r="K111" s="1603"/>
      <c r="L111" s="1601" t="str">
        <f ca="1">"kL/"&amp;$F$105</f>
        <v>kL/</v>
      </c>
      <c r="M111" s="1602"/>
      <c r="N111" s="1603"/>
      <c r="O111" s="1601" t="str">
        <f ca="1">"kL/"&amp;$F$105</f>
        <v>kL/</v>
      </c>
      <c r="P111" s="1602"/>
      <c r="Q111" s="1603"/>
      <c r="R111" s="1601" t="str">
        <f ca="1">"kL/"&amp;$F$105</f>
        <v>kL/</v>
      </c>
      <c r="S111" s="1602"/>
      <c r="T111" s="1603"/>
      <c r="V111" s="1485"/>
    </row>
    <row r="112" spans="2:32" s="528" customFormat="1" ht="20.100000000000001" customHeight="1" thickBot="1">
      <c r="B112" s="1564" t="s">
        <v>1553</v>
      </c>
      <c r="C112" s="1565"/>
      <c r="D112" s="1565"/>
      <c r="E112" s="1566"/>
      <c r="F112" s="1453"/>
      <c r="G112" s="1454"/>
      <c r="H112" s="1455"/>
      <c r="I112" s="1456"/>
      <c r="J112" s="1457"/>
      <c r="K112" s="553" t="s">
        <v>844</v>
      </c>
      <c r="L112" s="1458"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1459"/>
      <c r="N112" s="554" t="s">
        <v>1766</v>
      </c>
      <c r="O112" s="1458"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1459"/>
      <c r="Q112" s="553" t="s">
        <v>844</v>
      </c>
      <c r="R112" s="1458"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1459"/>
      <c r="T112" s="555" t="s">
        <v>1766</v>
      </c>
      <c r="U112" s="552"/>
      <c r="V112" s="1485"/>
      <c r="W112" s="49"/>
    </row>
    <row r="113" spans="2:32" ht="22.5" customHeight="1" thickTop="1" thickBot="1">
      <c r="B113" s="1564" t="s">
        <v>826</v>
      </c>
      <c r="C113" s="1565"/>
      <c r="D113" s="1565"/>
      <c r="E113" s="1566"/>
      <c r="F113" s="1453"/>
      <c r="G113" s="1454"/>
      <c r="H113" s="1455"/>
      <c r="I113" s="1726" t="str">
        <f>IF(ISBLANK(I112),"",(1-(1-I112/100)^(1/(2027-'B1.入力_第1面'!$H$39)))*100)</f>
        <v/>
      </c>
      <c r="J113" s="1727"/>
      <c r="K113" s="78" t="s">
        <v>831</v>
      </c>
      <c r="L113" s="1604" t="str">
        <f ca="1">IF(OR(OFFSET(貼付け_2025実績,0,1)="",'B1.入力_第1面'!H39&gt;=2025),"",IF('B1.入力_第1面'!$V$34="■",IF(参考2_エネ使用量経年!M168="","-",参考2_エネ使用量経年!M168),IF('B1.入力_第1面'!$V$35="■",IF(参考2_エネ使用量経年!U168="","-",参考2_エネ使用量経年!U168),"")))</f>
        <v/>
      </c>
      <c r="M113" s="1605"/>
      <c r="N113" s="31" t="s">
        <v>802</v>
      </c>
      <c r="O113" s="1606" t="str">
        <f ca="1">IF(OR(OFFSET(貼付け_2026実績,0,1)="",'B1.入力_第1面'!H39&gt;=2026),"",IF('B1.入力_第1面'!$V$34="■",IF(参考2_エネ使用量経年!N168="","-",参考2_エネ使用量経年!N168),IF('B1.入力_第1面'!$V$35="■",IF(参考2_エネ使用量経年!V168="","-",参考2_エネ使用量経年!V168),"")))</f>
        <v/>
      </c>
      <c r="P113" s="1605"/>
      <c r="Q113" s="31" t="s">
        <v>802</v>
      </c>
      <c r="R113" s="1606" t="str">
        <f ca="1">IF(OFFSET(貼付け_2027実績,0,1)="","",IF('B1.入力_第1面'!$V$34="■",IF(参考2_エネ使用量経年!O168="","-",参考2_エネ使用量経年!O168),IF('B1.入力_第1面'!$V$35="■",IF(参考2_エネ使用量経年!W168="","-",参考2_エネ使用量経年!W168),"")))</f>
        <v/>
      </c>
      <c r="S113" s="1605"/>
      <c r="T113" s="32" t="s">
        <v>802</v>
      </c>
      <c r="V113" s="1485"/>
    </row>
    <row r="114" spans="2:32" s="4" customFormat="1" ht="26.1" customHeight="1" thickTop="1">
      <c r="B114" s="79" t="s">
        <v>832</v>
      </c>
      <c r="C114" s="43"/>
      <c r="D114" s="14"/>
      <c r="E114" s="14"/>
      <c r="F114" s="14"/>
      <c r="G114" s="14"/>
      <c r="H114" s="14"/>
      <c r="I114" s="14"/>
      <c r="J114" s="14"/>
      <c r="K114" s="13"/>
      <c r="L114" s="13"/>
      <c r="M114" s="13"/>
      <c r="N114" s="14"/>
      <c r="O114" s="14"/>
      <c r="P114" s="14"/>
      <c r="Q114" s="14"/>
      <c r="R114" s="14"/>
      <c r="S114" s="14"/>
      <c r="T114" s="14"/>
      <c r="U114" s="14"/>
      <c r="V114" s="1485"/>
      <c r="W114" s="49"/>
      <c r="X114" s="19"/>
      <c r="Y114" s="19"/>
      <c r="Z114" s="19"/>
      <c r="AA114" s="19"/>
      <c r="AB114" s="19"/>
      <c r="AC114" s="19"/>
      <c r="AD114" s="19"/>
      <c r="AE114" s="19"/>
      <c r="AF114" s="19"/>
    </row>
    <row r="115" spans="2:32" ht="15" customHeight="1">
      <c r="B115" s="15" t="s">
        <v>833</v>
      </c>
      <c r="C115" s="15"/>
      <c r="D115" s="15"/>
      <c r="E115" s="15"/>
      <c r="F115" s="45"/>
      <c r="G115" s="45"/>
      <c r="H115" s="45"/>
      <c r="I115" s="45"/>
      <c r="J115" s="45"/>
      <c r="K115" s="45"/>
      <c r="L115" s="45"/>
      <c r="M115" s="45"/>
      <c r="N115" s="45"/>
      <c r="O115" s="45"/>
      <c r="P115" s="45"/>
      <c r="Q115" s="45"/>
      <c r="R115" s="45"/>
      <c r="S115" s="45"/>
      <c r="T115" s="45"/>
      <c r="V115" s="533" t="s">
        <v>1768</v>
      </c>
    </row>
    <row r="116" spans="2:32" s="4" customFormat="1" ht="7.5" customHeight="1">
      <c r="B116" s="14"/>
      <c r="C116" s="14"/>
      <c r="D116" s="14"/>
      <c r="E116" s="14"/>
      <c r="F116" s="14"/>
      <c r="G116" s="14"/>
      <c r="H116" s="14"/>
      <c r="I116" s="14"/>
      <c r="J116" s="14"/>
      <c r="K116" s="13"/>
      <c r="L116" s="13"/>
      <c r="M116" s="13"/>
      <c r="N116" s="14"/>
      <c r="O116" s="14"/>
      <c r="P116" s="14"/>
      <c r="Q116" s="14"/>
      <c r="R116" s="14"/>
      <c r="S116" s="14"/>
      <c r="T116" s="14"/>
      <c r="U116" s="14"/>
      <c r="V116" s="538"/>
      <c r="W116" s="49"/>
      <c r="X116" s="19"/>
      <c r="Y116" s="19"/>
      <c r="Z116" s="19"/>
      <c r="AA116" s="19"/>
      <c r="AB116" s="19"/>
      <c r="AC116" s="19"/>
      <c r="AD116" s="19"/>
      <c r="AE116" s="19"/>
      <c r="AF116" s="19"/>
    </row>
    <row r="117" spans="2:32" ht="15" customHeight="1">
      <c r="B117" s="15" t="s">
        <v>1793</v>
      </c>
      <c r="C117" s="15"/>
      <c r="D117" s="15"/>
      <c r="V117" s="531" t="s">
        <v>1718</v>
      </c>
    </row>
    <row r="118" spans="2:32" ht="15" customHeight="1">
      <c r="B118" s="1482"/>
      <c r="C118" s="1483"/>
      <c r="D118" s="1483"/>
      <c r="E118" s="1484"/>
      <c r="F118" s="1482" t="s">
        <v>794</v>
      </c>
      <c r="G118" s="1483"/>
      <c r="H118" s="1483"/>
      <c r="I118" s="1483"/>
      <c r="J118" s="1483"/>
      <c r="K118" s="1484"/>
      <c r="L118" s="1479" t="s">
        <v>795</v>
      </c>
      <c r="M118" s="1480"/>
      <c r="N118" s="1480"/>
      <c r="O118" s="1480"/>
      <c r="P118" s="1480"/>
      <c r="Q118" s="1480"/>
      <c r="R118" s="1480"/>
      <c r="S118" s="1480"/>
      <c r="T118" s="1481"/>
      <c r="V118" s="1485" t="s">
        <v>1719</v>
      </c>
    </row>
    <row r="119" spans="2:32" ht="15" customHeight="1" thickBot="1">
      <c r="B119" s="1525"/>
      <c r="C119" s="1526"/>
      <c r="D119" s="1526"/>
      <c r="E119" s="1527"/>
      <c r="F119" s="1482" t="s">
        <v>797</v>
      </c>
      <c r="G119" s="1483"/>
      <c r="H119" s="1483"/>
      <c r="I119" s="1482" t="s">
        <v>798</v>
      </c>
      <c r="J119" s="1483"/>
      <c r="K119" s="1484"/>
      <c r="L119" s="1482" t="s">
        <v>97</v>
      </c>
      <c r="M119" s="1483"/>
      <c r="N119" s="1484"/>
      <c r="O119" s="1482" t="s">
        <v>102</v>
      </c>
      <c r="P119" s="1483"/>
      <c r="Q119" s="1484"/>
      <c r="R119" s="1482" t="s">
        <v>123</v>
      </c>
      <c r="S119" s="1483"/>
      <c r="T119" s="1484"/>
      <c r="V119" s="1485"/>
    </row>
    <row r="120" spans="2:32" ht="22.5" customHeight="1" thickTop="1" thickBot="1">
      <c r="B120" s="1498" t="s">
        <v>834</v>
      </c>
      <c r="C120" s="1498"/>
      <c r="D120" s="1498"/>
      <c r="E120" s="1498"/>
      <c r="F120" s="1596" t="str">
        <f ca="1">IF('B1.入力_第1面'!V32="■",INDEX(参考2_エネ使用量経年!L116:O116,MATCH('B1.入力_第1面'!H39,参考2_エネ使用量経年!L6:O6,0)),IF('B1.入力_第1面'!V33="■",INDEX(参考2_エネ使用量経年!T116:W116,MATCH('B1.入力_第1面'!H39,参考2_エネ使用量経年!T6:W6,0)),""))</f>
        <v/>
      </c>
      <c r="G120" s="1570"/>
      <c r="H120" s="227" t="s">
        <v>802</v>
      </c>
      <c r="I120" s="1597"/>
      <c r="J120" s="1572"/>
      <c r="K120" s="224" t="s">
        <v>802</v>
      </c>
      <c r="L120" s="1598" t="str">
        <f ca="1">IF('B1.入力_第1面'!V32="■",参考2_エネ使用量経年!M116,IF('B1.入力_第1面'!V33="■",参考2_エネ使用量経年!U116,""))</f>
        <v/>
      </c>
      <c r="M120" s="1576"/>
      <c r="N120" s="81" t="s">
        <v>802</v>
      </c>
      <c r="O120" s="1599" t="str">
        <f ca="1">IF('B1.入力_第1面'!V32="■",参考2_エネ使用量経年!N116,IF('B1.入力_第1面'!V33="■",参考2_エネ使用量経年!V116,""))</f>
        <v/>
      </c>
      <c r="P120" s="1576"/>
      <c r="Q120" s="81" t="s">
        <v>802</v>
      </c>
      <c r="R120" s="1599" t="str">
        <f ca="1">IF('B1.入力_第1面'!V32="■",参考2_エネ使用量経年!O116,IF('B1.入力_第1面'!V33="■",参考2_エネ使用量経年!W116,""))</f>
        <v/>
      </c>
      <c r="S120" s="1576"/>
      <c r="T120" s="55" t="s">
        <v>802</v>
      </c>
      <c r="V120" s="1485"/>
      <c r="W120" s="21" t="s">
        <v>1757</v>
      </c>
    </row>
    <row r="121" spans="2:32" s="4" customFormat="1" ht="20.100000000000001" customHeight="1" thickTop="1">
      <c r="B121" s="14"/>
      <c r="C121" s="14"/>
      <c r="D121" s="14"/>
      <c r="E121" s="14"/>
      <c r="F121" s="14"/>
      <c r="G121" s="14"/>
      <c r="H121" s="14"/>
      <c r="I121" s="14"/>
      <c r="J121" s="14"/>
      <c r="K121" s="13"/>
      <c r="L121" s="13"/>
      <c r="M121" s="13"/>
      <c r="N121" s="14"/>
      <c r="O121" s="14"/>
      <c r="P121" s="14"/>
      <c r="Q121" s="14"/>
      <c r="R121" s="14"/>
      <c r="S121" s="14"/>
      <c r="T121" s="14"/>
      <c r="U121" s="14"/>
      <c r="V121" s="1485"/>
      <c r="W121" s="49"/>
      <c r="X121" s="19"/>
      <c r="Y121" s="19"/>
      <c r="Z121" s="19"/>
      <c r="AA121" s="19"/>
      <c r="AB121" s="19"/>
      <c r="AC121" s="19"/>
      <c r="AD121" s="19"/>
      <c r="AE121" s="19"/>
      <c r="AF121" s="19"/>
    </row>
    <row r="122" spans="2:32" s="4" customFormat="1" ht="20.100000000000001" customHeight="1">
      <c r="B122" s="14"/>
      <c r="C122" s="14"/>
      <c r="D122" s="14"/>
      <c r="E122" s="14"/>
      <c r="F122" s="14"/>
      <c r="G122" s="14"/>
      <c r="H122" s="14"/>
      <c r="I122" s="14"/>
      <c r="J122" s="14"/>
      <c r="K122" s="13"/>
      <c r="L122" s="13"/>
      <c r="M122" s="13"/>
      <c r="N122" s="14"/>
      <c r="O122" s="14"/>
      <c r="P122" s="14"/>
      <c r="Q122" s="14"/>
      <c r="R122" s="14"/>
      <c r="S122" s="14"/>
      <c r="T122" s="14"/>
      <c r="U122" s="14"/>
      <c r="V122" s="1485"/>
      <c r="W122" s="49"/>
      <c r="X122" s="19"/>
      <c r="Y122" s="19"/>
      <c r="Z122" s="19"/>
      <c r="AA122" s="19"/>
      <c r="AB122" s="19"/>
      <c r="AC122" s="19"/>
      <c r="AD122" s="19"/>
      <c r="AE122" s="19"/>
      <c r="AF122" s="19"/>
    </row>
    <row r="123" spans="2:32" ht="15" customHeight="1">
      <c r="B123" s="15" t="s">
        <v>835</v>
      </c>
      <c r="C123" s="15"/>
      <c r="D123" s="15"/>
      <c r="E123" s="15"/>
      <c r="F123" s="45"/>
      <c r="G123" s="45"/>
      <c r="H123" s="45"/>
      <c r="I123" s="45"/>
      <c r="J123" s="45"/>
      <c r="K123" s="45"/>
      <c r="L123" s="45"/>
      <c r="M123" s="45"/>
      <c r="N123" s="45"/>
      <c r="O123" s="45"/>
      <c r="P123" s="45"/>
      <c r="Q123" s="45"/>
      <c r="R123" s="45"/>
      <c r="S123" s="45"/>
      <c r="T123" s="45"/>
      <c r="V123" s="1485"/>
    </row>
    <row r="124" spans="2:32" s="4" customFormat="1" ht="7.5" customHeight="1">
      <c r="B124" s="14"/>
      <c r="C124" s="14"/>
      <c r="D124" s="14"/>
      <c r="E124" s="14"/>
      <c r="F124" s="14"/>
      <c r="G124" s="14"/>
      <c r="H124" s="14"/>
      <c r="I124" s="14"/>
      <c r="J124" s="14"/>
      <c r="K124" s="13"/>
      <c r="L124" s="13"/>
      <c r="M124" s="13"/>
      <c r="N124" s="14"/>
      <c r="O124" s="14"/>
      <c r="P124" s="14"/>
      <c r="Q124" s="14"/>
      <c r="R124" s="14"/>
      <c r="S124" s="14"/>
      <c r="T124" s="14"/>
      <c r="U124" s="14"/>
      <c r="V124" s="1485"/>
      <c r="W124" s="49"/>
      <c r="X124" s="19"/>
      <c r="Y124" s="19"/>
      <c r="Z124" s="19"/>
      <c r="AA124" s="19"/>
      <c r="AB124" s="19"/>
      <c r="AC124" s="19"/>
      <c r="AD124" s="19"/>
      <c r="AE124" s="19"/>
      <c r="AF124" s="19"/>
    </row>
    <row r="125" spans="2:32" ht="15" customHeight="1">
      <c r="B125" s="15" t="s">
        <v>836</v>
      </c>
      <c r="C125" s="15"/>
      <c r="D125" s="15"/>
      <c r="V125" s="1485"/>
      <c r="W125" s="36" t="s">
        <v>837</v>
      </c>
    </row>
    <row r="126" spans="2:32" ht="15" customHeight="1">
      <c r="B126" s="1482"/>
      <c r="C126" s="1483"/>
      <c r="D126" s="1483"/>
      <c r="E126" s="1484"/>
      <c r="F126" s="1482" t="s">
        <v>794</v>
      </c>
      <c r="G126" s="1483"/>
      <c r="H126" s="1483"/>
      <c r="I126" s="1483"/>
      <c r="J126" s="1483"/>
      <c r="K126" s="1484"/>
      <c r="L126" s="1479" t="s">
        <v>795</v>
      </c>
      <c r="M126" s="1480"/>
      <c r="N126" s="1480"/>
      <c r="O126" s="1480"/>
      <c r="P126" s="1480"/>
      <c r="Q126" s="1480"/>
      <c r="R126" s="1480"/>
      <c r="S126" s="1480"/>
      <c r="T126" s="1481"/>
    </row>
    <row r="127" spans="2:32" ht="15" customHeight="1">
      <c r="B127" s="1525"/>
      <c r="C127" s="1526"/>
      <c r="D127" s="1526"/>
      <c r="E127" s="1527"/>
      <c r="F127" s="1482" t="s">
        <v>797</v>
      </c>
      <c r="G127" s="1483"/>
      <c r="H127" s="1483"/>
      <c r="I127" s="1482" t="s">
        <v>798</v>
      </c>
      <c r="J127" s="1483"/>
      <c r="K127" s="1484"/>
      <c r="L127" s="1482" t="s">
        <v>97</v>
      </c>
      <c r="M127" s="1483"/>
      <c r="N127" s="1484"/>
      <c r="O127" s="1482" t="s">
        <v>102</v>
      </c>
      <c r="P127" s="1483"/>
      <c r="Q127" s="1484"/>
      <c r="R127" s="1482" t="s">
        <v>123</v>
      </c>
      <c r="S127" s="1483"/>
      <c r="T127" s="1484"/>
      <c r="V127" s="533" t="s">
        <v>1720</v>
      </c>
    </row>
    <row r="128" spans="2:32" ht="22.5" customHeight="1">
      <c r="B128" s="1567" t="s">
        <v>838</v>
      </c>
      <c r="C128" s="1568"/>
      <c r="D128" s="1568"/>
      <c r="E128" s="1569"/>
      <c r="F128" s="1570">
        <f ca="1">IF('B1.入力_第1面'!V34="■",INDEX(参考2_エネ使用量経年!L119:O119,MATCH('B1.入力_第1面'!H39,参考2_エネ使用量経年!L6:O6,0)),IF('B1.入力_第1面'!V35="■",INDEX(参考2_エネ使用量経年!T119:W119,MATCH('B1.入力_第1面'!H39,参考2_エネ使用量経年!T6:W6,0)),""))</f>
        <v>0</v>
      </c>
      <c r="G128" s="1571"/>
      <c r="H128" s="228" t="s">
        <v>839</v>
      </c>
      <c r="I128" s="1572"/>
      <c r="J128" s="1573"/>
      <c r="K128" s="228" t="s">
        <v>839</v>
      </c>
      <c r="L128" s="1570">
        <f ca="1">IF('B1.入力_第1面'!V34="■",参考2_エネ使用量経年!M119,IF('B1.入力_第1面'!V35="■",参考2_エネ使用量経年!U119,""))</f>
        <v>0</v>
      </c>
      <c r="M128" s="1571"/>
      <c r="N128" s="228" t="s">
        <v>839</v>
      </c>
      <c r="O128" s="1570">
        <f ca="1">IF('B1.入力_第1面'!V34="■",参考2_エネ使用量経年!N119,IF('B1.入力_第1面'!V35="■",参考2_エネ使用量経年!V119,""))</f>
        <v>0</v>
      </c>
      <c r="P128" s="1571"/>
      <c r="Q128" s="228" t="s">
        <v>839</v>
      </c>
      <c r="R128" s="1570">
        <f ca="1">IF('B1.入力_第1面'!V34="■",参考2_エネ使用量経年!O119,IF('B1.入力_第1面'!V35="■",参考2_エネ使用量経年!W119,""))</f>
        <v>0</v>
      </c>
      <c r="S128" s="1571"/>
      <c r="T128" s="228" t="s">
        <v>839</v>
      </c>
      <c r="V128" s="531" t="s">
        <v>1721</v>
      </c>
    </row>
    <row r="129" spans="2:50" ht="22.5" customHeight="1">
      <c r="B129" s="1567" t="s">
        <v>840</v>
      </c>
      <c r="C129" s="1568"/>
      <c r="D129" s="1568"/>
      <c r="E129" s="1569"/>
      <c r="F129" s="1570">
        <f ca="1">IF('B1.入力_第1面'!V34="■",INDEX(参考2_エネ使用量経年!L120:O120,MATCH('B1.入力_第1面'!H39,参考2_エネ使用量経年!L6:O6,0)),IF('B1.入力_第1面'!V35="■",INDEX(参考2_エネ使用量経年!T120:W120,MATCH('B1.入力_第1面'!H39,参考2_エネ使用量経年!T6:W6,0)),""))</f>
        <v>0</v>
      </c>
      <c r="G129" s="1571"/>
      <c r="H129" s="228" t="s">
        <v>839</v>
      </c>
      <c r="I129" s="1572"/>
      <c r="J129" s="1573"/>
      <c r="K129" s="228" t="s">
        <v>839</v>
      </c>
      <c r="L129" s="1570">
        <f ca="1">IF('B1.入力_第1面'!V34="■",参考2_エネ使用量経年!M120,IF('B1.入力_第1面'!V35="■",参考2_エネ使用量経年!U120,""))</f>
        <v>0</v>
      </c>
      <c r="M129" s="1571"/>
      <c r="N129" s="228" t="s">
        <v>839</v>
      </c>
      <c r="O129" s="1570">
        <f ca="1">IF('B1.入力_第1面'!V34="■",参考2_エネ使用量経年!N120,IF('B1.入力_第1面'!V35="■",参考2_エネ使用量経年!V120,""))</f>
        <v>0</v>
      </c>
      <c r="P129" s="1571"/>
      <c r="Q129" s="228" t="s">
        <v>839</v>
      </c>
      <c r="R129" s="1570">
        <f ca="1">IF('B1.入力_第1面'!V34="■",参考2_エネ使用量経年!O120,IF('B1.入力_第1面'!V35="■",参考2_エネ使用量経年!W120,""))</f>
        <v>0</v>
      </c>
      <c r="S129" s="1571"/>
      <c r="T129" s="228" t="s">
        <v>839</v>
      </c>
      <c r="V129" s="1460" t="s">
        <v>1722</v>
      </c>
    </row>
    <row r="130" spans="2:50" ht="22.5" customHeight="1" thickBot="1">
      <c r="B130" s="1589" t="s">
        <v>841</v>
      </c>
      <c r="C130" s="1590"/>
      <c r="D130" s="1590"/>
      <c r="E130" s="1591"/>
      <c r="F130" s="1592">
        <f ca="1">IF('B1.入力_第1面'!V34="■",INDEX(参考2_エネ使用量経年!L121:O121,MATCH('B1.入力_第1面'!H39,参考2_エネ使用量経年!L6:O6,0)),IF('B1.入力_第1面'!V35="■",INDEX(参考2_エネ使用量経年!T121:W121,MATCH('B1.入力_第1面'!H39,参考2_エネ使用量経年!T6:W6,0)),""))</f>
        <v>0</v>
      </c>
      <c r="G130" s="1593"/>
      <c r="H130" s="228" t="s">
        <v>839</v>
      </c>
      <c r="I130" s="1594"/>
      <c r="J130" s="1595"/>
      <c r="K130" s="228" t="s">
        <v>839</v>
      </c>
      <c r="L130" s="1592">
        <f ca="1">IF('B1.入力_第1面'!V34="■",参考2_エネ使用量経年!M121,IF('B1.入力_第1面'!V35="■",参考2_エネ使用量経年!U121,""))</f>
        <v>0</v>
      </c>
      <c r="M130" s="1593"/>
      <c r="N130" s="228" t="s">
        <v>839</v>
      </c>
      <c r="O130" s="1592">
        <f ca="1">IF('B1.入力_第1面'!V34="■",参考2_エネ使用量経年!N121,IF('B1.入力_第1面'!V35="■",参考2_エネ使用量経年!V121,""))</f>
        <v>0</v>
      </c>
      <c r="P130" s="1593"/>
      <c r="Q130" s="228" t="s">
        <v>839</v>
      </c>
      <c r="R130" s="1592">
        <f ca="1">IF('B1.入力_第1面'!V34="■",参考2_エネ使用量経年!O121,IF('B1.入力_第1面'!V35="■",参考2_エネ使用量経年!W121,""))</f>
        <v>0</v>
      </c>
      <c r="S130" s="1593"/>
      <c r="T130" s="228" t="s">
        <v>839</v>
      </c>
      <c r="V130" s="1460"/>
    </row>
    <row r="131" spans="2:50" ht="22.5" customHeight="1" thickTop="1" thickBot="1">
      <c r="B131" s="1577" t="s">
        <v>842</v>
      </c>
      <c r="C131" s="1578"/>
      <c r="D131" s="1578"/>
      <c r="E131" s="1579"/>
      <c r="F131" s="1580">
        <f ca="1">SUM(F128:G130)</f>
        <v>0</v>
      </c>
      <c r="G131" s="1581"/>
      <c r="H131" s="22" t="s">
        <v>839</v>
      </c>
      <c r="I131" s="1580">
        <f>SUM(I128:J130)</f>
        <v>0</v>
      </c>
      <c r="J131" s="1581"/>
      <c r="K131" s="22" t="s">
        <v>839</v>
      </c>
      <c r="L131" s="1582">
        <f ca="1">SUM(L128:M130)</f>
        <v>0</v>
      </c>
      <c r="M131" s="1583"/>
      <c r="N131" s="33" t="s">
        <v>839</v>
      </c>
      <c r="O131" s="1582">
        <f ca="1">SUM(O128:P130)</f>
        <v>0</v>
      </c>
      <c r="P131" s="1583"/>
      <c r="Q131" s="33" t="s">
        <v>839</v>
      </c>
      <c r="R131" s="1582">
        <f ca="1">SUM(R128:S130)</f>
        <v>0</v>
      </c>
      <c r="S131" s="1583"/>
      <c r="T131" s="33" t="s">
        <v>839</v>
      </c>
      <c r="V131" s="1460"/>
    </row>
    <row r="132" spans="2:50" ht="22.5" customHeight="1" thickTop="1" thickBot="1">
      <c r="B132" s="1567" t="s">
        <v>843</v>
      </c>
      <c r="C132" s="1568"/>
      <c r="D132" s="1568"/>
      <c r="E132" s="1569"/>
      <c r="F132" s="1584" t="str">
        <f ca="1">IF(F131=0,"－",ROUNDDOWN(SUM(F128:G129)/F131*100,1))</f>
        <v>－</v>
      </c>
      <c r="G132" s="1585"/>
      <c r="H132" s="229" t="s">
        <v>844</v>
      </c>
      <c r="I132" s="1584" t="str">
        <f>IF(I131=0,"－",ROUNDDOWN(SUM(I128:J129)/I131*100,1))</f>
        <v>－</v>
      </c>
      <c r="J132" s="1585"/>
      <c r="K132" s="230" t="s">
        <v>844</v>
      </c>
      <c r="L132" s="1586" t="str">
        <f ca="1">IF(L131=0,"－",ROUNDDOWN(SUM(L128:M129)/L131*100,1))</f>
        <v>－</v>
      </c>
      <c r="M132" s="1587"/>
      <c r="N132" s="57" t="s">
        <v>844</v>
      </c>
      <c r="O132" s="1588" t="str">
        <f ca="1">IF(O131=0,"－",ROUNDDOWN(SUM(O128:P129)/O131*100,1))</f>
        <v>－</v>
      </c>
      <c r="P132" s="1587"/>
      <c r="Q132" s="57" t="s">
        <v>844</v>
      </c>
      <c r="R132" s="1588" t="str">
        <f ca="1">IF(R131=0,"－",ROUNDDOWN(SUM(R128:S129)/R131*100,1))</f>
        <v>－</v>
      </c>
      <c r="S132" s="1587"/>
      <c r="T132" s="54" t="s">
        <v>844</v>
      </c>
      <c r="V132" s="1460"/>
    </row>
    <row r="133" spans="2:50" s="4" customFormat="1" ht="20.100000000000001" customHeight="1" thickTop="1">
      <c r="B133" s="14"/>
      <c r="C133" s="14"/>
      <c r="D133" s="14"/>
      <c r="E133" s="14"/>
      <c r="F133" s="14"/>
      <c r="G133" s="14"/>
      <c r="H133" s="14"/>
      <c r="I133" s="14"/>
      <c r="J133" s="14"/>
      <c r="K133" s="13"/>
      <c r="L133" s="13"/>
      <c r="M133" s="13"/>
      <c r="N133" s="14"/>
      <c r="O133" s="14"/>
      <c r="P133" s="14"/>
      <c r="Q133" s="14"/>
      <c r="R133" s="14"/>
      <c r="S133" s="14"/>
      <c r="T133" s="14"/>
      <c r="U133" s="14"/>
      <c r="V133" s="42"/>
      <c r="W133" s="49"/>
      <c r="X133" s="19"/>
      <c r="Y133" s="19"/>
      <c r="Z133" s="19"/>
      <c r="AA133" s="19"/>
      <c r="AB133" s="19"/>
      <c r="AC133" s="19"/>
      <c r="AD133" s="19"/>
      <c r="AE133" s="19"/>
      <c r="AF133" s="19"/>
    </row>
    <row r="134" spans="2:50" ht="15" customHeight="1">
      <c r="B134" s="15" t="s">
        <v>1794</v>
      </c>
      <c r="C134" s="15"/>
      <c r="D134" s="15"/>
      <c r="V134" s="531" t="s">
        <v>1723</v>
      </c>
    </row>
    <row r="135" spans="2:50" ht="15" customHeight="1">
      <c r="B135" s="1482"/>
      <c r="C135" s="1483"/>
      <c r="D135" s="1483"/>
      <c r="E135" s="1484"/>
      <c r="F135" s="1482" t="s">
        <v>794</v>
      </c>
      <c r="G135" s="1483"/>
      <c r="H135" s="1483"/>
      <c r="I135" s="1483"/>
      <c r="J135" s="1483"/>
      <c r="K135" s="1484"/>
      <c r="L135" s="1479" t="s">
        <v>795</v>
      </c>
      <c r="M135" s="1480"/>
      <c r="N135" s="1480"/>
      <c r="O135" s="1480"/>
      <c r="P135" s="1480"/>
      <c r="Q135" s="1480"/>
      <c r="R135" s="1480"/>
      <c r="S135" s="1480"/>
      <c r="T135" s="1481"/>
      <c r="V135" s="1460" t="s">
        <v>1724</v>
      </c>
    </row>
    <row r="136" spans="2:50" ht="15" customHeight="1" thickBot="1">
      <c r="B136" s="1525"/>
      <c r="C136" s="1526"/>
      <c r="D136" s="1526"/>
      <c r="E136" s="1527"/>
      <c r="F136" s="1482" t="s">
        <v>797</v>
      </c>
      <c r="G136" s="1483"/>
      <c r="H136" s="1483"/>
      <c r="I136" s="1482" t="s">
        <v>798</v>
      </c>
      <c r="J136" s="1483"/>
      <c r="K136" s="1484"/>
      <c r="L136" s="1482" t="s">
        <v>97</v>
      </c>
      <c r="M136" s="1483"/>
      <c r="N136" s="1484"/>
      <c r="O136" s="1482" t="s">
        <v>102</v>
      </c>
      <c r="P136" s="1483"/>
      <c r="Q136" s="1484"/>
      <c r="R136" s="1482" t="s">
        <v>123</v>
      </c>
      <c r="S136" s="1483"/>
      <c r="T136" s="1484"/>
      <c r="V136" s="1460"/>
    </row>
    <row r="137" spans="2:50" ht="22.5" customHeight="1" thickTop="1" thickBot="1">
      <c r="B137" s="1567" t="s">
        <v>845</v>
      </c>
      <c r="C137" s="1568"/>
      <c r="D137" s="1568"/>
      <c r="E137" s="1569"/>
      <c r="F137" s="1570">
        <f ca="1">IF('B1.入力_第1面'!V34="■",INDEX(参考2_エネ使用量経年!L122:O122,MATCH('B1.入力_第1面'!H39,参考2_エネ使用量経年!L6:O6,0)),IF('B1.入力_第1面'!V35="■",INDEX(参考2_エネ使用量経年!T122:W122,MATCH('B1.入力_第1面'!H39,参考2_エネ使用量経年!T6:W6,0)),""))</f>
        <v>0</v>
      </c>
      <c r="G137" s="1571"/>
      <c r="H137" s="228" t="s">
        <v>839</v>
      </c>
      <c r="I137" s="1572"/>
      <c r="J137" s="1573"/>
      <c r="K137" s="231" t="s">
        <v>839</v>
      </c>
      <c r="L137" s="1574">
        <f ca="1">IF('B1.入力_第1面'!V34="■",参考2_エネ使用量経年!M122,IF('B1.入力_第1面'!V35="■",参考2_エネ使用量経年!U122,""))</f>
        <v>0</v>
      </c>
      <c r="M137" s="1575"/>
      <c r="N137" s="31" t="s">
        <v>839</v>
      </c>
      <c r="O137" s="1576">
        <f ca="1">IF('B1.入力_第1面'!V34="■",参考2_エネ使用量経年!N122,IF('B1.入力_第1面'!V35="■",参考2_エネ使用量経年!V122,""))</f>
        <v>0</v>
      </c>
      <c r="P137" s="1575"/>
      <c r="Q137" s="31" t="s">
        <v>839</v>
      </c>
      <c r="R137" s="1576">
        <f ca="1">IF('B1.入力_第1面'!V34="■",参考2_エネ使用量経年!O122,IF('B1.入力_第1面'!V35="■",参考2_エネ使用量経年!W122,""))</f>
        <v>0</v>
      </c>
      <c r="S137" s="1575"/>
      <c r="T137" s="32" t="s">
        <v>839</v>
      </c>
      <c r="V137" s="1460"/>
    </row>
    <row r="138" spans="2:50" s="4" customFormat="1" ht="20.100000000000001" customHeight="1" thickTop="1">
      <c r="B138" s="14"/>
      <c r="C138" s="14"/>
      <c r="D138" s="14"/>
      <c r="E138" s="14"/>
      <c r="F138" s="14"/>
      <c r="G138" s="14"/>
      <c r="H138" s="14"/>
      <c r="I138" s="14"/>
      <c r="J138" s="14"/>
      <c r="K138" s="13"/>
      <c r="L138" s="13"/>
      <c r="M138" s="13"/>
      <c r="N138" s="14"/>
      <c r="O138" s="14"/>
      <c r="P138" s="14"/>
      <c r="Q138" s="14"/>
      <c r="R138" s="14"/>
      <c r="S138" s="14"/>
      <c r="T138" s="14"/>
      <c r="U138" s="14"/>
      <c r="V138" s="1460"/>
      <c r="W138" s="49"/>
      <c r="X138" s="19"/>
      <c r="Y138" s="19"/>
      <c r="Z138" s="19"/>
      <c r="AA138" s="19"/>
      <c r="AB138" s="19"/>
      <c r="AC138" s="19"/>
      <c r="AD138" s="19"/>
      <c r="AE138" s="19"/>
      <c r="AF138" s="19"/>
    </row>
    <row r="139" spans="2:50" s="9" customFormat="1" ht="18.75" customHeight="1">
      <c r="B139" s="1478" t="s">
        <v>846</v>
      </c>
      <c r="C139" s="1478"/>
      <c r="D139" s="1478"/>
      <c r="E139" s="1478"/>
      <c r="F139" s="1478"/>
      <c r="G139" s="1478"/>
      <c r="H139" s="1478"/>
      <c r="I139" s="1478"/>
      <c r="J139" s="1478"/>
      <c r="K139" s="1478"/>
      <c r="L139" s="1478"/>
      <c r="M139" s="1478"/>
      <c r="N139" s="1478"/>
      <c r="O139" s="1478"/>
      <c r="P139" s="1478"/>
      <c r="Q139" s="1478"/>
      <c r="R139" s="1478"/>
      <c r="S139" s="1478"/>
      <c r="T139" s="1478"/>
      <c r="V139" s="1460"/>
      <c r="W139" s="21"/>
      <c r="X139" s="20"/>
      <c r="Y139" s="20"/>
      <c r="Z139" s="20"/>
      <c r="AA139" s="20"/>
      <c r="AB139" s="20"/>
      <c r="AC139" s="20"/>
      <c r="AD139" s="20"/>
      <c r="AE139" s="20"/>
      <c r="AF139" s="20"/>
      <c r="AX139" s="10"/>
    </row>
    <row r="140" spans="2:50" ht="15" customHeight="1">
      <c r="B140" s="11" t="s">
        <v>1795</v>
      </c>
      <c r="C140" s="11"/>
      <c r="D140" s="11"/>
      <c r="E140" s="11"/>
      <c r="F140" s="12"/>
      <c r="G140" s="12"/>
      <c r="H140" s="12"/>
      <c r="I140" s="12"/>
      <c r="J140" s="12"/>
      <c r="K140" s="12"/>
      <c r="L140" s="12"/>
      <c r="M140" s="12"/>
      <c r="N140" s="12"/>
      <c r="O140" s="12"/>
      <c r="P140" s="12"/>
      <c r="Q140" s="12"/>
      <c r="R140" s="12"/>
      <c r="S140" s="12"/>
      <c r="T140" s="12"/>
      <c r="V140" s="1460"/>
    </row>
    <row r="141" spans="2:50" s="4" customFormat="1" ht="7.5" customHeight="1">
      <c r="B141" s="14"/>
      <c r="C141" s="14"/>
      <c r="D141" s="14"/>
      <c r="E141" s="14"/>
      <c r="F141" s="14"/>
      <c r="G141" s="14"/>
      <c r="H141" s="14"/>
      <c r="I141" s="14"/>
      <c r="J141" s="14"/>
      <c r="K141" s="13"/>
      <c r="L141" s="13"/>
      <c r="M141" s="13"/>
      <c r="N141" s="14"/>
      <c r="O141" s="14"/>
      <c r="P141" s="14"/>
      <c r="Q141" s="14"/>
      <c r="R141" s="14"/>
      <c r="S141" s="14"/>
      <c r="T141" s="14"/>
      <c r="U141" s="14"/>
      <c r="V141" s="42"/>
      <c r="W141" s="49"/>
      <c r="X141" s="19"/>
      <c r="Y141" s="19"/>
      <c r="Z141" s="19"/>
      <c r="AA141" s="19"/>
      <c r="AB141" s="19"/>
      <c r="AC141" s="19"/>
      <c r="AD141" s="19"/>
      <c r="AE141" s="19"/>
      <c r="AF141" s="19"/>
    </row>
    <row r="142" spans="2:50" ht="15" customHeight="1">
      <c r="B142" s="15" t="s">
        <v>847</v>
      </c>
      <c r="C142" s="15"/>
      <c r="D142" s="15"/>
    </row>
    <row r="143" spans="2:50" ht="15" customHeight="1">
      <c r="B143" s="1482"/>
      <c r="C143" s="1483"/>
      <c r="D143" s="1483"/>
      <c r="E143" s="1484"/>
      <c r="F143" s="1482" t="s">
        <v>794</v>
      </c>
      <c r="G143" s="1483"/>
      <c r="H143" s="1483"/>
      <c r="I143" s="1483"/>
      <c r="J143" s="1483"/>
      <c r="K143" s="1484"/>
      <c r="L143" s="1479" t="s">
        <v>795</v>
      </c>
      <c r="M143" s="1480"/>
      <c r="N143" s="1480"/>
      <c r="O143" s="1480"/>
      <c r="P143" s="1480"/>
      <c r="Q143" s="1480"/>
      <c r="R143" s="1480"/>
      <c r="S143" s="1480"/>
      <c r="T143" s="1481"/>
      <c r="V143" s="531" t="s">
        <v>1725</v>
      </c>
    </row>
    <row r="144" spans="2:50" ht="15" customHeight="1" thickBot="1">
      <c r="B144" s="1525"/>
      <c r="C144" s="1526"/>
      <c r="D144" s="1526"/>
      <c r="E144" s="1527"/>
      <c r="F144" s="1482" t="s">
        <v>797</v>
      </c>
      <c r="G144" s="1483"/>
      <c r="H144" s="1483"/>
      <c r="I144" s="1482" t="s">
        <v>798</v>
      </c>
      <c r="J144" s="1483"/>
      <c r="K144" s="1484"/>
      <c r="L144" s="1482" t="s">
        <v>97</v>
      </c>
      <c r="M144" s="1483"/>
      <c r="N144" s="1484"/>
      <c r="O144" s="1482" t="s">
        <v>102</v>
      </c>
      <c r="P144" s="1483"/>
      <c r="Q144" s="1484"/>
      <c r="R144" s="1482" t="s">
        <v>123</v>
      </c>
      <c r="S144" s="1483"/>
      <c r="T144" s="1484"/>
      <c r="V144" s="1460" t="s">
        <v>1726</v>
      </c>
      <c r="W144" s="23" t="s">
        <v>811</v>
      </c>
    </row>
    <row r="145" spans="2:32" ht="19.5" customHeight="1" thickTop="1">
      <c r="B145" s="1498" t="s">
        <v>848</v>
      </c>
      <c r="C145" s="1498"/>
      <c r="D145" s="1498"/>
      <c r="E145" s="1498"/>
      <c r="F145" s="1475"/>
      <c r="G145" s="1476"/>
      <c r="H145" s="1477"/>
      <c r="I145" s="1475"/>
      <c r="J145" s="1476"/>
      <c r="K145" s="1476"/>
      <c r="L145" s="1553"/>
      <c r="M145" s="1554"/>
      <c r="N145" s="1555"/>
      <c r="O145" s="1556"/>
      <c r="P145" s="1554"/>
      <c r="Q145" s="1555"/>
      <c r="R145" s="1556"/>
      <c r="S145" s="1554"/>
      <c r="T145" s="1557"/>
      <c r="V145" s="1460"/>
      <c r="W145" s="21" t="s">
        <v>849</v>
      </c>
    </row>
    <row r="146" spans="2:32" ht="19.5" customHeight="1" thickBot="1">
      <c r="B146" s="1564" t="s">
        <v>850</v>
      </c>
      <c r="C146" s="1565"/>
      <c r="D146" s="1565"/>
      <c r="E146" s="1566"/>
      <c r="F146" s="1548"/>
      <c r="G146" s="1549"/>
      <c r="H146" s="228" t="s">
        <v>763</v>
      </c>
      <c r="I146" s="1548"/>
      <c r="J146" s="1549"/>
      <c r="K146" s="231" t="s">
        <v>763</v>
      </c>
      <c r="L146" s="1550"/>
      <c r="M146" s="1551"/>
      <c r="N146" s="34" t="s">
        <v>763</v>
      </c>
      <c r="O146" s="1552"/>
      <c r="P146" s="1551"/>
      <c r="Q146" s="34" t="s">
        <v>763</v>
      </c>
      <c r="R146" s="1552"/>
      <c r="S146" s="1551"/>
      <c r="T146" s="35" t="s">
        <v>763</v>
      </c>
      <c r="V146" s="1460"/>
      <c r="W146" s="21" t="s">
        <v>1461</v>
      </c>
    </row>
    <row r="147" spans="2:32" ht="18.75" customHeight="1" thickTop="1">
      <c r="B147" s="1499" t="s">
        <v>851</v>
      </c>
      <c r="C147" s="1500"/>
      <c r="D147" s="1500"/>
      <c r="E147" s="1501"/>
      <c r="F147" s="1502"/>
      <c r="G147" s="1503"/>
      <c r="H147" s="1503"/>
      <c r="I147" s="1503"/>
      <c r="J147" s="1503"/>
      <c r="K147" s="1503"/>
      <c r="L147" s="1503"/>
      <c r="M147" s="1503"/>
      <c r="N147" s="1503"/>
      <c r="O147" s="1503"/>
      <c r="P147" s="1503"/>
      <c r="Q147" s="1503"/>
      <c r="R147" s="1503"/>
      <c r="S147" s="1503"/>
      <c r="T147" s="1504"/>
      <c r="V147" s="1460"/>
      <c r="W147" s="21" t="s">
        <v>1462</v>
      </c>
    </row>
    <row r="148" spans="2:32" ht="18.75" customHeight="1">
      <c r="B148" s="556"/>
      <c r="C148" s="1505" t="s">
        <v>821</v>
      </c>
      <c r="D148" s="1505"/>
      <c r="E148" s="1505"/>
      <c r="F148" s="1475"/>
      <c r="G148" s="1476"/>
      <c r="H148" s="1476"/>
      <c r="I148" s="1476"/>
      <c r="J148" s="1476"/>
      <c r="K148" s="1476"/>
      <c r="L148" s="1476"/>
      <c r="M148" s="1476"/>
      <c r="N148" s="1476"/>
      <c r="O148" s="1476"/>
      <c r="P148" s="1476"/>
      <c r="Q148" s="1476"/>
      <c r="R148" s="1476"/>
      <c r="S148" s="1476"/>
      <c r="T148" s="1477"/>
      <c r="V148" s="1460"/>
      <c r="W148" s="21" t="s">
        <v>1463</v>
      </c>
    </row>
    <row r="149" spans="2:32" ht="19.5" customHeight="1">
      <c r="B149" s="1508" t="s">
        <v>1784</v>
      </c>
      <c r="C149" s="1509"/>
      <c r="D149" s="1505" t="s">
        <v>852</v>
      </c>
      <c r="E149" s="1505"/>
      <c r="F149" s="1475"/>
      <c r="G149" s="1476"/>
      <c r="H149" s="1476"/>
      <c r="I149" s="1476"/>
      <c r="J149" s="1476"/>
      <c r="K149" s="1476"/>
      <c r="L149" s="1476"/>
      <c r="M149" s="1476"/>
      <c r="N149" s="1476"/>
      <c r="O149" s="1476"/>
      <c r="P149" s="1476"/>
      <c r="Q149" s="1476"/>
      <c r="R149" s="1476"/>
      <c r="S149" s="1476"/>
      <c r="T149" s="1477"/>
      <c r="V149" s="531" t="s">
        <v>1727</v>
      </c>
      <c r="W149" s="21" t="s">
        <v>853</v>
      </c>
    </row>
    <row r="150" spans="2:32" ht="19.5" customHeight="1">
      <c r="B150" s="1510"/>
      <c r="C150" s="1511"/>
      <c r="D150" s="1506" t="s">
        <v>446</v>
      </c>
      <c r="E150" s="1507"/>
      <c r="F150" s="1475"/>
      <c r="G150" s="1476"/>
      <c r="H150" s="1476"/>
      <c r="I150" s="1476"/>
      <c r="J150" s="1476"/>
      <c r="K150" s="1476"/>
      <c r="L150" s="1476"/>
      <c r="M150" s="1476"/>
      <c r="N150" s="1476"/>
      <c r="O150" s="1476"/>
      <c r="P150" s="1476"/>
      <c r="Q150" s="1476"/>
      <c r="R150" s="1476"/>
      <c r="S150" s="1476"/>
      <c r="T150" s="1477"/>
      <c r="V150" s="1466" t="s">
        <v>1728</v>
      </c>
      <c r="W150" s="36" t="s">
        <v>854</v>
      </c>
    </row>
    <row r="151" spans="2:32" s="4" customFormat="1" ht="7.5" customHeight="1">
      <c r="B151" s="14"/>
      <c r="C151" s="14"/>
      <c r="D151" s="14"/>
      <c r="E151" s="14"/>
      <c r="F151" s="14"/>
      <c r="G151" s="14"/>
      <c r="H151" s="14"/>
      <c r="I151" s="14"/>
      <c r="J151" s="14"/>
      <c r="K151" s="13"/>
      <c r="L151" s="13"/>
      <c r="M151" s="13"/>
      <c r="N151" s="14"/>
      <c r="O151" s="14"/>
      <c r="P151" s="14"/>
      <c r="Q151" s="14"/>
      <c r="R151" s="14"/>
      <c r="S151" s="14"/>
      <c r="T151" s="14"/>
      <c r="U151" s="14"/>
      <c r="V151" s="1466"/>
      <c r="W151" s="49"/>
      <c r="X151" s="19"/>
      <c r="Y151" s="19"/>
      <c r="Z151" s="19"/>
      <c r="AA151" s="19"/>
      <c r="AB151" s="19"/>
      <c r="AC151" s="19"/>
      <c r="AD151" s="19"/>
      <c r="AE151" s="19"/>
      <c r="AF151" s="19"/>
    </row>
    <row r="152" spans="2:32" ht="15" customHeight="1">
      <c r="B152" s="15" t="s">
        <v>855</v>
      </c>
      <c r="C152" s="15"/>
      <c r="D152" s="15"/>
    </row>
    <row r="153" spans="2:32" ht="15" customHeight="1">
      <c r="B153" s="1482"/>
      <c r="C153" s="1483"/>
      <c r="D153" s="1483"/>
      <c r="E153" s="1484"/>
      <c r="F153" s="1482" t="s">
        <v>794</v>
      </c>
      <c r="G153" s="1483"/>
      <c r="H153" s="1483"/>
      <c r="I153" s="1483"/>
      <c r="J153" s="1483"/>
      <c r="K153" s="1484"/>
      <c r="L153" s="1479" t="s">
        <v>795</v>
      </c>
      <c r="M153" s="1480"/>
      <c r="N153" s="1480"/>
      <c r="O153" s="1480"/>
      <c r="P153" s="1480"/>
      <c r="Q153" s="1480"/>
      <c r="R153" s="1480"/>
      <c r="S153" s="1480"/>
      <c r="T153" s="1481"/>
      <c r="V153" s="531" t="s">
        <v>1729</v>
      </c>
    </row>
    <row r="154" spans="2:32" ht="15" customHeight="1" thickBot="1">
      <c r="B154" s="1525"/>
      <c r="C154" s="1526"/>
      <c r="D154" s="1526"/>
      <c r="E154" s="1527"/>
      <c r="F154" s="1482" t="s">
        <v>797</v>
      </c>
      <c r="G154" s="1483"/>
      <c r="H154" s="1483"/>
      <c r="I154" s="1482" t="s">
        <v>798</v>
      </c>
      <c r="J154" s="1483"/>
      <c r="K154" s="1484"/>
      <c r="L154" s="1482" t="s">
        <v>97</v>
      </c>
      <c r="M154" s="1483"/>
      <c r="N154" s="1484"/>
      <c r="O154" s="1482" t="s">
        <v>102</v>
      </c>
      <c r="P154" s="1483"/>
      <c r="Q154" s="1484"/>
      <c r="R154" s="1482" t="s">
        <v>123</v>
      </c>
      <c r="S154" s="1483"/>
      <c r="T154" s="1484"/>
      <c r="V154" s="1460" t="s">
        <v>1730</v>
      </c>
      <c r="W154" s="23" t="s">
        <v>811</v>
      </c>
    </row>
    <row r="155" spans="2:32" ht="18.75" customHeight="1" thickTop="1" thickBot="1">
      <c r="B155" s="1498" t="s">
        <v>856</v>
      </c>
      <c r="C155" s="1498"/>
      <c r="D155" s="1498"/>
      <c r="E155" s="1498"/>
      <c r="F155" s="1475"/>
      <c r="G155" s="1476"/>
      <c r="H155" s="1477"/>
      <c r="I155" s="1475"/>
      <c r="J155" s="1476"/>
      <c r="K155" s="1476"/>
      <c r="L155" s="1558"/>
      <c r="M155" s="1559"/>
      <c r="N155" s="1560"/>
      <c r="O155" s="1561"/>
      <c r="P155" s="1559"/>
      <c r="Q155" s="1560"/>
      <c r="R155" s="1561"/>
      <c r="S155" s="1559"/>
      <c r="T155" s="1562"/>
      <c r="V155" s="1460"/>
      <c r="W155" s="36" t="s">
        <v>857</v>
      </c>
    </row>
    <row r="156" spans="2:32" ht="18.75" customHeight="1" thickTop="1">
      <c r="B156" s="1499" t="s">
        <v>858</v>
      </c>
      <c r="C156" s="1500"/>
      <c r="D156" s="1500"/>
      <c r="E156" s="1501"/>
      <c r="F156" s="1502"/>
      <c r="G156" s="1503"/>
      <c r="H156" s="1503"/>
      <c r="I156" s="1503"/>
      <c r="J156" s="1503"/>
      <c r="K156" s="1503"/>
      <c r="L156" s="1503"/>
      <c r="M156" s="1503"/>
      <c r="N156" s="1503"/>
      <c r="O156" s="1503"/>
      <c r="P156" s="1503"/>
      <c r="Q156" s="1503"/>
      <c r="R156" s="1503"/>
      <c r="S156" s="1503"/>
      <c r="T156" s="1504"/>
      <c r="V156" s="1460"/>
      <c r="W156" s="21" t="s">
        <v>1758</v>
      </c>
    </row>
    <row r="157" spans="2:32" ht="18.75" customHeight="1">
      <c r="B157" s="556"/>
      <c r="C157" s="1505" t="s">
        <v>821</v>
      </c>
      <c r="D157" s="1505"/>
      <c r="E157" s="1505"/>
      <c r="F157" s="1475"/>
      <c r="G157" s="1476"/>
      <c r="H157" s="1476"/>
      <c r="I157" s="1476"/>
      <c r="J157" s="1476"/>
      <c r="K157" s="1476"/>
      <c r="L157" s="1476"/>
      <c r="M157" s="1476"/>
      <c r="N157" s="1476"/>
      <c r="O157" s="1476"/>
      <c r="P157" s="1476"/>
      <c r="Q157" s="1476"/>
      <c r="R157" s="1476"/>
      <c r="S157" s="1476"/>
      <c r="T157" s="1477"/>
      <c r="V157" s="1460"/>
      <c r="W157" s="21" t="s">
        <v>1463</v>
      </c>
    </row>
    <row r="158" spans="2:32" ht="19.5" customHeight="1">
      <c r="B158" s="1508" t="s">
        <v>1785</v>
      </c>
      <c r="C158" s="1509"/>
      <c r="D158" s="1505" t="s">
        <v>852</v>
      </c>
      <c r="E158" s="1505"/>
      <c r="F158" s="1475"/>
      <c r="G158" s="1476"/>
      <c r="H158" s="1476"/>
      <c r="I158" s="1476"/>
      <c r="J158" s="1476"/>
      <c r="K158" s="1476"/>
      <c r="L158" s="1503"/>
      <c r="M158" s="1503"/>
      <c r="N158" s="1503"/>
      <c r="O158" s="1503"/>
      <c r="P158" s="1503"/>
      <c r="Q158" s="1503"/>
      <c r="R158" s="1503"/>
      <c r="S158" s="1503"/>
      <c r="T158" s="1504"/>
      <c r="V158" s="531" t="s">
        <v>1731</v>
      </c>
      <c r="W158" s="21" t="s">
        <v>853</v>
      </c>
    </row>
    <row r="159" spans="2:32" ht="19.5" customHeight="1">
      <c r="B159" s="1510"/>
      <c r="C159" s="1511"/>
      <c r="D159" s="1506" t="s">
        <v>446</v>
      </c>
      <c r="E159" s="1507"/>
      <c r="F159" s="1475"/>
      <c r="G159" s="1476"/>
      <c r="H159" s="1476"/>
      <c r="I159" s="1476"/>
      <c r="J159" s="1476"/>
      <c r="K159" s="1476"/>
      <c r="L159" s="1476"/>
      <c r="M159" s="1476"/>
      <c r="N159" s="1476"/>
      <c r="O159" s="1476"/>
      <c r="P159" s="1476"/>
      <c r="Q159" s="1476"/>
      <c r="R159" s="1476"/>
      <c r="S159" s="1476"/>
      <c r="T159" s="1477"/>
      <c r="V159" s="1460" t="s">
        <v>1732</v>
      </c>
      <c r="W159" s="36" t="s">
        <v>854</v>
      </c>
    </row>
    <row r="160" spans="2:32" s="4" customFormat="1" ht="7.5" customHeight="1">
      <c r="B160" s="14"/>
      <c r="C160" s="14"/>
      <c r="D160" s="14"/>
      <c r="E160" s="14"/>
      <c r="F160" s="14"/>
      <c r="G160" s="14"/>
      <c r="H160" s="14"/>
      <c r="I160" s="14"/>
      <c r="J160" s="14"/>
      <c r="K160" s="13"/>
      <c r="L160" s="13"/>
      <c r="M160" s="13"/>
      <c r="N160" s="14"/>
      <c r="O160" s="14"/>
      <c r="P160" s="14"/>
      <c r="Q160" s="14"/>
      <c r="R160" s="14"/>
      <c r="S160" s="14"/>
      <c r="T160" s="14"/>
      <c r="U160" s="14"/>
      <c r="V160" s="1460"/>
      <c r="W160" s="49"/>
      <c r="X160" s="19"/>
      <c r="Y160" s="19"/>
      <c r="Z160" s="19"/>
      <c r="AA160" s="19"/>
      <c r="AB160" s="19"/>
      <c r="AC160" s="19"/>
      <c r="AD160" s="19"/>
      <c r="AE160" s="19"/>
      <c r="AF160" s="19"/>
    </row>
    <row r="161" spans="2:32" ht="15" customHeight="1">
      <c r="B161" s="15" t="s">
        <v>859</v>
      </c>
      <c r="C161" s="15"/>
      <c r="D161" s="15"/>
      <c r="V161" s="1460"/>
    </row>
    <row r="162" spans="2:32" ht="15" customHeight="1">
      <c r="B162" s="1482"/>
      <c r="C162" s="1483"/>
      <c r="D162" s="1483"/>
      <c r="E162" s="1484"/>
      <c r="F162" s="1482" t="s">
        <v>794</v>
      </c>
      <c r="G162" s="1483"/>
      <c r="H162" s="1483"/>
      <c r="I162" s="1483"/>
      <c r="J162" s="1483"/>
      <c r="K162" s="1484"/>
      <c r="L162" s="1479" t="s">
        <v>795</v>
      </c>
      <c r="M162" s="1480"/>
      <c r="N162" s="1480"/>
      <c r="O162" s="1480"/>
      <c r="P162" s="1480"/>
      <c r="Q162" s="1480"/>
      <c r="R162" s="1480"/>
      <c r="S162" s="1480"/>
      <c r="T162" s="1481"/>
    </row>
    <row r="163" spans="2:32" ht="15" customHeight="1" thickBot="1">
      <c r="B163" s="1525"/>
      <c r="C163" s="1526"/>
      <c r="D163" s="1526"/>
      <c r="E163" s="1527"/>
      <c r="F163" s="1482" t="s">
        <v>797</v>
      </c>
      <c r="G163" s="1483"/>
      <c r="H163" s="1483"/>
      <c r="I163" s="1482" t="s">
        <v>798</v>
      </c>
      <c r="J163" s="1483"/>
      <c r="K163" s="1484"/>
      <c r="L163" s="1482" t="s">
        <v>97</v>
      </c>
      <c r="M163" s="1483"/>
      <c r="N163" s="1484"/>
      <c r="O163" s="1482" t="s">
        <v>102</v>
      </c>
      <c r="P163" s="1483"/>
      <c r="Q163" s="1484"/>
      <c r="R163" s="1482" t="s">
        <v>123</v>
      </c>
      <c r="S163" s="1483"/>
      <c r="T163" s="1484"/>
      <c r="V163" s="531" t="s">
        <v>1733</v>
      </c>
      <c r="W163" s="23" t="s">
        <v>811</v>
      </c>
    </row>
    <row r="164" spans="2:32" ht="19.5" customHeight="1" thickTop="1">
      <c r="B164" s="1498" t="s">
        <v>860</v>
      </c>
      <c r="C164" s="1498"/>
      <c r="D164" s="1498"/>
      <c r="E164" s="1498"/>
      <c r="F164" s="1475"/>
      <c r="G164" s="1476"/>
      <c r="H164" s="1477"/>
      <c r="I164" s="1475"/>
      <c r="J164" s="1476"/>
      <c r="K164" s="1476"/>
      <c r="L164" s="1553"/>
      <c r="M164" s="1554"/>
      <c r="N164" s="1555"/>
      <c r="O164" s="1556"/>
      <c r="P164" s="1554"/>
      <c r="Q164" s="1555"/>
      <c r="R164" s="1556"/>
      <c r="S164" s="1554"/>
      <c r="T164" s="1557"/>
      <c r="V164" s="1460" t="s">
        <v>1734</v>
      </c>
      <c r="W164" s="21" t="s">
        <v>849</v>
      </c>
    </row>
    <row r="165" spans="2:32" ht="19.5" customHeight="1">
      <c r="B165" s="1498" t="s">
        <v>861</v>
      </c>
      <c r="C165" s="1498"/>
      <c r="D165" s="1498"/>
      <c r="E165" s="1498"/>
      <c r="F165" s="1475"/>
      <c r="G165" s="1476"/>
      <c r="H165" s="1476"/>
      <c r="I165" s="1475"/>
      <c r="J165" s="1476"/>
      <c r="K165" s="1476"/>
      <c r="L165" s="1563"/>
      <c r="M165" s="1476"/>
      <c r="N165" s="1477"/>
      <c r="O165" s="1475"/>
      <c r="P165" s="1476"/>
      <c r="Q165" s="1477"/>
      <c r="R165" s="1475"/>
      <c r="S165" s="1476"/>
      <c r="T165" s="1538"/>
      <c r="V165" s="1460"/>
      <c r="W165" s="21" t="s">
        <v>849</v>
      </c>
    </row>
    <row r="166" spans="2:32" ht="19.5" customHeight="1">
      <c r="B166" s="1498" t="s">
        <v>862</v>
      </c>
      <c r="C166" s="1498"/>
      <c r="D166" s="1498"/>
      <c r="E166" s="1498"/>
      <c r="F166" s="1475"/>
      <c r="G166" s="1476"/>
      <c r="H166" s="1477"/>
      <c r="I166" s="1475"/>
      <c r="J166" s="1476"/>
      <c r="K166" s="1477"/>
      <c r="L166" s="1563"/>
      <c r="M166" s="1476"/>
      <c r="N166" s="1477"/>
      <c r="O166" s="1475"/>
      <c r="P166" s="1476"/>
      <c r="Q166" s="1477"/>
      <c r="R166" s="1475"/>
      <c r="S166" s="1476"/>
      <c r="T166" s="1538"/>
      <c r="V166" s="1460"/>
      <c r="W166" s="21" t="s">
        <v>849</v>
      </c>
    </row>
    <row r="167" spans="2:32" ht="19.2" customHeight="1" thickBot="1">
      <c r="B167" s="1498" t="s">
        <v>863</v>
      </c>
      <c r="C167" s="1498"/>
      <c r="D167" s="1498"/>
      <c r="E167" s="1498"/>
      <c r="F167" s="1475"/>
      <c r="G167" s="1476"/>
      <c r="H167" s="1477"/>
      <c r="I167" s="1475"/>
      <c r="J167" s="1476"/>
      <c r="K167" s="1477"/>
      <c r="L167" s="1742"/>
      <c r="M167" s="1523"/>
      <c r="N167" s="1743"/>
      <c r="O167" s="1522"/>
      <c r="P167" s="1523"/>
      <c r="Q167" s="1743"/>
      <c r="R167" s="1522"/>
      <c r="S167" s="1523"/>
      <c r="T167" s="1524"/>
      <c r="V167" s="1460"/>
      <c r="W167" s="21" t="s">
        <v>849</v>
      </c>
    </row>
    <row r="168" spans="2:32" s="4" customFormat="1" ht="7.5" customHeight="1" thickTop="1">
      <c r="B168" s="14"/>
      <c r="C168" s="14"/>
      <c r="D168" s="14"/>
      <c r="E168" s="14"/>
      <c r="F168" s="14"/>
      <c r="G168" s="14"/>
      <c r="H168" s="14"/>
      <c r="I168" s="14"/>
      <c r="J168" s="14"/>
      <c r="K168" s="13"/>
      <c r="L168" s="13"/>
      <c r="M168" s="13"/>
      <c r="N168" s="14"/>
      <c r="O168" s="14"/>
      <c r="P168" s="14"/>
      <c r="Q168" s="14"/>
      <c r="R168" s="14"/>
      <c r="S168" s="14"/>
      <c r="T168" s="14"/>
      <c r="U168" s="14"/>
      <c r="V168" s="538"/>
      <c r="W168" s="49"/>
      <c r="X168" s="19"/>
      <c r="Y168" s="19"/>
      <c r="Z168" s="19"/>
      <c r="AA168" s="19"/>
      <c r="AB168" s="19"/>
      <c r="AC168" s="19"/>
      <c r="AD168" s="19"/>
      <c r="AE168" s="19"/>
      <c r="AF168" s="19"/>
    </row>
    <row r="169" spans="2:32" ht="15" customHeight="1">
      <c r="B169" s="15" t="s">
        <v>864</v>
      </c>
      <c r="C169" s="15"/>
      <c r="D169" s="15"/>
      <c r="W169" s="21" t="s">
        <v>865</v>
      </c>
    </row>
    <row r="170" spans="2:32" ht="15" customHeight="1">
      <c r="B170" s="1482"/>
      <c r="C170" s="1483"/>
      <c r="D170" s="1483"/>
      <c r="E170" s="1484"/>
      <c r="F170" s="1482" t="s">
        <v>794</v>
      </c>
      <c r="G170" s="1483"/>
      <c r="H170" s="1483"/>
      <c r="I170" s="1483"/>
      <c r="J170" s="1483"/>
      <c r="K170" s="1484"/>
      <c r="L170" s="1479" t="s">
        <v>795</v>
      </c>
      <c r="M170" s="1480"/>
      <c r="N170" s="1480"/>
      <c r="O170" s="1480"/>
      <c r="P170" s="1480"/>
      <c r="Q170" s="1480"/>
      <c r="R170" s="1480"/>
      <c r="S170" s="1480"/>
      <c r="T170" s="1481"/>
    </row>
    <row r="171" spans="2:32" ht="15" customHeight="1" thickBot="1">
      <c r="B171" s="1525"/>
      <c r="C171" s="1526"/>
      <c r="D171" s="1526"/>
      <c r="E171" s="1527"/>
      <c r="F171" s="1482" t="s">
        <v>797</v>
      </c>
      <c r="G171" s="1483"/>
      <c r="H171" s="1483"/>
      <c r="I171" s="1482" t="s">
        <v>798</v>
      </c>
      <c r="J171" s="1483"/>
      <c r="K171" s="1484"/>
      <c r="L171" s="1483" t="s">
        <v>97</v>
      </c>
      <c r="M171" s="1483"/>
      <c r="N171" s="1484"/>
      <c r="O171" s="1482" t="s">
        <v>102</v>
      </c>
      <c r="P171" s="1483"/>
      <c r="Q171" s="1484"/>
      <c r="R171" s="1482" t="s">
        <v>123</v>
      </c>
      <c r="S171" s="1483"/>
      <c r="T171" s="1484"/>
      <c r="V171" s="531" t="s">
        <v>1769</v>
      </c>
      <c r="W171" s="23" t="s">
        <v>1464</v>
      </c>
    </row>
    <row r="172" spans="2:32" ht="39" customHeight="1" thickTop="1">
      <c r="B172" s="1564" t="s">
        <v>160</v>
      </c>
      <c r="C172" s="1565"/>
      <c r="D172" s="1565"/>
      <c r="E172" s="1566"/>
      <c r="F172" s="1475"/>
      <c r="G172" s="1476"/>
      <c r="H172" s="1477"/>
      <c r="I172" s="1532"/>
      <c r="J172" s="1532"/>
      <c r="K172" s="1533"/>
      <c r="L172" s="1720"/>
      <c r="M172" s="1720"/>
      <c r="N172" s="1722"/>
      <c r="O172" s="1719"/>
      <c r="P172" s="1720"/>
      <c r="Q172" s="1722"/>
      <c r="R172" s="1719"/>
      <c r="S172" s="1720"/>
      <c r="T172" s="1721"/>
      <c r="V172" s="1460" t="s">
        <v>1735</v>
      </c>
      <c r="W172" s="37" t="s">
        <v>1759</v>
      </c>
    </row>
    <row r="173" spans="2:32" ht="39" customHeight="1">
      <c r="B173" s="1564" t="s">
        <v>161</v>
      </c>
      <c r="C173" s="1565"/>
      <c r="D173" s="1565"/>
      <c r="E173" s="1566"/>
      <c r="F173" s="1475"/>
      <c r="G173" s="1476"/>
      <c r="H173" s="1477"/>
      <c r="I173" s="1532"/>
      <c r="J173" s="1532"/>
      <c r="K173" s="1533"/>
      <c r="L173" s="1493"/>
      <c r="M173" s="1493"/>
      <c r="N173" s="1494"/>
      <c r="O173" s="1492"/>
      <c r="P173" s="1493"/>
      <c r="Q173" s="1494"/>
      <c r="R173" s="1492"/>
      <c r="S173" s="1493"/>
      <c r="T173" s="1534"/>
      <c r="V173" s="1460"/>
      <c r="W173" s="37" t="s">
        <v>1760</v>
      </c>
    </row>
    <row r="174" spans="2:32" ht="39" customHeight="1">
      <c r="B174" s="1539" t="s">
        <v>162</v>
      </c>
      <c r="C174" s="1540"/>
      <c r="D174" s="1540"/>
      <c r="E174" s="1541"/>
      <c r="F174" s="1475"/>
      <c r="G174" s="1476"/>
      <c r="H174" s="1477"/>
      <c r="I174" s="1532"/>
      <c r="J174" s="1532"/>
      <c r="K174" s="1533"/>
      <c r="L174" s="1493"/>
      <c r="M174" s="1493"/>
      <c r="N174" s="1494"/>
      <c r="O174" s="1492"/>
      <c r="P174" s="1493"/>
      <c r="Q174" s="1494"/>
      <c r="R174" s="1492"/>
      <c r="S174" s="1493"/>
      <c r="T174" s="1534"/>
      <c r="V174" s="1460"/>
      <c r="W174" s="37"/>
    </row>
    <row r="175" spans="2:32" ht="24.75" customHeight="1">
      <c r="B175" s="1747" t="s">
        <v>1786</v>
      </c>
      <c r="C175" s="1748"/>
      <c r="D175" s="1749"/>
      <c r="E175" s="1750"/>
      <c r="F175" s="1732"/>
      <c r="G175" s="1733"/>
      <c r="H175" s="1734"/>
      <c r="I175" s="1738"/>
      <c r="J175" s="1739"/>
      <c r="K175" s="1740"/>
      <c r="L175" s="1520"/>
      <c r="M175" s="1513"/>
      <c r="N175" s="1518"/>
      <c r="O175" s="1512"/>
      <c r="P175" s="1513"/>
      <c r="Q175" s="1518"/>
      <c r="R175" s="1512"/>
      <c r="S175" s="1513"/>
      <c r="T175" s="1514"/>
      <c r="W175" s="37"/>
    </row>
    <row r="176" spans="2:32" ht="24.75" customHeight="1" thickBot="1">
      <c r="B176" s="1747"/>
      <c r="C176" s="1751"/>
      <c r="D176" s="1752"/>
      <c r="E176" s="1753"/>
      <c r="F176" s="1735"/>
      <c r="G176" s="1736"/>
      <c r="H176" s="1737"/>
      <c r="I176" s="1502"/>
      <c r="J176" s="1503"/>
      <c r="K176" s="1741"/>
      <c r="L176" s="1521"/>
      <c r="M176" s="1516"/>
      <c r="N176" s="1519"/>
      <c r="O176" s="1515"/>
      <c r="P176" s="1516"/>
      <c r="Q176" s="1519"/>
      <c r="R176" s="1515"/>
      <c r="S176" s="1516"/>
      <c r="T176" s="1517"/>
      <c r="W176" s="37"/>
    </row>
    <row r="177" spans="2:23" ht="15" customHeight="1" thickTop="1">
      <c r="B177" s="41" t="s">
        <v>866</v>
      </c>
      <c r="C177" s="11"/>
      <c r="D177" s="11"/>
      <c r="E177" s="11"/>
      <c r="F177" s="12"/>
      <c r="G177" s="12"/>
      <c r="H177" s="12"/>
      <c r="I177" s="12"/>
      <c r="J177" s="12"/>
      <c r="K177" s="12"/>
      <c r="L177" s="12"/>
      <c r="M177" s="12"/>
      <c r="N177" s="12"/>
      <c r="O177" s="12"/>
      <c r="P177" s="12"/>
      <c r="Q177" s="12"/>
      <c r="R177" s="12"/>
      <c r="S177" s="12"/>
      <c r="T177" s="12"/>
    </row>
    <row r="178" spans="2:23" s="317" customFormat="1" ht="7.5" hidden="1" customHeight="1" outlineLevel="1">
      <c r="B178" s="315"/>
      <c r="C178" s="315"/>
      <c r="D178" s="315"/>
      <c r="E178" s="315"/>
      <c r="F178" s="315"/>
      <c r="G178" s="315"/>
      <c r="H178" s="315"/>
      <c r="I178" s="315"/>
      <c r="J178" s="315"/>
      <c r="K178" s="316"/>
      <c r="L178" s="316"/>
      <c r="M178" s="316"/>
      <c r="N178" s="315"/>
      <c r="O178" s="315"/>
      <c r="P178" s="315"/>
      <c r="Q178" s="315"/>
      <c r="R178" s="315"/>
      <c r="S178" s="315"/>
      <c r="T178" s="315"/>
      <c r="U178" s="315"/>
      <c r="V178" s="538"/>
      <c r="W178" s="49"/>
    </row>
    <row r="179" spans="2:23" s="317" customFormat="1" ht="15" hidden="1" customHeight="1" outlineLevel="1">
      <c r="B179" s="315"/>
      <c r="C179" s="315"/>
      <c r="D179" s="315"/>
      <c r="E179" s="315"/>
      <c r="F179" s="315"/>
      <c r="G179" s="315"/>
      <c r="H179" s="315"/>
      <c r="I179" s="315"/>
      <c r="J179" s="315"/>
      <c r="K179" s="316"/>
      <c r="L179" s="316"/>
      <c r="M179" s="316"/>
      <c r="N179" s="315"/>
      <c r="O179" s="315"/>
      <c r="P179" s="315"/>
      <c r="Q179" s="315"/>
      <c r="R179" s="315"/>
      <c r="S179" s="315"/>
      <c r="T179" s="315"/>
      <c r="U179" s="315"/>
      <c r="V179" s="538"/>
      <c r="W179" s="49"/>
    </row>
    <row r="180" spans="2:23" s="307" customFormat="1" ht="15" hidden="1" customHeight="1" outlineLevel="1">
      <c r="B180" s="323" t="s">
        <v>867</v>
      </c>
      <c r="C180" s="323"/>
      <c r="D180" s="323"/>
      <c r="E180" s="323"/>
      <c r="F180" s="324"/>
      <c r="G180" s="324"/>
      <c r="H180" s="324"/>
      <c r="I180" s="324"/>
      <c r="J180" s="324"/>
      <c r="K180" s="324"/>
      <c r="L180" s="324"/>
      <c r="M180" s="324"/>
      <c r="N180" s="324"/>
      <c r="O180" s="324"/>
      <c r="P180" s="324"/>
      <c r="Q180" s="324"/>
      <c r="R180" s="324"/>
      <c r="S180" s="324"/>
      <c r="T180" s="324"/>
      <c r="V180" s="537"/>
      <c r="W180" s="21" t="s">
        <v>868</v>
      </c>
    </row>
    <row r="181" spans="2:23" s="307" customFormat="1" ht="15" hidden="1" customHeight="1" outlineLevel="1">
      <c r="B181" s="1535"/>
      <c r="C181" s="1536"/>
      <c r="D181" s="1536"/>
      <c r="E181" s="1537"/>
      <c r="F181" s="1535" t="s">
        <v>794</v>
      </c>
      <c r="G181" s="1536"/>
      <c r="H181" s="1536"/>
      <c r="I181" s="1536"/>
      <c r="J181" s="1536"/>
      <c r="K181" s="1537"/>
      <c r="L181" s="1545" t="s">
        <v>795</v>
      </c>
      <c r="M181" s="1546"/>
      <c r="N181" s="1546"/>
      <c r="O181" s="1546"/>
      <c r="P181" s="1546"/>
      <c r="Q181" s="1546"/>
      <c r="R181" s="1546"/>
      <c r="S181" s="1546"/>
      <c r="T181" s="1547"/>
      <c r="V181" s="531" t="s">
        <v>1736</v>
      </c>
      <c r="W181" s="21"/>
    </row>
    <row r="182" spans="2:23" s="307" customFormat="1" ht="15" hidden="1" customHeight="1" outlineLevel="1">
      <c r="B182" s="1542"/>
      <c r="C182" s="1543"/>
      <c r="D182" s="1543"/>
      <c r="E182" s="1544"/>
      <c r="F182" s="1535" t="s">
        <v>797</v>
      </c>
      <c r="G182" s="1536"/>
      <c r="H182" s="1536"/>
      <c r="I182" s="1535" t="s">
        <v>798</v>
      </c>
      <c r="J182" s="1536"/>
      <c r="K182" s="1537"/>
      <c r="L182" s="1535" t="s">
        <v>97</v>
      </c>
      <c r="M182" s="1536"/>
      <c r="N182" s="1537"/>
      <c r="O182" s="1535" t="s">
        <v>102</v>
      </c>
      <c r="P182" s="1536"/>
      <c r="Q182" s="1537"/>
      <c r="R182" s="1535" t="s">
        <v>123</v>
      </c>
      <c r="S182" s="1536"/>
      <c r="T182" s="1537"/>
      <c r="V182" s="550"/>
      <c r="W182" s="23" t="s">
        <v>1464</v>
      </c>
    </row>
    <row r="183" spans="2:23" s="307" customFormat="1" ht="19.5" hidden="1" customHeight="1" outlineLevel="1">
      <c r="B183" s="1728" t="s">
        <v>869</v>
      </c>
      <c r="C183" s="1728"/>
      <c r="D183" s="1728"/>
      <c r="E183" s="1728"/>
      <c r="F183" s="1528"/>
      <c r="G183" s="1529"/>
      <c r="H183" s="1530"/>
      <c r="I183" s="1528"/>
      <c r="J183" s="1529"/>
      <c r="K183" s="1529"/>
      <c r="L183" s="1531"/>
      <c r="M183" s="1531"/>
      <c r="N183" s="1531"/>
      <c r="O183" s="1531"/>
      <c r="P183" s="1531"/>
      <c r="Q183" s="1531"/>
      <c r="R183" s="1531"/>
      <c r="S183" s="1531"/>
      <c r="T183" s="1531"/>
      <c r="V183" s="550"/>
      <c r="W183" s="21" t="s">
        <v>849</v>
      </c>
    </row>
    <row r="184" spans="2:23" s="317" customFormat="1" ht="86.25" hidden="1" customHeight="1" outlineLevel="1">
      <c r="B184" s="1728" t="s">
        <v>870</v>
      </c>
      <c r="C184" s="1728"/>
      <c r="D184" s="1728"/>
      <c r="E184" s="1728"/>
      <c r="F184" s="1729"/>
      <c r="G184" s="1730"/>
      <c r="H184" s="1731"/>
      <c r="I184" s="1729"/>
      <c r="J184" s="1730"/>
      <c r="K184" s="1731"/>
      <c r="L184" s="1729"/>
      <c r="M184" s="1730"/>
      <c r="N184" s="1731"/>
      <c r="O184" s="1729"/>
      <c r="P184" s="1730"/>
      <c r="Q184" s="1731"/>
      <c r="R184" s="1744"/>
      <c r="S184" s="1745"/>
      <c r="T184" s="1746"/>
      <c r="U184" s="315"/>
      <c r="V184" s="550"/>
      <c r="W184" s="37" t="s">
        <v>1465</v>
      </c>
    </row>
    <row r="185" spans="2:23" collapsed="1">
      <c r="V185" s="550"/>
    </row>
    <row r="186" spans="2:23">
      <c r="V186" s="550"/>
    </row>
    <row r="187" spans="2:23">
      <c r="V187" s="531"/>
    </row>
    <row r="188" spans="2:23">
      <c r="V188" s="550"/>
    </row>
  </sheetData>
  <sheetProtection password="E7B8" sheet="1" formatCells="0"/>
  <mergeCells count="581">
    <mergeCell ref="B184:E184"/>
    <mergeCell ref="F184:H184"/>
    <mergeCell ref="I184:K184"/>
    <mergeCell ref="L184:N184"/>
    <mergeCell ref="O184:Q184"/>
    <mergeCell ref="B153:E154"/>
    <mergeCell ref="O166:Q166"/>
    <mergeCell ref="F175:H176"/>
    <mergeCell ref="I175:K176"/>
    <mergeCell ref="L154:N154"/>
    <mergeCell ref="L167:N167"/>
    <mergeCell ref="O167:Q167"/>
    <mergeCell ref="L153:T153"/>
    <mergeCell ref="R184:T184"/>
    <mergeCell ref="B183:E183"/>
    <mergeCell ref="B175:B176"/>
    <mergeCell ref="C175:E176"/>
    <mergeCell ref="B170:E171"/>
    <mergeCell ref="B173:E173"/>
    <mergeCell ref="B172:E172"/>
    <mergeCell ref="R166:T166"/>
    <mergeCell ref="I165:K165"/>
    <mergeCell ref="L165:N165"/>
    <mergeCell ref="O165:Q165"/>
    <mergeCell ref="L95:N95"/>
    <mergeCell ref="R95:T95"/>
    <mergeCell ref="B112:E112"/>
    <mergeCell ref="I154:K154"/>
    <mergeCell ref="B2:D2"/>
    <mergeCell ref="E2:F2"/>
    <mergeCell ref="H2:I2"/>
    <mergeCell ref="N2:O2"/>
    <mergeCell ref="B82:D82"/>
    <mergeCell ref="E82:K82"/>
    <mergeCell ref="L82:N82"/>
    <mergeCell ref="O82:Q82"/>
    <mergeCell ref="B80:D80"/>
    <mergeCell ref="E80:K80"/>
    <mergeCell ref="L80:N80"/>
    <mergeCell ref="O80:Q80"/>
    <mergeCell ref="I113:J113"/>
    <mergeCell ref="I98:J98"/>
    <mergeCell ref="O95:Q95"/>
    <mergeCell ref="I95:K95"/>
    <mergeCell ref="B97:E97"/>
    <mergeCell ref="C104:E104"/>
    <mergeCell ref="R78:T78"/>
    <mergeCell ref="B79:D79"/>
    <mergeCell ref="W90:W92"/>
    <mergeCell ref="W105:W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O96:Q96"/>
    <mergeCell ref="I110:K110"/>
    <mergeCell ref="L110:N110"/>
    <mergeCell ref="O110:Q110"/>
    <mergeCell ref="R110:T110"/>
    <mergeCell ref="F111:H111"/>
    <mergeCell ref="I111:K111"/>
    <mergeCell ref="E79:K79"/>
    <mergeCell ref="L79:N79"/>
    <mergeCell ref="O79:Q79"/>
    <mergeCell ref="R79:T79"/>
    <mergeCell ref="O154:Q154"/>
    <mergeCell ref="R154:T154"/>
    <mergeCell ref="C89:E89"/>
    <mergeCell ref="F89:K89"/>
    <mergeCell ref="B103:E103"/>
    <mergeCell ref="F103:K103"/>
    <mergeCell ref="B105:E105"/>
    <mergeCell ref="F105:K105"/>
    <mergeCell ref="B108:E109"/>
    <mergeCell ref="F108:K108"/>
    <mergeCell ref="R96:T96"/>
    <mergeCell ref="B98:E98"/>
    <mergeCell ref="F98:H98"/>
    <mergeCell ref="L98:M98"/>
    <mergeCell ref="O98:P98"/>
    <mergeCell ref="R98:S98"/>
    <mergeCell ref="B95:E96"/>
    <mergeCell ref="F95:H95"/>
    <mergeCell ref="I96:K96"/>
    <mergeCell ref="L96:N96"/>
    <mergeCell ref="L27:M27"/>
    <mergeCell ref="L32:N32"/>
    <mergeCell ref="O32:Q32"/>
    <mergeCell ref="R32:T32"/>
    <mergeCell ref="O27:P27"/>
    <mergeCell ref="R27:S27"/>
    <mergeCell ref="R82:T82"/>
    <mergeCell ref="B76:K76"/>
    <mergeCell ref="L76:T76"/>
    <mergeCell ref="B77:D77"/>
    <mergeCell ref="E77:K77"/>
    <mergeCell ref="L77:N77"/>
    <mergeCell ref="O77:Q77"/>
    <mergeCell ref="R77:T77"/>
    <mergeCell ref="R80:T80"/>
    <mergeCell ref="B81:D81"/>
    <mergeCell ref="E81:K81"/>
    <mergeCell ref="L81:N81"/>
    <mergeCell ref="O81:Q81"/>
    <mergeCell ref="R81:T81"/>
    <mergeCell ref="B78:D78"/>
    <mergeCell ref="E78:K78"/>
    <mergeCell ref="L78:N78"/>
    <mergeCell ref="O78:Q78"/>
    <mergeCell ref="E41:H41"/>
    <mergeCell ref="I41:J41"/>
    <mergeCell ref="L41:M41"/>
    <mergeCell ref="O41:P41"/>
    <mergeCell ref="R41:S41"/>
    <mergeCell ref="I39:K39"/>
    <mergeCell ref="L39:T39"/>
    <mergeCell ref="I40:K40"/>
    <mergeCell ref="L40:N40"/>
    <mergeCell ref="O40:Q40"/>
    <mergeCell ref="R40:T40"/>
    <mergeCell ref="E35:K35"/>
    <mergeCell ref="E34:K34"/>
    <mergeCell ref="E33:K33"/>
    <mergeCell ref="E32:K32"/>
    <mergeCell ref="B31:D31"/>
    <mergeCell ref="R23:S23"/>
    <mergeCell ref="L22:M22"/>
    <mergeCell ref="O22:P22"/>
    <mergeCell ref="B24:D25"/>
    <mergeCell ref="I24:J24"/>
    <mergeCell ref="I25:J25"/>
    <mergeCell ref="L25:M25"/>
    <mergeCell ref="O25:P25"/>
    <mergeCell ref="R25:S25"/>
    <mergeCell ref="L24:M24"/>
    <mergeCell ref="O24:P24"/>
    <mergeCell ref="R24:S24"/>
    <mergeCell ref="R22:S22"/>
    <mergeCell ref="L23:M23"/>
    <mergeCell ref="O23:P23"/>
    <mergeCell ref="B22:D23"/>
    <mergeCell ref="F27:G27"/>
    <mergeCell ref="I27:J27"/>
    <mergeCell ref="L35:N35"/>
    <mergeCell ref="R36:T36"/>
    <mergeCell ref="L36:N36"/>
    <mergeCell ref="O36:Q36"/>
    <mergeCell ref="L30:T30"/>
    <mergeCell ref="L31:N31"/>
    <mergeCell ref="O31:Q31"/>
    <mergeCell ref="R31:T31"/>
    <mergeCell ref="L33:N33"/>
    <mergeCell ref="O33:Q33"/>
    <mergeCell ref="R33:T33"/>
    <mergeCell ref="O35:Q35"/>
    <mergeCell ref="R35:T35"/>
    <mergeCell ref="L34:N34"/>
    <mergeCell ref="O34:Q34"/>
    <mergeCell ref="L26:M26"/>
    <mergeCell ref="O26:P26"/>
    <mergeCell ref="R26:S26"/>
    <mergeCell ref="B3:K3"/>
    <mergeCell ref="B4:K4"/>
    <mergeCell ref="B5:K5"/>
    <mergeCell ref="L4:N4"/>
    <mergeCell ref="O4:Q4"/>
    <mergeCell ref="R4:T4"/>
    <mergeCell ref="L5:N5"/>
    <mergeCell ref="O5:Q5"/>
    <mergeCell ref="R5:T5"/>
    <mergeCell ref="L20:M20"/>
    <mergeCell ref="O20:P20"/>
    <mergeCell ref="R20:S20"/>
    <mergeCell ref="L18:T18"/>
    <mergeCell ref="F19:H19"/>
    <mergeCell ref="I19:K19"/>
    <mergeCell ref="L19:N19"/>
    <mergeCell ref="I21:J21"/>
    <mergeCell ref="R21:S21"/>
    <mergeCell ref="I15:J15"/>
    <mergeCell ref="I20:J20"/>
    <mergeCell ref="F21:G21"/>
    <mergeCell ref="B41:D41"/>
    <mergeCell ref="E31:K31"/>
    <mergeCell ref="B14:G14"/>
    <mergeCell ref="I14:J14"/>
    <mergeCell ref="F22:H23"/>
    <mergeCell ref="E15:G15"/>
    <mergeCell ref="I22:J22"/>
    <mergeCell ref="B18:E19"/>
    <mergeCell ref="I23:J23"/>
    <mergeCell ref="B20:D21"/>
    <mergeCell ref="F20:G20"/>
    <mergeCell ref="F18:K18"/>
    <mergeCell ref="B26:D27"/>
    <mergeCell ref="F26:G26"/>
    <mergeCell ref="I26:J26"/>
    <mergeCell ref="B39:D40"/>
    <mergeCell ref="E39:H40"/>
    <mergeCell ref="B30:K30"/>
    <mergeCell ref="B36:D36"/>
    <mergeCell ref="B35:D35"/>
    <mergeCell ref="B34:D34"/>
    <mergeCell ref="B33:D33"/>
    <mergeCell ref="B32:D32"/>
    <mergeCell ref="E36:K36"/>
    <mergeCell ref="O19:Q19"/>
    <mergeCell ref="R3:T3"/>
    <mergeCell ref="B6:T6"/>
    <mergeCell ref="B10:G10"/>
    <mergeCell ref="I10:J10"/>
    <mergeCell ref="E11:G11"/>
    <mergeCell ref="I11:J11"/>
    <mergeCell ref="B12:G12"/>
    <mergeCell ref="I12:J12"/>
    <mergeCell ref="E13:G13"/>
    <mergeCell ref="I13:J13"/>
    <mergeCell ref="L3:N3"/>
    <mergeCell ref="O3:Q3"/>
    <mergeCell ref="O45:P45"/>
    <mergeCell ref="R45:S45"/>
    <mergeCell ref="B44:D44"/>
    <mergeCell ref="E44:H44"/>
    <mergeCell ref="I44:J44"/>
    <mergeCell ref="L44:M44"/>
    <mergeCell ref="O44:P44"/>
    <mergeCell ref="R44:S44"/>
    <mergeCell ref="B45:D45"/>
    <mergeCell ref="E45:H45"/>
    <mergeCell ref="I45:J45"/>
    <mergeCell ref="L45:M45"/>
    <mergeCell ref="B43:D43"/>
    <mergeCell ref="E43:H43"/>
    <mergeCell ref="I43:J43"/>
    <mergeCell ref="L43:M43"/>
    <mergeCell ref="O43:P43"/>
    <mergeCell ref="R43:S43"/>
    <mergeCell ref="B42:D42"/>
    <mergeCell ref="E42:H42"/>
    <mergeCell ref="I42:J42"/>
    <mergeCell ref="L42:M42"/>
    <mergeCell ref="O42:P42"/>
    <mergeCell ref="B47:D47"/>
    <mergeCell ref="E47:H47"/>
    <mergeCell ref="I47:J47"/>
    <mergeCell ref="L47:M47"/>
    <mergeCell ref="O47:P47"/>
    <mergeCell ref="R47:S47"/>
    <mergeCell ref="B46:D46"/>
    <mergeCell ref="E46:H46"/>
    <mergeCell ref="I46:J46"/>
    <mergeCell ref="L46:M46"/>
    <mergeCell ref="O46:P46"/>
    <mergeCell ref="R46:S46"/>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B66:D67"/>
    <mergeCell ref="F66:G66"/>
    <mergeCell ref="I66:J66"/>
    <mergeCell ref="L66:M66"/>
    <mergeCell ref="O66:P66"/>
    <mergeCell ref="R66:S66"/>
    <mergeCell ref="F67:G67"/>
    <mergeCell ref="I67:J67"/>
    <mergeCell ref="L67:M67"/>
    <mergeCell ref="O67:P67"/>
    <mergeCell ref="B68:D69"/>
    <mergeCell ref="F68:H69"/>
    <mergeCell ref="I68:J68"/>
    <mergeCell ref="L68:M68"/>
    <mergeCell ref="O68:P68"/>
    <mergeCell ref="R68:S68"/>
    <mergeCell ref="I69:J69"/>
    <mergeCell ref="L69:M69"/>
    <mergeCell ref="O69:P69"/>
    <mergeCell ref="R69:S69"/>
    <mergeCell ref="B70:D71"/>
    <mergeCell ref="I70:J70"/>
    <mergeCell ref="L70:M70"/>
    <mergeCell ref="O70:P70"/>
    <mergeCell ref="R70:S70"/>
    <mergeCell ref="I71:J71"/>
    <mergeCell ref="L71:M71"/>
    <mergeCell ref="O71:P71"/>
    <mergeCell ref="R71:S71"/>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L73:M73"/>
    <mergeCell ref="O73:P73"/>
    <mergeCell ref="R73:S73"/>
    <mergeCell ref="B88:E88"/>
    <mergeCell ref="F88:K88"/>
    <mergeCell ref="B90:E90"/>
    <mergeCell ref="F90:K90"/>
    <mergeCell ref="B84:T84"/>
    <mergeCell ref="L111:N111"/>
    <mergeCell ref="O111:Q111"/>
    <mergeCell ref="L108:T108"/>
    <mergeCell ref="F109:H109"/>
    <mergeCell ref="I109:K109"/>
    <mergeCell ref="L109:N109"/>
    <mergeCell ref="O109:Q109"/>
    <mergeCell ref="R109:T109"/>
    <mergeCell ref="F97:H97"/>
    <mergeCell ref="I97:J97"/>
    <mergeCell ref="F104:K104"/>
    <mergeCell ref="B120:E120"/>
    <mergeCell ref="F120:G120"/>
    <mergeCell ref="I120:J120"/>
    <mergeCell ref="L120:M120"/>
    <mergeCell ref="O120:P120"/>
    <mergeCell ref="R120:S120"/>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F96:H96"/>
    <mergeCell ref="B128:E128"/>
    <mergeCell ref="F128:G128"/>
    <mergeCell ref="I128:J128"/>
    <mergeCell ref="L128:M128"/>
    <mergeCell ref="O128:P128"/>
    <mergeCell ref="R128:S128"/>
    <mergeCell ref="B126:E127"/>
    <mergeCell ref="F126:K126"/>
    <mergeCell ref="L126:T126"/>
    <mergeCell ref="F127:H127"/>
    <mergeCell ref="I127:K127"/>
    <mergeCell ref="L127:N127"/>
    <mergeCell ref="O127:Q127"/>
    <mergeCell ref="R127:T127"/>
    <mergeCell ref="B130:E130"/>
    <mergeCell ref="F130:G130"/>
    <mergeCell ref="I130:J130"/>
    <mergeCell ref="L130:M130"/>
    <mergeCell ref="O130:P130"/>
    <mergeCell ref="R130:S130"/>
    <mergeCell ref="B129:E129"/>
    <mergeCell ref="F129:G129"/>
    <mergeCell ref="I129:J129"/>
    <mergeCell ref="L129:M129"/>
    <mergeCell ref="O129:P129"/>
    <mergeCell ref="R129:S129"/>
    <mergeCell ref="B132:E132"/>
    <mergeCell ref="B131:E131"/>
    <mergeCell ref="F131:G131"/>
    <mergeCell ref="I131:J131"/>
    <mergeCell ref="L131:M131"/>
    <mergeCell ref="O131:P131"/>
    <mergeCell ref="R131:S131"/>
    <mergeCell ref="F132:G132"/>
    <mergeCell ref="I132:J132"/>
    <mergeCell ref="L132:M132"/>
    <mergeCell ref="O132:P132"/>
    <mergeCell ref="R132:S132"/>
    <mergeCell ref="L135:T135"/>
    <mergeCell ref="F136:H136"/>
    <mergeCell ref="I136:K136"/>
    <mergeCell ref="L136:N136"/>
    <mergeCell ref="O136:Q136"/>
    <mergeCell ref="R136:T136"/>
    <mergeCell ref="B137:E137"/>
    <mergeCell ref="F137:G137"/>
    <mergeCell ref="I137:J137"/>
    <mergeCell ref="L137:M137"/>
    <mergeCell ref="O137:P137"/>
    <mergeCell ref="R137:S137"/>
    <mergeCell ref="B145:E145"/>
    <mergeCell ref="F145:H145"/>
    <mergeCell ref="B146:E146"/>
    <mergeCell ref="F146:G146"/>
    <mergeCell ref="B143:E144"/>
    <mergeCell ref="F143:K143"/>
    <mergeCell ref="F144:H144"/>
    <mergeCell ref="B135:E136"/>
    <mergeCell ref="F135:K135"/>
    <mergeCell ref="I182:K182"/>
    <mergeCell ref="L182:N182"/>
    <mergeCell ref="O182:Q182"/>
    <mergeCell ref="O144:Q144"/>
    <mergeCell ref="R144:T144"/>
    <mergeCell ref="I146:J146"/>
    <mergeCell ref="L146:M146"/>
    <mergeCell ref="O146:P146"/>
    <mergeCell ref="R146:S146"/>
    <mergeCell ref="I145:K145"/>
    <mergeCell ref="L145:N145"/>
    <mergeCell ref="O145:Q145"/>
    <mergeCell ref="R145:T145"/>
    <mergeCell ref="I144:K144"/>
    <mergeCell ref="L144:N144"/>
    <mergeCell ref="I155:K155"/>
    <mergeCell ref="L155:N155"/>
    <mergeCell ref="O155:Q155"/>
    <mergeCell ref="R155:T155"/>
    <mergeCell ref="L164:N164"/>
    <mergeCell ref="O164:Q164"/>
    <mergeCell ref="R164:T164"/>
    <mergeCell ref="I166:K166"/>
    <mergeCell ref="L166:N166"/>
    <mergeCell ref="B162:E163"/>
    <mergeCell ref="I167:K167"/>
    <mergeCell ref="F183:H183"/>
    <mergeCell ref="I183:K183"/>
    <mergeCell ref="L183:N183"/>
    <mergeCell ref="O183:Q183"/>
    <mergeCell ref="R183:T183"/>
    <mergeCell ref="I173:K173"/>
    <mergeCell ref="L173:N173"/>
    <mergeCell ref="O173:Q173"/>
    <mergeCell ref="R173:T173"/>
    <mergeCell ref="F173:H173"/>
    <mergeCell ref="R182:T182"/>
    <mergeCell ref="R165:T165"/>
    <mergeCell ref="F174:H174"/>
    <mergeCell ref="I174:K174"/>
    <mergeCell ref="L174:N174"/>
    <mergeCell ref="O174:Q174"/>
    <mergeCell ref="R174:T174"/>
    <mergeCell ref="B174:E174"/>
    <mergeCell ref="B181:E182"/>
    <mergeCell ref="F181:K181"/>
    <mergeCell ref="L181:T181"/>
    <mergeCell ref="F182:H182"/>
    <mergeCell ref="R175:T176"/>
    <mergeCell ref="O175:Q176"/>
    <mergeCell ref="L175:N176"/>
    <mergeCell ref="F170:K170"/>
    <mergeCell ref="F171:H171"/>
    <mergeCell ref="F172:H172"/>
    <mergeCell ref="B167:E167"/>
    <mergeCell ref="F167:H167"/>
    <mergeCell ref="B165:E165"/>
    <mergeCell ref="F165:H165"/>
    <mergeCell ref="R167:T167"/>
    <mergeCell ref="B164:E164"/>
    <mergeCell ref="F164:H164"/>
    <mergeCell ref="B166:E166"/>
    <mergeCell ref="F166:H166"/>
    <mergeCell ref="F154:H154"/>
    <mergeCell ref="B147:E147"/>
    <mergeCell ref="F147:T147"/>
    <mergeCell ref="C148:E148"/>
    <mergeCell ref="F148:T148"/>
    <mergeCell ref="B156:E156"/>
    <mergeCell ref="F156:T156"/>
    <mergeCell ref="C157:E157"/>
    <mergeCell ref="F157:T157"/>
    <mergeCell ref="D149:E149"/>
    <mergeCell ref="D150:E150"/>
    <mergeCell ref="B149:C150"/>
    <mergeCell ref="B158:C159"/>
    <mergeCell ref="D158:E158"/>
    <mergeCell ref="F158:T158"/>
    <mergeCell ref="D159:E159"/>
    <mergeCell ref="F159:T159"/>
    <mergeCell ref="B155:E155"/>
    <mergeCell ref="F155:H155"/>
    <mergeCell ref="I164:K164"/>
    <mergeCell ref="W3:W5"/>
    <mergeCell ref="V20:V28"/>
    <mergeCell ref="V66:V74"/>
    <mergeCell ref="R97:S97"/>
    <mergeCell ref="O97:P97"/>
    <mergeCell ref="L97:M97"/>
    <mergeCell ref="V109:V114"/>
    <mergeCell ref="V118:V125"/>
    <mergeCell ref="V129:V132"/>
    <mergeCell ref="V10:V12"/>
    <mergeCell ref="V14:V15"/>
    <mergeCell ref="V56:V58"/>
    <mergeCell ref="V60:V62"/>
    <mergeCell ref="V94:V98"/>
    <mergeCell ref="R67:S67"/>
    <mergeCell ref="R42:S42"/>
    <mergeCell ref="W88:W89"/>
    <mergeCell ref="W103:W104"/>
    <mergeCell ref="R19:T19"/>
    <mergeCell ref="L21:M21"/>
    <mergeCell ref="O21:P21"/>
    <mergeCell ref="R34:T34"/>
    <mergeCell ref="V30:V34"/>
    <mergeCell ref="V76:V80"/>
    <mergeCell ref="F112:H112"/>
    <mergeCell ref="I112:J112"/>
    <mergeCell ref="L112:M112"/>
    <mergeCell ref="O112:P112"/>
    <mergeCell ref="R112:S112"/>
    <mergeCell ref="V172:V174"/>
    <mergeCell ref="L1:M1"/>
    <mergeCell ref="N1:P1"/>
    <mergeCell ref="Q1:R1"/>
    <mergeCell ref="V135:V140"/>
    <mergeCell ref="V144:V148"/>
    <mergeCell ref="V150:V151"/>
    <mergeCell ref="V154:V157"/>
    <mergeCell ref="V159:V161"/>
    <mergeCell ref="V164:V167"/>
    <mergeCell ref="S1:T1"/>
    <mergeCell ref="F24:H25"/>
    <mergeCell ref="F70:H71"/>
    <mergeCell ref="F150:T150"/>
    <mergeCell ref="F149:T149"/>
    <mergeCell ref="B139:T139"/>
    <mergeCell ref="L143:T143"/>
    <mergeCell ref="F162:K162"/>
    <mergeCell ref="F163:H163"/>
  </mergeCells>
  <phoneticPr fontId="4"/>
  <conditionalFormatting sqref="F146:G146 I146:J146 L146:M146 O146:P146 R146:S146">
    <cfRule type="expression" dxfId="12" priority="13">
      <formula>OR(F$145="無し",F$145="未定")</formula>
    </cfRule>
  </conditionalFormatting>
  <conditionalFormatting sqref="F148:T148">
    <cfRule type="expression" dxfId="11" priority="12">
      <formula>$F$147&lt;&gt;"その他"</formula>
    </cfRule>
  </conditionalFormatting>
  <conditionalFormatting sqref="F157:T157">
    <cfRule type="expression" dxfId="10" priority="11">
      <formula>$F$156&lt;&gt;"その他"</formula>
    </cfRule>
  </conditionalFormatting>
  <conditionalFormatting sqref="B3:K5 I12:K15 F20:K25 B32:K36 I58:K61 F66:K71 B78:K82 F88:K90 F103:K105 F110:K111 F120:K120 F128:K132 F137:K137 F145:K146 F155:K155 F164:K167 F172:K176 F95:K96 F98:K98 F97:I97 K97 F113:K113">
    <cfRule type="expression" dxfId="9" priority="43">
      <formula>OR($S$1&lt;=DATEVALUE($D$15+2&amp;"/3/31"),$S$1&gt;=DATEVALUE($D$15+3&amp;"/4/1"))</formula>
    </cfRule>
  </conditionalFormatting>
  <conditionalFormatting sqref="R3:T5 R20:T25 R32:T36 R66:T71 R78:T82 R95:T96 R110:T111 R120:T120 R128:T132 R137:T137 R145:T146 R155:T155 R164:T167 R172:T176 R98:T98 R97 T97 R113:T113">
    <cfRule type="expression" dxfId="8" priority="89">
      <formula>$S$1&lt;=DATEVALUE("2028/3/31")</formula>
    </cfRule>
  </conditionalFormatting>
  <conditionalFormatting sqref="F112:I112 K112">
    <cfRule type="expression" dxfId="7" priority="3">
      <formula>OR($S$1&lt;=DATEVALUE($D$15+2&amp;"/3/31"),$S$1&gt;=DATEVALUE($D$15+3&amp;"/4/1"))</formula>
    </cfRule>
  </conditionalFormatting>
  <conditionalFormatting sqref="L112 N112">
    <cfRule type="expression" dxfId="6" priority="4">
      <formula>OR($S$1&lt;=DATEVALUE("2026/3/31"),$S$1&gt;=DATEVALUE("2027/4/1"))</formula>
    </cfRule>
  </conditionalFormatting>
  <conditionalFormatting sqref="O112 Q112">
    <cfRule type="expression" dxfId="5" priority="5">
      <formula>OR($S$1&lt;=DATEVALUE("2027/3/31"),$S$1&gt;=DATEVALUE("2028/4/1"))</formula>
    </cfRule>
  </conditionalFormatting>
  <conditionalFormatting sqref="R112 T112">
    <cfRule type="expression" dxfId="4" priority="6">
      <formula>$S$1&lt;=DATEVALUE("2028/3/31")</formula>
    </cfRule>
  </conditionalFormatting>
  <dataValidations count="3">
    <dataValidation type="whole" operator="greaterThanOrEqual" allowBlank="1" showInputMessage="1" showErrorMessage="1" sqref="I137:J137 I120:J120 I128:J130">
      <formula1>0</formula1>
    </dataValidation>
    <dataValidation type="whole" allowBlank="1" showInputMessage="1" showErrorMessage="1" sqref="F146:G146 I146:J146 L146:M146 O146:P146 R146:S146">
      <formula1>2000</formula1>
      <formula2>2050</formula2>
    </dataValidation>
    <dataValidation operator="greaterThanOrEqual" allowBlank="1" showInputMessage="1" showErrorMessage="1" sqref="I12:J15 I58:J61 I20:J21 I66:J67"/>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&amp;R&amp;P/4</oddFooter>
  </headerFooter>
  <rowBreaks count="2" manualBreakCount="2">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61" id="{C9C580D3-72C6-492E-8557-17FA650DE189}">
            <xm:f>OR('B1.入力_第1面'!$H$39=2025,$S$1&lt;=DATEVALUE("2026/3/31"),$S$1&gt;=DATEVALUE("2027/4/1"))</xm:f>
            <x14:dxf>
              <fill>
                <patternFill>
                  <bgColor theme="0" tint="-0.14996795556505021"/>
                </patternFill>
              </fill>
            </x14:dxf>
          </x14:cfRule>
          <xm:sqref>L3:N5 L20:N25 L32:N36 L66:N71 L78:N82 L95:N96 L110:N111 L120:N120 L128:N132 L137:N137 L145:N146 L155:N155 L164:N167 L172:N176 L98:N98 L97 N97 L113:N113</xm:sqref>
        </x14:conditionalFormatting>
        <x14:conditionalFormatting xmlns:xm="http://schemas.microsoft.com/office/excel/2006/main">
          <x14:cfRule type="expression" priority="75" id="{C2D55895-74DA-47DC-9FF3-E32BB2423724}">
            <xm:f>OR('B1.入力_第1面'!$H$39=2026,$S$1&lt;=DATEVALUE("2027/3/31"),$S$1&gt;=DATEVALUE("2028/4/1"))</xm:f>
            <x14:dxf>
              <fill>
                <patternFill>
                  <bgColor theme="0" tint="-0.14996795556505021"/>
                </patternFill>
              </fill>
            </x14:dxf>
          </x14:cfRule>
          <xm:sqref>O3:Q5 O20:Q25 O32:Q36 O66:Q71 O78:Q82 O95:Q96 O110:Q111 O120:Q120 O128:Q132 O137:Q137 O145:Q146 O155:Q155 O164:Q167 O172:Q176 O98:Q98 O97 Q97 O113:Q113</xm:sqref>
        </x14:conditionalFormatting>
        <x14:conditionalFormatting xmlns:xm="http://schemas.microsoft.com/office/excel/2006/main">
          <x14:cfRule type="expression" priority="2" id="{4C11415D-2C82-43FA-B535-3E753698919A}">
            <xm:f>'B1.入力_第1面'!$E$23&lt;&gt;"■"</xm:f>
            <x14:dxf>
              <fill>
                <patternFill>
                  <bgColor theme="0" tint="-0.14996795556505021"/>
                </patternFill>
              </fill>
            </x14:dxf>
          </x14:cfRule>
          <xm:sqref>I12:J15 F20:T25 B32:T36 F88:K90 F95:T98 F120:T120</xm:sqref>
        </x14:conditionalFormatting>
        <x14:conditionalFormatting xmlns:xm="http://schemas.microsoft.com/office/excel/2006/main">
          <x14:cfRule type="expression" priority="1" id="{D8A3CEDB-B443-4007-92FF-F675E1A592BD}">
            <xm:f>'B1.入力_第1面'!$E$25&lt;&gt;"■"</xm:f>
            <x14:dxf>
              <fill>
                <patternFill>
                  <bgColor theme="0" tint="-0.14996795556505021"/>
                </patternFill>
              </fill>
            </x14:dxf>
          </x14:cfRule>
          <xm:sqref>I58:J61 F66:T71 B78:T82 F103:K105 F110:T113 F128:T132 F137:T137</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非表示_リスト!$G$132:$H$132</xm:f>
          </x14:formula1>
          <xm:sqref>F145:H145 L145:T145</xm:sqref>
        </x14:dataValidation>
        <x14:dataValidation type="list" allowBlank="1" showInputMessage="1" showErrorMessage="1">
          <x14:formula1>
            <xm:f>非表示_リスト!$G$133:$I$133</xm:f>
          </x14:formula1>
          <xm:sqref>I145:K145</xm:sqref>
        </x14:dataValidation>
        <x14:dataValidation type="list" allowBlank="1" showInputMessage="1" showErrorMessage="1">
          <x14:formula1>
            <xm:f>非表示_リスト!$G$134:$J$134</xm:f>
          </x14:formula1>
          <xm:sqref>F147:T147</xm:sqref>
        </x14:dataValidation>
        <x14:dataValidation type="list" allowBlank="1" showInputMessage="1" showErrorMessage="1">
          <x14:formula1>
            <xm:f>非表示_リスト!$G$137:$I$137</xm:f>
          </x14:formula1>
          <xm:sqref>F155:H155 L155:T155</xm:sqref>
        </x14:dataValidation>
        <x14:dataValidation type="list" allowBlank="1" showInputMessage="1" showErrorMessage="1">
          <x14:formula1>
            <xm:f>非表示_リスト!$G$138:$J$138</xm:f>
          </x14:formula1>
          <xm:sqref>I155:K155</xm:sqref>
        </x14:dataValidation>
        <x14:dataValidation type="list" allowBlank="1" showInputMessage="1" showErrorMessage="1">
          <x14:formula1>
            <xm:f>非表示_リスト!$G$139:$J$139</xm:f>
          </x14:formula1>
          <xm:sqref>F156:T156</xm:sqref>
        </x14:dataValidation>
        <x14:dataValidation type="list" allowBlank="1" showInputMessage="1" showErrorMessage="1">
          <x14:formula1>
            <xm:f>非表示_リスト!$G$142:$H$142</xm:f>
          </x14:formula1>
          <xm:sqref>F164:H167 L164:T167</xm:sqref>
        </x14:dataValidation>
        <x14:dataValidation type="list" allowBlank="1" showInputMessage="1" showErrorMessage="1">
          <x14:formula1>
            <xm:f>非表示_リスト!$G$143:$I$143</xm:f>
          </x14:formula1>
          <xm:sqref>I164:K167</xm:sqref>
        </x14:dataValidation>
        <x14:dataValidation type="list" allowBlank="1" showInputMessage="1" showErrorMessage="1">
          <x14:formula1>
            <xm:f>非表示_リスト!$G$146:$H$146</xm:f>
          </x14:formula1>
          <xm:sqref>F172:H176</xm:sqref>
        </x14:dataValidation>
        <x14:dataValidation type="list" allowBlank="1" showInputMessage="1" showErrorMessage="1">
          <x14:formula1>
            <xm:f>非表示_リスト!$G$147:$I$147</xm:f>
          </x14:formula1>
          <xm:sqref>I172:K176</xm:sqref>
        </x14:dataValidation>
        <x14:dataValidation type="list" allowBlank="1" showInputMessage="1" showErrorMessage="1">
          <x14:formula1>
            <xm:f>非表示_リスト!$G$148:$H$148</xm:f>
          </x14:formula1>
          <xm:sqref>L172:T176</xm:sqref>
        </x14:dataValidation>
        <x14:dataValidation type="list" allowBlank="1" showInputMessage="1" showErrorMessage="1">
          <x14:formula1>
            <xm:f>非表示_リスト!$G$112:$I$112</xm:f>
          </x14:formula1>
          <xm:sqref>L32:T34</xm:sqref>
        </x14:dataValidation>
        <x14:dataValidation type="list" allowBlank="1" showInputMessage="1" showErrorMessage="1">
          <x14:formula1>
            <xm:f>非表示_リスト!$G$120:$I$120</xm:f>
          </x14:formula1>
          <xm:sqref>L78:T80</xm:sqref>
        </x14:dataValidation>
        <x14:dataValidation type="list" allowBlank="1" showInputMessage="1" showErrorMessage="1">
          <x14:formula1>
            <xm:f>非表示_リスト!$G$111:$I$111</xm:f>
          </x14:formula1>
          <xm:sqref>B32:D34</xm:sqref>
        </x14:dataValidation>
        <x14:dataValidation type="list" allowBlank="1" showInputMessage="1" showErrorMessage="1">
          <x14:formula1>
            <xm:f>非表示_リスト!$G$119:$I$119</xm:f>
          </x14:formula1>
          <xm:sqref>B78:D80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0" tint="-0.14999847407452621"/>
    <pageSetUpPr fitToPage="1"/>
  </sheetPr>
  <dimension ref="A1:AA46"/>
  <sheetViews>
    <sheetView zoomScaleNormal="100" workbookViewId="0"/>
  </sheetViews>
  <sheetFormatPr defaultColWidth="8.69921875" defaultRowHeight="16.2" outlineLevelRow="1" outlineLevelCol="1"/>
  <cols>
    <col min="1" max="1" width="2.5" style="234" customWidth="1"/>
    <col min="2" max="2" width="15" style="232" customWidth="1"/>
    <col min="3" max="3" width="33" style="232" customWidth="1"/>
    <col min="4" max="4" width="9.59765625" style="232" customWidth="1"/>
    <col min="5" max="5" width="11.59765625" style="233" customWidth="1"/>
    <col min="6" max="6" width="5.59765625" style="233" customWidth="1"/>
    <col min="7" max="7" width="9.09765625" style="233" customWidth="1"/>
    <col min="8" max="9" width="5.69921875" style="233" customWidth="1"/>
    <col min="10" max="10" width="15.59765625" style="233" customWidth="1"/>
    <col min="11" max="11" width="5.59765625" style="233" customWidth="1"/>
    <col min="12" max="12" width="5.69921875" style="233" customWidth="1"/>
    <col min="13" max="13" width="6" style="241" hidden="1" customWidth="1" outlineLevel="1"/>
    <col min="14" max="14" width="6.69921875" style="234" customWidth="1" collapsed="1"/>
    <col min="15" max="15" width="7.69921875" style="233" customWidth="1"/>
    <col min="16" max="16" width="15.59765625" style="233" customWidth="1"/>
    <col min="17" max="18" width="5.69921875" style="234" customWidth="1"/>
    <col min="19" max="19" width="6.09765625" style="243" hidden="1" customWidth="1" outlineLevel="1"/>
    <col min="20" max="20" width="6.69921875" style="234" customWidth="1" collapsed="1"/>
    <col min="21" max="21" width="7.69921875" style="234" customWidth="1"/>
    <col min="22" max="22" width="15.59765625" style="234" customWidth="1"/>
    <col min="23" max="24" width="5.69921875" style="234" customWidth="1"/>
    <col min="25" max="25" width="6.09765625" style="243" hidden="1" customWidth="1" outlineLevel="1"/>
    <col min="26" max="26" width="6.69921875" style="234" customWidth="1" collapsed="1"/>
    <col min="27" max="27" width="7.69921875" style="234" customWidth="1"/>
    <col min="28" max="16384" width="8.69921875" style="234"/>
  </cols>
  <sheetData>
    <row r="1" spans="1:27" ht="39.9" customHeight="1">
      <c r="A1" s="529" t="s">
        <v>871</v>
      </c>
      <c r="M1" s="264" t="s">
        <v>1186</v>
      </c>
      <c r="S1" s="264" t="s">
        <v>1186</v>
      </c>
      <c r="Y1" s="264" t="s">
        <v>1186</v>
      </c>
    </row>
    <row r="2" spans="1:27" s="243" customFormat="1" hidden="1" outlineLevel="1">
      <c r="A2" s="237" t="s">
        <v>1186</v>
      </c>
      <c r="B2" s="238">
        <f ca="1">'B1.入力_第1面'!E23</f>
        <v>0</v>
      </c>
      <c r="C2" s="239" t="str">
        <f>'B1.入力_第1面'!F23</f>
        <v>工場等に関する削減計画</v>
      </c>
      <c r="D2" s="239" t="str">
        <f ca="1">'B1.入力_第1面'!I23</f>
        <v/>
      </c>
      <c r="E2" s="240" t="str">
        <f>'B1.入力_第1面'!J23</f>
        <v>部門</v>
      </c>
      <c r="F2" s="237" t="str">
        <f ca="1">IF(B2="■",H2,IF(B3="■",H2,"　"))</f>
        <v>　</v>
      </c>
      <c r="G2" s="241"/>
      <c r="H2" s="242" t="s">
        <v>211</v>
      </c>
      <c r="I2" s="242"/>
      <c r="J2" s="241"/>
      <c r="K2" s="241" t="s">
        <v>211</v>
      </c>
      <c r="L2" s="241"/>
      <c r="M2" s="241"/>
      <c r="O2" s="241"/>
      <c r="P2" s="241"/>
    </row>
    <row r="3" spans="1:27" s="243" customFormat="1" hidden="1" outlineLevel="1">
      <c r="A3" s="237" t="s">
        <v>1186</v>
      </c>
      <c r="B3" s="244"/>
      <c r="C3" s="245"/>
      <c r="D3" s="245"/>
      <c r="E3" s="246"/>
      <c r="F3" s="237" t="str">
        <f ca="1">IF(B4="■",H3,"")</f>
        <v/>
      </c>
      <c r="H3" s="242" t="s">
        <v>216</v>
      </c>
      <c r="I3" s="242"/>
      <c r="J3" s="241"/>
      <c r="K3" s="241" t="s">
        <v>212</v>
      </c>
      <c r="L3" s="241"/>
      <c r="M3" s="241"/>
      <c r="O3" s="241"/>
      <c r="P3" s="241"/>
    </row>
    <row r="4" spans="1:27" s="243" customFormat="1" hidden="1" outlineLevel="1">
      <c r="A4" s="237" t="s">
        <v>1186</v>
      </c>
      <c r="B4" s="247">
        <f ca="1">'B1.入力_第1面'!E25</f>
        <v>0</v>
      </c>
      <c r="C4" s="248" t="str">
        <f>'B1.入力_第1面'!F25</f>
        <v>自動車に関する削減計画</v>
      </c>
      <c r="D4" s="248" t="str">
        <f ca="1">'B1.入力_第1面'!I25</f>
        <v/>
      </c>
      <c r="E4" s="249" t="str">
        <f>'B1.入力_第1面'!J25</f>
        <v>部門</v>
      </c>
      <c r="H4" s="242"/>
      <c r="I4" s="242"/>
      <c r="J4" s="241"/>
      <c r="K4" s="241" t="s">
        <v>216</v>
      </c>
      <c r="L4" s="241"/>
      <c r="M4" s="241"/>
      <c r="O4" s="241"/>
      <c r="P4" s="241"/>
    </row>
    <row r="5" spans="1:27" s="243" customFormat="1" hidden="1" outlineLevel="1">
      <c r="A5" s="237" t="s">
        <v>1186</v>
      </c>
      <c r="B5" s="250"/>
      <c r="C5" s="250"/>
      <c r="D5" s="250"/>
      <c r="E5" s="241"/>
      <c r="F5" s="241"/>
      <c r="G5" s="242"/>
      <c r="H5" s="242"/>
      <c r="I5" s="242"/>
      <c r="J5" s="241"/>
      <c r="K5" s="241"/>
      <c r="L5" s="241"/>
      <c r="M5" s="241"/>
      <c r="O5" s="241"/>
      <c r="P5" s="241"/>
    </row>
    <row r="6" spans="1:27" s="235" customFormat="1" ht="19.8" collapsed="1">
      <c r="A6" s="251"/>
      <c r="B6" s="255" t="s">
        <v>1439</v>
      </c>
      <c r="C6" s="252"/>
      <c r="D6" s="252"/>
      <c r="E6" s="253"/>
      <c r="F6" s="253"/>
      <c r="G6" s="254"/>
      <c r="H6" s="254"/>
      <c r="I6" s="254"/>
      <c r="J6" s="253"/>
      <c r="K6" s="253"/>
      <c r="L6" s="251"/>
      <c r="M6" s="251"/>
      <c r="N6" s="251"/>
      <c r="O6" s="251"/>
      <c r="P6" s="251"/>
      <c r="Q6" s="251"/>
      <c r="R6" s="251"/>
      <c r="S6" s="251"/>
      <c r="T6" s="251"/>
      <c r="U6" s="251"/>
      <c r="V6" s="251"/>
      <c r="W6" s="251"/>
      <c r="X6" s="251"/>
      <c r="Y6" s="251"/>
      <c r="Z6" s="251"/>
      <c r="AA6" s="251"/>
    </row>
    <row r="7" spans="1:27" ht="18" customHeight="1">
      <c r="B7" s="1754" t="s">
        <v>872</v>
      </c>
      <c r="C7" s="1754"/>
      <c r="D7" s="1754"/>
      <c r="E7" s="1754"/>
      <c r="F7" s="1754"/>
      <c r="G7" s="564" t="s">
        <v>873</v>
      </c>
      <c r="H7" s="566">
        <f ca="1">'B1.入力_第1面'!C39</f>
        <v>2025</v>
      </c>
      <c r="I7" s="565" t="s">
        <v>60</v>
      </c>
      <c r="J7" s="1780" t="s">
        <v>874</v>
      </c>
      <c r="K7" s="1780"/>
      <c r="L7" s="1780"/>
      <c r="M7" s="567"/>
      <c r="N7" s="566">
        <f>'B1.入力_第1面'!P43</f>
        <v>2025</v>
      </c>
      <c r="O7" s="565" t="s">
        <v>60</v>
      </c>
      <c r="P7" s="1780" t="s">
        <v>875</v>
      </c>
      <c r="Q7" s="1780"/>
      <c r="R7" s="1780"/>
      <c r="S7" s="567"/>
      <c r="T7" s="566">
        <f>'B1.入力_第1面'!Z43</f>
        <v>2026</v>
      </c>
      <c r="U7" s="565" t="s">
        <v>60</v>
      </c>
      <c r="V7" s="1780" t="s">
        <v>876</v>
      </c>
      <c r="W7" s="1780"/>
      <c r="X7" s="1780"/>
      <c r="Y7" s="567"/>
      <c r="Z7" s="566">
        <f>'B1.入力_第1面'!AJ43</f>
        <v>2027</v>
      </c>
      <c r="AA7" s="565" t="s">
        <v>60</v>
      </c>
    </row>
    <row r="8" spans="1:27" ht="18" customHeight="1">
      <c r="B8" s="1755" t="s">
        <v>48</v>
      </c>
      <c r="C8" s="1755" t="s">
        <v>49</v>
      </c>
      <c r="D8" s="1755" t="s">
        <v>1187</v>
      </c>
      <c r="E8" s="1756" t="s">
        <v>882</v>
      </c>
      <c r="F8" s="1756" t="s">
        <v>883</v>
      </c>
      <c r="G8" s="1774" t="s">
        <v>877</v>
      </c>
      <c r="H8" s="1774"/>
      <c r="I8" s="1774"/>
      <c r="J8" s="1774" t="s">
        <v>877</v>
      </c>
      <c r="K8" s="1774" t="s">
        <v>878</v>
      </c>
      <c r="L8" s="1774"/>
      <c r="M8" s="1774" t="s">
        <v>879</v>
      </c>
      <c r="N8" s="1776" t="s">
        <v>880</v>
      </c>
      <c r="O8" s="1774" t="s">
        <v>881</v>
      </c>
      <c r="P8" s="1774" t="s">
        <v>877</v>
      </c>
      <c r="Q8" s="1774" t="s">
        <v>878</v>
      </c>
      <c r="R8" s="1774"/>
      <c r="S8" s="1774" t="s">
        <v>879</v>
      </c>
      <c r="T8" s="1776" t="s">
        <v>880</v>
      </c>
      <c r="U8" s="1774" t="s">
        <v>881</v>
      </c>
      <c r="V8" s="1774" t="s">
        <v>877</v>
      </c>
      <c r="W8" s="1774" t="s">
        <v>878</v>
      </c>
      <c r="X8" s="1774"/>
      <c r="Y8" s="1774" t="s">
        <v>879</v>
      </c>
      <c r="Z8" s="1776" t="s">
        <v>880</v>
      </c>
      <c r="AA8" s="1774" t="s">
        <v>881</v>
      </c>
    </row>
    <row r="9" spans="1:27" ht="18" customHeight="1">
      <c r="B9" s="1755"/>
      <c r="C9" s="1755"/>
      <c r="D9" s="1755"/>
      <c r="E9" s="1756"/>
      <c r="F9" s="1756"/>
      <c r="G9" s="1774"/>
      <c r="H9" s="1774"/>
      <c r="I9" s="1774"/>
      <c r="J9" s="1774"/>
      <c r="K9" s="563" t="s">
        <v>211</v>
      </c>
      <c r="L9" s="563" t="s">
        <v>212</v>
      </c>
      <c r="M9" s="1774"/>
      <c r="N9" s="1776"/>
      <c r="O9" s="1774"/>
      <c r="P9" s="1774"/>
      <c r="Q9" s="563" t="s">
        <v>211</v>
      </c>
      <c r="R9" s="563" t="s">
        <v>212</v>
      </c>
      <c r="S9" s="1774"/>
      <c r="T9" s="1776"/>
      <c r="U9" s="1774"/>
      <c r="V9" s="1774"/>
      <c r="W9" s="563" t="s">
        <v>211</v>
      </c>
      <c r="X9" s="563" t="s">
        <v>212</v>
      </c>
      <c r="Y9" s="1774"/>
      <c r="Z9" s="1776"/>
      <c r="AA9" s="1774"/>
    </row>
    <row r="10" spans="1:27" ht="25.2" customHeight="1">
      <c r="B10" s="1784" t="s">
        <v>884</v>
      </c>
      <c r="C10" s="1757" t="s">
        <v>1188</v>
      </c>
      <c r="D10" s="256" t="s">
        <v>800</v>
      </c>
      <c r="E10" s="1760" t="s">
        <v>885</v>
      </c>
      <c r="F10" s="265">
        <v>5</v>
      </c>
      <c r="G10" s="1781" t="str">
        <f ca="1">IFERROR('B2.入力_第2~4面'!I24/100,"")</f>
        <v/>
      </c>
      <c r="H10" s="1781"/>
      <c r="I10" s="1781"/>
      <c r="J10" s="266" t="str">
        <f ca="1">IFERROR(ROUND('B2.入力_第2~4面'!L24/100,3),"")</f>
        <v/>
      </c>
      <c r="K10" s="268" t="str">
        <f ca="1">IF($D$2=$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ー")</f>
        <v>ー</v>
      </c>
      <c r="L10" s="268" t="str">
        <f ca="1">IF($D$2=$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ー")</f>
        <v>ー</v>
      </c>
      <c r="M10" s="1777">
        <f ca="1">SUM(K10:L15)</f>
        <v>0</v>
      </c>
      <c r="N10" s="1772" t="str">
        <f ca="1">IF(J10="","",IF(M10&gt;=非表示_評価基準!O5,非表示_評価基準!Q5,IF(M10&gt;=非表示_評価基準!O12,非表示_評価基準!Q12,非表示_評価基準!Q15)))</f>
        <v/>
      </c>
      <c r="O10" s="1769" t="str">
        <f ca="1">非表示_評価基準!R22</f>
        <v/>
      </c>
      <c r="P10" s="266" t="str">
        <f ca="1">IFERROR(ROUND('B2.入力_第2~4面'!O24/100,3),"")</f>
        <v/>
      </c>
      <c r="Q10" s="268" t="str">
        <f ca="1">IF($D$2=$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ー")</f>
        <v>ー</v>
      </c>
      <c r="R10" s="268" t="str">
        <f ca="1">IF($D$2=$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ー")</f>
        <v>ー</v>
      </c>
      <c r="S10" s="1777">
        <f ca="1">SUM(Q10:R15)</f>
        <v>0</v>
      </c>
      <c r="T10" s="1772" t="str">
        <f ca="1">IF(P10="","",IF(S10&gt;=非表示_評価基準!O5,非表示_評価基準!Q5,IF(S10&gt;=非表示_評価基準!O12,非表示_評価基準!Q12,非表示_評価基準!Q15)))</f>
        <v/>
      </c>
      <c r="U10" s="1769" t="str">
        <f ca="1">非表示_評価基準!R30</f>
        <v/>
      </c>
      <c r="V10" s="266" t="str">
        <f>IFERROR(ROUND('B2.入力_第2~4面'!R24/100,3),"")</f>
        <v/>
      </c>
      <c r="W10" s="268" t="str">
        <f ca="1">IF($D$2=$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ー")</f>
        <v>ー</v>
      </c>
      <c r="X10" s="268" t="str">
        <f ca="1">IF($D$2=$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ー")</f>
        <v>ー</v>
      </c>
      <c r="Y10" s="1777">
        <f ca="1">SUM(W10:X15)</f>
        <v>0</v>
      </c>
      <c r="Z10" s="1772" t="str">
        <f>IF(V10="","",IF(Y10&gt;=非表示_評価基準!O5,非表示_評価基準!Q5,IF(Y10&gt;=非表示_評価基準!O12,非表示_評価基準!Q12,非表示_評価基準!Q15)))</f>
        <v/>
      </c>
      <c r="AA10" s="1769" t="str">
        <f>非表示_評価基準!R38</f>
        <v/>
      </c>
    </row>
    <row r="11" spans="1:27" ht="25.2" customHeight="1">
      <c r="B11" s="1784"/>
      <c r="C11" s="1757"/>
      <c r="D11" s="257" t="s">
        <v>116</v>
      </c>
      <c r="E11" s="1760"/>
      <c r="F11" s="265">
        <v>5</v>
      </c>
      <c r="G11" s="1781" t="str">
        <f ca="1">IFERROR('B2.入力_第2~4面'!I25/100,"")</f>
        <v/>
      </c>
      <c r="H11" s="1781"/>
      <c r="I11" s="1781"/>
      <c r="J11" s="266" t="str">
        <f ca="1">IFERROR(ROUND('B2.入力_第2~4面'!L25/100,3),"")</f>
        <v/>
      </c>
      <c r="K11" s="268" t="str">
        <f ca="1">IF($D$2=$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ー")</f>
        <v>ー</v>
      </c>
      <c r="L11" s="268" t="str">
        <f ca="1">IF($D$2=$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ー")</f>
        <v>ー</v>
      </c>
      <c r="M11" s="1777"/>
      <c r="N11" s="1772"/>
      <c r="O11" s="1769"/>
      <c r="P11" s="266" t="str">
        <f ca="1">IFERROR(ROUND('B2.入力_第2~4面'!O25/100,3),"")</f>
        <v/>
      </c>
      <c r="Q11" s="268" t="str">
        <f ca="1">IF($D$2=$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ー")</f>
        <v>ー</v>
      </c>
      <c r="R11" s="268" t="str">
        <f ca="1">IF($D$2=$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ー")</f>
        <v>ー</v>
      </c>
      <c r="S11" s="1777"/>
      <c r="T11" s="1772"/>
      <c r="U11" s="1769"/>
      <c r="V11" s="266" t="str">
        <f>IFERROR(ROUND('B2.入力_第2~4面'!R25/100,3),"")</f>
        <v/>
      </c>
      <c r="W11" s="268" t="str">
        <f ca="1">IF($D$2=$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ー")</f>
        <v>ー</v>
      </c>
      <c r="X11" s="268" t="str">
        <f ca="1">IF($D$2=$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ー")</f>
        <v>ー</v>
      </c>
      <c r="Y11" s="1777"/>
      <c r="Z11" s="1772"/>
      <c r="AA11" s="1769"/>
    </row>
    <row r="12" spans="1:27" s="243" customFormat="1" ht="25.2" hidden="1" customHeight="1" outlineLevel="1">
      <c r="B12" s="1784"/>
      <c r="C12" s="1773" t="s">
        <v>1189</v>
      </c>
      <c r="D12" s="293" t="s">
        <v>800</v>
      </c>
      <c r="E12" s="1759" t="s">
        <v>885</v>
      </c>
      <c r="F12" s="263">
        <v>5</v>
      </c>
      <c r="G12" s="1782" t="s">
        <v>1545</v>
      </c>
      <c r="H12" s="1782"/>
      <c r="I12" s="1782"/>
      <c r="J12" s="294" t="s">
        <v>1545</v>
      </c>
      <c r="K12" s="295" t="s">
        <v>33</v>
      </c>
      <c r="L12" s="295" t="s">
        <v>33</v>
      </c>
      <c r="M12" s="1777"/>
      <c r="N12" s="1772"/>
      <c r="O12" s="1769"/>
      <c r="P12" s="294" t="s">
        <v>1545</v>
      </c>
      <c r="Q12" s="295" t="s">
        <v>33</v>
      </c>
      <c r="R12" s="295" t="s">
        <v>33</v>
      </c>
      <c r="S12" s="1777"/>
      <c r="T12" s="1772"/>
      <c r="U12" s="1769"/>
      <c r="V12" s="294" t="s">
        <v>1545</v>
      </c>
      <c r="W12" s="295" t="s">
        <v>33</v>
      </c>
      <c r="X12" s="295" t="s">
        <v>33</v>
      </c>
      <c r="Y12" s="1777"/>
      <c r="Z12" s="1772"/>
      <c r="AA12" s="1769"/>
    </row>
    <row r="13" spans="1:27" s="243" customFormat="1" ht="25.2" hidden="1" customHeight="1" outlineLevel="1">
      <c r="B13" s="1784"/>
      <c r="C13" s="1773"/>
      <c r="D13" s="296" t="s">
        <v>116</v>
      </c>
      <c r="E13" s="1759"/>
      <c r="F13" s="263">
        <v>5</v>
      </c>
      <c r="G13" s="1782" t="s">
        <v>1545</v>
      </c>
      <c r="H13" s="1782"/>
      <c r="I13" s="1782"/>
      <c r="J13" s="294" t="s">
        <v>1545</v>
      </c>
      <c r="K13" s="295" t="s">
        <v>33</v>
      </c>
      <c r="L13" s="295" t="s">
        <v>33</v>
      </c>
      <c r="M13" s="1777"/>
      <c r="N13" s="1772"/>
      <c r="O13" s="1769"/>
      <c r="P13" s="294" t="s">
        <v>1545</v>
      </c>
      <c r="Q13" s="295" t="s">
        <v>33</v>
      </c>
      <c r="R13" s="295" t="s">
        <v>33</v>
      </c>
      <c r="S13" s="1777"/>
      <c r="T13" s="1772"/>
      <c r="U13" s="1769"/>
      <c r="V13" s="294" t="s">
        <v>1545</v>
      </c>
      <c r="W13" s="295" t="s">
        <v>33</v>
      </c>
      <c r="X13" s="295" t="s">
        <v>33</v>
      </c>
      <c r="Y13" s="1777"/>
      <c r="Z13" s="1772"/>
      <c r="AA13" s="1769"/>
    </row>
    <row r="14" spans="1:27" ht="25.2" customHeight="1" collapsed="1">
      <c r="B14" s="1784"/>
      <c r="C14" s="1757" t="s">
        <v>100</v>
      </c>
      <c r="D14" s="256" t="s">
        <v>800</v>
      </c>
      <c r="E14" s="1775" t="s">
        <v>886</v>
      </c>
      <c r="F14" s="265">
        <v>1</v>
      </c>
      <c r="G14" s="1783" t="str">
        <f ca="1">IFERROR(ROUND(1-'B2.入力_第2~4面'!I20/'B2.入力_第2~4面'!F20,3),"")</f>
        <v/>
      </c>
      <c r="H14" s="1783"/>
      <c r="I14" s="1783"/>
      <c r="J14" s="266" t="str">
        <f ca="1">IF(J10="","",G14)</f>
        <v/>
      </c>
      <c r="K14" s="268" t="str">
        <f ca="1">IF($D$2=$K$9,IF(J14&gt;=非表示_評価基準!AL29,非表示_評価基準!AO29,非表示_評価基準!AO30),"ー")</f>
        <v>ー</v>
      </c>
      <c r="L14" s="268" t="str">
        <f ca="1">IF($D$2=$L$9,IF(J14&gt;=非表示_評価基準!AM29,非表示_評価基準!AO29,非表示_評価基準!AO30),"ー")</f>
        <v>ー</v>
      </c>
      <c r="M14" s="1777"/>
      <c r="N14" s="1772"/>
      <c r="O14" s="1769"/>
      <c r="P14" s="266" t="str">
        <f ca="1">IF(P10="","",G14)</f>
        <v/>
      </c>
      <c r="Q14" s="268" t="str">
        <f ca="1">IF($D$2=$Q$9,IF($P14&gt;=非表示_評価基準!AL29,非表示_評価基準!AO29,非表示_評価基準!AO30),"ー")</f>
        <v>ー</v>
      </c>
      <c r="R14" s="268" t="str">
        <f ca="1">IF($D$2=$R$9,IF($P14&gt;=非表示_評価基準!AM29,非表示_評価基準!AO29,非表示_評価基準!AO30),"ー")</f>
        <v>ー</v>
      </c>
      <c r="S14" s="1777"/>
      <c r="T14" s="1772"/>
      <c r="U14" s="1769"/>
      <c r="V14" s="266" t="str">
        <f>IF(V10="","",G14)</f>
        <v/>
      </c>
      <c r="W14" s="268" t="str">
        <f ca="1">IF($D$2=$W$9,IF($V14&gt;=非表示_評価基準!AL29,非表示_評価基準!AO29,非表示_評価基準!AO30),"ー")</f>
        <v>ー</v>
      </c>
      <c r="X14" s="268" t="str">
        <f ca="1">IF($D$2=$X$9,IF($V14&gt;=非表示_評価基準!AM29,非表示_評価基準!AO29,非表示_評価基準!AO30),"ー")</f>
        <v>ー</v>
      </c>
      <c r="Y14" s="1777"/>
      <c r="Z14" s="1772"/>
      <c r="AA14" s="1769"/>
    </row>
    <row r="15" spans="1:27" ht="25.2" customHeight="1">
      <c r="B15" s="1784"/>
      <c r="C15" s="1757"/>
      <c r="D15" s="257" t="s">
        <v>116</v>
      </c>
      <c r="E15" s="1760"/>
      <c r="F15" s="265">
        <v>1</v>
      </c>
      <c r="G15" s="1783" t="str">
        <f ca="1">IFERROR(ROUND(1-'B2.入力_第2~4面'!I21/'B2.入力_第2~4面'!F21,3),"")</f>
        <v/>
      </c>
      <c r="H15" s="1783"/>
      <c r="I15" s="1783"/>
      <c r="J15" s="266" t="str">
        <f ca="1">IF(J11="","",G15)</f>
        <v/>
      </c>
      <c r="K15" s="268" t="str">
        <f ca="1">IF($D$2=$K$9,IF(J15&gt;=非表示_評価基準!AL29,非表示_評価基準!AO29,非表示_評価基準!AO30),"ー")</f>
        <v>ー</v>
      </c>
      <c r="L15" s="268" t="str">
        <f ca="1">IF($D$2=$L$9,IF(J15&gt;=非表示_評価基準!AM29,非表示_評価基準!AO29,非表示_評価基準!AO30),"ー")</f>
        <v>ー</v>
      </c>
      <c r="M15" s="1777"/>
      <c r="N15" s="1772"/>
      <c r="O15" s="1769"/>
      <c r="P15" s="266" t="str">
        <f ca="1">IF(P11="","",G15)</f>
        <v/>
      </c>
      <c r="Q15" s="268" t="str">
        <f ca="1">IF($D$2=$Q$9,IF($P15&gt;=非表示_評価基準!AL29,非表示_評価基準!AO29,非表示_評価基準!AO30),"ー")</f>
        <v>ー</v>
      </c>
      <c r="R15" s="268" t="str">
        <f ca="1">IF($D$2=$R$9,IF($P15&gt;=非表示_評価基準!AM29,非表示_評価基準!AO29,非表示_評価基準!AO30),"ー")</f>
        <v>ー</v>
      </c>
      <c r="S15" s="1777"/>
      <c r="T15" s="1772"/>
      <c r="U15" s="1769"/>
      <c r="V15" s="266" t="str">
        <f ca="1">IF(P11="","",G15)</f>
        <v/>
      </c>
      <c r="W15" s="268" t="str">
        <f ca="1">IF($D$2=$W$9,IF($V15&gt;=非表示_評価基準!AL29,非表示_評価基準!AO29,非表示_評価基準!AO30),"ー")</f>
        <v>ー</v>
      </c>
      <c r="X15" s="268" t="str">
        <f ca="1">IF($D$2=$X$9,IF($V15&gt;=非表示_評価基準!AM29,非表示_評価基準!AO29,非表示_評価基準!AO30),"ー")</f>
        <v>ー</v>
      </c>
      <c r="Y15" s="1777"/>
      <c r="Z15" s="1772"/>
      <c r="AA15" s="1769"/>
    </row>
    <row r="16" spans="1:27" ht="25.2" customHeight="1">
      <c r="B16" s="258" t="s">
        <v>118</v>
      </c>
      <c r="C16" s="269" t="s">
        <v>887</v>
      </c>
      <c r="D16" s="270"/>
      <c r="E16" s="236" t="s">
        <v>885</v>
      </c>
      <c r="F16" s="1768"/>
      <c r="G16" s="1779" t="str">
        <f>IFERROR('B2.入力_第2~4面'!I98/100,"")</f>
        <v/>
      </c>
      <c r="H16" s="1779"/>
      <c r="I16" s="1779"/>
      <c r="J16" s="271" t="str">
        <f ca="1">IF(J10="","",IFERROR('B2.入力_第2~4面'!L98/100,""))</f>
        <v/>
      </c>
      <c r="K16" s="268" t="str">
        <f ca="1">IF($D$2=$K$9,IF(J16&gt;=非表示_評価基準!AL34,非表示_評価基準!AO34,非表示_評価基準!AO35),"ー")</f>
        <v>ー</v>
      </c>
      <c r="L16" s="268" t="str">
        <f ca="1">IF($D$2=$L$9,IF(J16&gt;=非表示_評価基準!AM34,非表示_評価基準!AO34,非表示_評価基準!AO35),"ー")</f>
        <v>ー</v>
      </c>
      <c r="M16" s="1171" t="str">
        <f ca="1">IF($D$2=$K$9,IF(L16&gt;=非表示_評価基準!AN34,非表示_評価基準!AQ34,非表示_評価基準!AQ35),"")</f>
        <v/>
      </c>
      <c r="N16" s="1772">
        <f ca="1">SUM(M16:M24)</f>
        <v>0</v>
      </c>
      <c r="O16" s="1769"/>
      <c r="P16" s="271" t="str">
        <f ca="1">IF(P10="","",IFERROR('B2.入力_第2~4面'!O98/100,""))</f>
        <v/>
      </c>
      <c r="Q16" s="268" t="str">
        <f ca="1">IF($D$2=$Q$9,IF($P16&gt;=非表示_評価基準!AL34,非表示_評価基準!AO34,非表示_評価基準!AO35),"ー")</f>
        <v>ー</v>
      </c>
      <c r="R16" s="268" t="str">
        <f ca="1">IF($D$2=$R$9,IF($P16&gt;=非表示_評価基準!AM34,非表示_評価基準!AO34,非表示_評価基準!AO35),"ー")</f>
        <v>ー</v>
      </c>
      <c r="S16" s="272">
        <f ca="1">IF(Q16="○",1,0)+IF(R16="○",1,0)</f>
        <v>0</v>
      </c>
      <c r="T16" s="1772">
        <f ca="1">SUM(S16:S24)</f>
        <v>0</v>
      </c>
      <c r="U16" s="1769"/>
      <c r="V16" s="271" t="str">
        <f>IF(V10="","",IFERROR('B2.入力_第2~4面'!R98/100,""))</f>
        <v/>
      </c>
      <c r="W16" s="268" t="str">
        <f ca="1">IF($D$2=$W$9,IF($V16&gt;=非表示_評価基準!AL34,非表示_評価基準!AO34,非表示_評価基準!AO35),"ー")</f>
        <v>ー</v>
      </c>
      <c r="X16" s="268" t="str">
        <f ca="1">IF($D$2=$X$9,IF($V16&gt;=非表示_評価基準!AM34,非表示_評価基準!AO34,非表示_評価基準!AO35),"ー")</f>
        <v>ー</v>
      </c>
      <c r="Y16" s="272">
        <f ca="1">IF(W16="○",1,0)+IF(X16="○",1,0)</f>
        <v>0</v>
      </c>
      <c r="Z16" s="1772">
        <f ca="1">SUM(Y16:Y24)</f>
        <v>0</v>
      </c>
      <c r="AA16" s="1769"/>
    </row>
    <row r="17" spans="1:27" ht="25.2" customHeight="1">
      <c r="B17" s="258" t="s">
        <v>127</v>
      </c>
      <c r="C17" s="269" t="s">
        <v>1190</v>
      </c>
      <c r="D17" s="270"/>
      <c r="E17" s="236" t="s">
        <v>888</v>
      </c>
      <c r="F17" s="1768"/>
      <c r="G17" s="1779" t="str">
        <f>IF(ISBLANK('B2.入力_第2~4面'!I120),"",'B2.入力_第2~4面'!I120/100)</f>
        <v/>
      </c>
      <c r="H17" s="1779"/>
      <c r="I17" s="1779"/>
      <c r="J17" s="271" t="str">
        <f ca="1">IF(J10="","",IFERROR(ROUND('B2.入力_第2~4面'!L120/100,2),""))</f>
        <v/>
      </c>
      <c r="K17" s="1172" t="str">
        <f ca="1">IF($D$2=$K$9,IF(J17&gt;=非表示_評価基準!AL41,非表示_評価基準!AJ44,非表示_評価基準!AJ45),"ー")</f>
        <v>ー</v>
      </c>
      <c r="L17" s="1172" t="str">
        <f ca="1">IF($D$2=$L$9,IF(J17&gt;=非表示_評価基準!AM41,非表示_評価基準!AJ44,非表示_評価基準!AJ45),"ー")</f>
        <v>ー</v>
      </c>
      <c r="M17" s="272">
        <f ca="1">IF(K17="○",1,0)+IF(L17="○",1,0)</f>
        <v>0</v>
      </c>
      <c r="N17" s="1772"/>
      <c r="O17" s="1769"/>
      <c r="P17" s="271" t="str">
        <f ca="1">IF(P10="","",IFERROR(ROUND('B2.入力_第2~4面'!O120/100,2),""))</f>
        <v/>
      </c>
      <c r="Q17" s="1172" t="str">
        <f ca="1">IF($D$2=$Q$9,IF($P17&gt;=非表示_評価基準!AL42,非表示_評価基準!AJ44,非表示_評価基準!AJ45),"ー")</f>
        <v>ー</v>
      </c>
      <c r="R17" s="1172" t="str">
        <f ca="1">IF($D$2=$R$9,IF($P17&gt;=非表示_評価基準!AM42,非表示_評価基準!AJ44,非表示_評価基準!AJ45),"ー")</f>
        <v>ー</v>
      </c>
      <c r="S17" s="272">
        <f ca="1">IF(Q17="○",1,0)+IF(R17="○",1,0)</f>
        <v>0</v>
      </c>
      <c r="T17" s="1772"/>
      <c r="U17" s="1769"/>
      <c r="V17" s="271" t="str">
        <f>IF(V10="","",IFERROR(ROUND('B2.入力_第2~4面'!R120/100,2),""))</f>
        <v/>
      </c>
      <c r="W17" s="1172" t="str">
        <f ca="1">IF($D$2=$W$9,IF($V17&gt;=非表示_評価基準!AL43,非表示_評価基準!AJ44,非表示_評価基準!AJ45),"ー")</f>
        <v>ー</v>
      </c>
      <c r="X17" s="1172" t="str">
        <f ca="1">IF($D$2=$X$9,IF($V17&gt;=非表示_評価基準!AM43,非表示_評価基準!AJ44,非表示_評価基準!AJ45),"ー")</f>
        <v>ー</v>
      </c>
      <c r="Y17" s="272">
        <f ca="1">IF(W17="○",1,0)+IF(X17="○",1,0)</f>
        <v>0</v>
      </c>
      <c r="Z17" s="1772"/>
      <c r="AA17" s="1769"/>
    </row>
    <row r="18" spans="1:27" ht="25.2" customHeight="1">
      <c r="B18" s="258" t="s">
        <v>141</v>
      </c>
      <c r="C18" s="269" t="s">
        <v>1483</v>
      </c>
      <c r="D18" s="270"/>
      <c r="E18" s="236" t="s">
        <v>889</v>
      </c>
      <c r="F18" s="1768"/>
      <c r="G18" s="1778" t="str">
        <f ca="1">IF($F$2=$H$2,'B2.入力_第2~4面'!I145,"")</f>
        <v/>
      </c>
      <c r="H18" s="1778"/>
      <c r="I18" s="1778"/>
      <c r="J18" s="267" t="str">
        <f ca="1">IF(J10="","",IF($F$2=$H$2,'B2.入力_第2~4面'!L145,""))</f>
        <v/>
      </c>
      <c r="K18" s="268" t="str">
        <f ca="1">IF($D$2=$K$9,IF(J18=非表示_評価基準!G43,非表示_評価基準!I43,非表示_評価基準!I44),"ー")</f>
        <v>ー</v>
      </c>
      <c r="L18" s="268" t="str">
        <f ca="1">IF($D$2=$L$9,IF(J18=非表示_評価基準!G43,非表示_評価基準!I43,非表示_評価基準!I44),"ー")</f>
        <v>ー</v>
      </c>
      <c r="M18" s="272">
        <f ca="1">IF(K18="○",1,0)+IF(L18="○",1,0)</f>
        <v>0</v>
      </c>
      <c r="N18" s="1772"/>
      <c r="O18" s="1769"/>
      <c r="P18" s="267" t="str">
        <f ca="1">IF(P10="","",IF($F$2=$H$2,'B2.入力_第2~4面'!O145,""))</f>
        <v/>
      </c>
      <c r="Q18" s="268" t="str">
        <f ca="1">IF($D$2=$Q$9,IF($P18=非表示_評価基準!G43,非表示_評価基準!I43,非表示_評価基準!I44),"ー")</f>
        <v>ー</v>
      </c>
      <c r="R18" s="268" t="str">
        <f ca="1">IF($D$2=$R$9,IF($P18=非表示_評価基準!H43,非表示_評価基準!I43,非表示_評価基準!I44),"ー")</f>
        <v>ー</v>
      </c>
      <c r="S18" s="272">
        <f ca="1">IF(Q18="○",1,0)+IF(R18="○",1,0)</f>
        <v>0</v>
      </c>
      <c r="T18" s="1772"/>
      <c r="U18" s="1769"/>
      <c r="V18" s="267" t="str">
        <f>IF(V10="","",IF($F$2=$H$2,'B2.入力_第2~4面'!R145,""))</f>
        <v/>
      </c>
      <c r="W18" s="268" t="str">
        <f ca="1">IF($D$2=$W$9,IF($V18=非表示_評価基準!G43,非表示_評価基準!I43,非表示_評価基準!I44),"ー")</f>
        <v>ー</v>
      </c>
      <c r="X18" s="268" t="str">
        <f ca="1">IF($D$2=$X$9,IF($V18=非表示_評価基準!H43,非表示_評価基準!I43,非表示_評価基準!I44),"ー")</f>
        <v>ー</v>
      </c>
      <c r="Y18" s="272">
        <f ca="1">IF(W18="○",1,0)+IF(X18="○",1,0)</f>
        <v>0</v>
      </c>
      <c r="Z18" s="1772"/>
      <c r="AA18" s="1769"/>
    </row>
    <row r="19" spans="1:27" ht="25.2" customHeight="1">
      <c r="B19" s="1757" t="s">
        <v>144</v>
      </c>
      <c r="C19" s="273" t="s">
        <v>890</v>
      </c>
      <c r="D19" s="269"/>
      <c r="E19" s="236" t="s">
        <v>889</v>
      </c>
      <c r="F19" s="1768"/>
      <c r="G19" s="1778" t="str">
        <f ca="1">IF($F$2=$H$2,'B2.入力_第2~4面'!I155,"")</f>
        <v/>
      </c>
      <c r="H19" s="1778"/>
      <c r="I19" s="1778"/>
      <c r="J19" s="267" t="str">
        <f ca="1">IF(J10="","",IF($F$2=$H$2,'B2.入力_第2~4面'!L155,""))</f>
        <v/>
      </c>
      <c r="K19" s="268" t="s">
        <v>33</v>
      </c>
      <c r="L19" s="268" t="s">
        <v>33</v>
      </c>
      <c r="M19" s="1777">
        <f>IF(OR(K19="○",K20="○",K21="○",K22="○",K23="○",K24="○",L19="○",L20="○",L21="○",L22="○",L23="○",L24="○"),1,0)</f>
        <v>0</v>
      </c>
      <c r="N19" s="1772"/>
      <c r="O19" s="1769"/>
      <c r="P19" s="267" t="str">
        <f ca="1">IF(P10="","",IF($F$2=$H$2,'B2.入力_第2~4面'!O155,""))</f>
        <v/>
      </c>
      <c r="Q19" s="268" t="s">
        <v>33</v>
      </c>
      <c r="R19" s="268" t="s">
        <v>33</v>
      </c>
      <c r="S19" s="1777">
        <f>IF(OR(Q19="○",Q20="○",Q21="○",Q22="○",Q23="○",Q24="○",R19="○",R20="○",R21="○",R22="○",R23="○",R24="○"),1,0)</f>
        <v>0</v>
      </c>
      <c r="T19" s="1772"/>
      <c r="U19" s="1769"/>
      <c r="V19" s="267" t="str">
        <f>IF(V10="","",IF($F$2=$H$2,'B2.入力_第2~4面'!R155,""))</f>
        <v/>
      </c>
      <c r="W19" s="268" t="s">
        <v>33</v>
      </c>
      <c r="X19" s="268" t="s">
        <v>33</v>
      </c>
      <c r="Y19" s="1777">
        <f>IF(OR(W19="○",W20="○",W21="○",W22="○",W23="○",W24="○",X19="○",X20="○",X21="○",X22="○",X23="○",X24="○"),1,0)</f>
        <v>0</v>
      </c>
      <c r="Z19" s="1772"/>
      <c r="AA19" s="1769"/>
    </row>
    <row r="20" spans="1:27" ht="25.2" customHeight="1">
      <c r="B20" s="1757"/>
      <c r="C20" s="1757" t="s">
        <v>1484</v>
      </c>
      <c r="D20" s="262" t="s">
        <v>891</v>
      </c>
      <c r="E20" s="1760" t="s">
        <v>889</v>
      </c>
      <c r="F20" s="1768"/>
      <c r="G20" s="1778" t="str">
        <f ca="1">IF($F$2=$H$2,'B2.入力_第2~4面'!I164,"")</f>
        <v/>
      </c>
      <c r="H20" s="1778"/>
      <c r="I20" s="1778"/>
      <c r="J20" s="267" t="str">
        <f ca="1">IF(J10="","",IF($F$2=$H$2,'B2.入力_第2~4面'!L164,""))</f>
        <v/>
      </c>
      <c r="K20" s="268" t="s">
        <v>33</v>
      </c>
      <c r="L20" s="268" t="s">
        <v>33</v>
      </c>
      <c r="M20" s="1777"/>
      <c r="N20" s="1772"/>
      <c r="O20" s="1769"/>
      <c r="P20" s="267" t="str">
        <f ca="1">IF(P10="","",IF($F$2=$H$2,'B2.入力_第2~4面'!O164,""))</f>
        <v/>
      </c>
      <c r="Q20" s="268" t="s">
        <v>33</v>
      </c>
      <c r="R20" s="268" t="s">
        <v>33</v>
      </c>
      <c r="S20" s="1777"/>
      <c r="T20" s="1772"/>
      <c r="U20" s="1769"/>
      <c r="V20" s="267" t="str">
        <f>IF(V10="","",IF($F$2=$H$2,'B2.入力_第2~4面'!R164,""))</f>
        <v/>
      </c>
      <c r="W20" s="268" t="s">
        <v>33</v>
      </c>
      <c r="X20" s="268" t="s">
        <v>33</v>
      </c>
      <c r="Y20" s="1777"/>
      <c r="Z20" s="1772"/>
      <c r="AA20" s="1769"/>
    </row>
    <row r="21" spans="1:27" ht="25.2" customHeight="1">
      <c r="B21" s="1757"/>
      <c r="C21" s="1757"/>
      <c r="D21" s="262" t="s">
        <v>892</v>
      </c>
      <c r="E21" s="1760"/>
      <c r="F21" s="1768"/>
      <c r="G21" s="1778" t="str">
        <f ca="1">IF($F$2=$H$2,'B2.入力_第2~4面'!I165,"")</f>
        <v/>
      </c>
      <c r="H21" s="1778"/>
      <c r="I21" s="1778"/>
      <c r="J21" s="267" t="str">
        <f ca="1">IF(J10="","",IF($F$2=$H$2,'B2.入力_第2~4面'!L165,""))</f>
        <v/>
      </c>
      <c r="K21" s="268" t="s">
        <v>33</v>
      </c>
      <c r="L21" s="268" t="s">
        <v>33</v>
      </c>
      <c r="M21" s="1777"/>
      <c r="N21" s="1772"/>
      <c r="O21" s="1769"/>
      <c r="P21" s="267" t="str">
        <f ca="1">IF(P10="","",IF($F$2=$H$2,'B2.入力_第2~4面'!O165,""))</f>
        <v/>
      </c>
      <c r="Q21" s="268" t="s">
        <v>33</v>
      </c>
      <c r="R21" s="268" t="s">
        <v>33</v>
      </c>
      <c r="S21" s="1777"/>
      <c r="T21" s="1772"/>
      <c r="U21" s="1769"/>
      <c r="V21" s="267" t="str">
        <f>IF(V10="","",IF($F$2=$H$2,'B2.入力_第2~4面'!R165,""))</f>
        <v/>
      </c>
      <c r="W21" s="268" t="s">
        <v>33</v>
      </c>
      <c r="X21" s="268" t="s">
        <v>33</v>
      </c>
      <c r="Y21" s="1777"/>
      <c r="Z21" s="1772"/>
      <c r="AA21" s="1769"/>
    </row>
    <row r="22" spans="1:27" ht="25.2" customHeight="1">
      <c r="B22" s="1757"/>
      <c r="C22" s="1757"/>
      <c r="D22" s="262" t="s">
        <v>893</v>
      </c>
      <c r="E22" s="1760"/>
      <c r="F22" s="1768"/>
      <c r="G22" s="1778" t="str">
        <f ca="1">IF($F$2=$H$2,'B2.入力_第2~4面'!I166,"")</f>
        <v/>
      </c>
      <c r="H22" s="1778"/>
      <c r="I22" s="1778"/>
      <c r="J22" s="267" t="str">
        <f ca="1">IF(J10="","",IF($F$2=$H$2,'B2.入力_第2~4面'!L166,""))</f>
        <v/>
      </c>
      <c r="K22" s="268" t="s">
        <v>33</v>
      </c>
      <c r="L22" s="268" t="s">
        <v>33</v>
      </c>
      <c r="M22" s="1777"/>
      <c r="N22" s="1772"/>
      <c r="O22" s="1769"/>
      <c r="P22" s="267" t="str">
        <f ca="1">IF(P10="","",IF($F$2=$H$2,'B2.入力_第2~4面'!O166,""))</f>
        <v/>
      </c>
      <c r="Q22" s="268" t="s">
        <v>33</v>
      </c>
      <c r="R22" s="268" t="s">
        <v>33</v>
      </c>
      <c r="S22" s="1777"/>
      <c r="T22" s="1772"/>
      <c r="U22" s="1769"/>
      <c r="V22" s="267" t="str">
        <f>IF(V10="","",IF($F$2=$H$2,'B2.入力_第2~4面'!R166,""))</f>
        <v/>
      </c>
      <c r="W22" s="268" t="s">
        <v>33</v>
      </c>
      <c r="X22" s="268" t="s">
        <v>33</v>
      </c>
      <c r="Y22" s="1777"/>
      <c r="Z22" s="1772"/>
      <c r="AA22" s="1769"/>
    </row>
    <row r="23" spans="1:27" ht="25.2" customHeight="1">
      <c r="B23" s="1757"/>
      <c r="C23" s="1757"/>
      <c r="D23" s="262" t="s">
        <v>894</v>
      </c>
      <c r="E23" s="1760"/>
      <c r="F23" s="1768"/>
      <c r="G23" s="1778" t="str">
        <f ca="1">IF($F$2=$H$2,'B2.入力_第2~4面'!I167,"")</f>
        <v/>
      </c>
      <c r="H23" s="1778"/>
      <c r="I23" s="1778"/>
      <c r="J23" s="267" t="str">
        <f ca="1">IF(J10="","",IF($F$2=$H$2,'B2.入力_第2~4面'!L167,""))</f>
        <v/>
      </c>
      <c r="K23" s="268" t="s">
        <v>33</v>
      </c>
      <c r="L23" s="268" t="s">
        <v>33</v>
      </c>
      <c r="M23" s="1777"/>
      <c r="N23" s="1772"/>
      <c r="O23" s="1769"/>
      <c r="P23" s="267" t="str">
        <f ca="1">IF(P10="","",IF($F$2=$H$2,'B2.入力_第2~4面'!O167,""))</f>
        <v/>
      </c>
      <c r="Q23" s="268" t="s">
        <v>33</v>
      </c>
      <c r="R23" s="268" t="s">
        <v>33</v>
      </c>
      <c r="S23" s="1777"/>
      <c r="T23" s="1772"/>
      <c r="U23" s="1769"/>
      <c r="V23" s="267" t="str">
        <f>IF(V10="","",IF($F$2=$H$2,'B2.入力_第2~4面'!R167,""))</f>
        <v/>
      </c>
      <c r="W23" s="268" t="s">
        <v>33</v>
      </c>
      <c r="X23" s="268" t="s">
        <v>33</v>
      </c>
      <c r="Y23" s="1777"/>
      <c r="Z23" s="1772"/>
      <c r="AA23" s="1769"/>
    </row>
    <row r="24" spans="1:27" ht="25.2" customHeight="1">
      <c r="B24" s="1757"/>
      <c r="C24" s="1758" t="s">
        <v>1485</v>
      </c>
      <c r="D24" s="1758"/>
      <c r="E24" s="236" t="s">
        <v>889</v>
      </c>
      <c r="F24" s="1768"/>
      <c r="G24" s="1778" t="str">
        <f ca="1">IF($F$2=$H$2,非表示_評価基準!AK70,"")</f>
        <v/>
      </c>
      <c r="H24" s="1778"/>
      <c r="I24" s="1778"/>
      <c r="J24" s="267" t="str">
        <f ca="1">IF(J10="","",IF($F$2=$H$2,非表示_評価基準!AM70,""))</f>
        <v/>
      </c>
      <c r="K24" s="268" t="s">
        <v>33</v>
      </c>
      <c r="L24" s="268" t="s">
        <v>33</v>
      </c>
      <c r="M24" s="1777"/>
      <c r="N24" s="1772"/>
      <c r="O24" s="1769"/>
      <c r="P24" s="267" t="str">
        <f ca="1">IF(P10="","",IF($F$2=$H$2,非表示_評価基準!AO70,""))</f>
        <v/>
      </c>
      <c r="Q24" s="268" t="s">
        <v>33</v>
      </c>
      <c r="R24" s="268" t="s">
        <v>33</v>
      </c>
      <c r="S24" s="1777"/>
      <c r="T24" s="1772"/>
      <c r="U24" s="1769"/>
      <c r="V24" s="267" t="str">
        <f>IF(V10="","",IF($F$2=$H$2,非表示_評価基準!AR70,""))</f>
        <v/>
      </c>
      <c r="W24" s="268" t="s">
        <v>33</v>
      </c>
      <c r="X24" s="268" t="s">
        <v>33</v>
      </c>
      <c r="Y24" s="1777"/>
      <c r="Z24" s="1772"/>
      <c r="AA24" s="1769"/>
    </row>
    <row r="27" spans="1:27" s="235" customFormat="1" ht="19.8">
      <c r="A27" s="251"/>
      <c r="B27" s="255" t="s">
        <v>1440</v>
      </c>
      <c r="C27" s="252"/>
      <c r="D27" s="252"/>
      <c r="E27" s="253"/>
      <c r="F27" s="253"/>
      <c r="G27" s="253"/>
      <c r="H27" s="253"/>
      <c r="I27" s="253"/>
      <c r="J27" s="253"/>
      <c r="K27" s="253"/>
      <c r="L27" s="253"/>
      <c r="M27" s="253"/>
      <c r="N27" s="253"/>
      <c r="O27" s="253"/>
      <c r="P27" s="253"/>
      <c r="Q27" s="253"/>
      <c r="R27" s="253"/>
      <c r="S27" s="253"/>
      <c r="T27" s="253"/>
      <c r="U27" s="253"/>
      <c r="V27" s="253"/>
      <c r="W27" s="253"/>
      <c r="X27" s="253"/>
      <c r="Y27" s="253"/>
      <c r="Z27" s="251"/>
      <c r="AA27" s="251"/>
    </row>
    <row r="28" spans="1:27">
      <c r="B28" s="1754" t="s">
        <v>872</v>
      </c>
      <c r="C28" s="1754"/>
      <c r="D28" s="1754"/>
      <c r="E28" s="1754"/>
      <c r="F28" s="1754"/>
      <c r="G28" s="564" t="s">
        <v>895</v>
      </c>
      <c r="H28" s="566">
        <f ca="1">'B1.入力_第1面'!C39</f>
        <v>2025</v>
      </c>
      <c r="I28" s="565" t="s">
        <v>60</v>
      </c>
      <c r="J28" s="1780" t="s">
        <v>874</v>
      </c>
      <c r="K28" s="1780"/>
      <c r="L28" s="1780"/>
      <c r="M28" s="567"/>
      <c r="N28" s="566">
        <f>'B1.入力_第1面'!P43</f>
        <v>2025</v>
      </c>
      <c r="O28" s="565" t="s">
        <v>60</v>
      </c>
      <c r="P28" s="1780" t="s">
        <v>875</v>
      </c>
      <c r="Q28" s="1780"/>
      <c r="R28" s="1780"/>
      <c r="S28" s="567"/>
      <c r="T28" s="566">
        <f>'B1.入力_第1面'!Z43</f>
        <v>2026</v>
      </c>
      <c r="U28" s="565" t="s">
        <v>60</v>
      </c>
      <c r="V28" s="1780" t="s">
        <v>876</v>
      </c>
      <c r="W28" s="1780"/>
      <c r="X28" s="1780"/>
      <c r="Y28" s="567"/>
      <c r="Z28" s="566">
        <f>'B1.入力_第1面'!AJ43</f>
        <v>2027</v>
      </c>
      <c r="AA28" s="565" t="s">
        <v>60</v>
      </c>
    </row>
    <row r="29" spans="1:27" ht="15" customHeight="1">
      <c r="B29" s="1755" t="s">
        <v>48</v>
      </c>
      <c r="C29" s="1755" t="s">
        <v>49</v>
      </c>
      <c r="D29" s="1755" t="s">
        <v>1187</v>
      </c>
      <c r="E29" s="1756" t="s">
        <v>882</v>
      </c>
      <c r="F29" s="1756" t="s">
        <v>883</v>
      </c>
      <c r="G29" s="1774" t="s">
        <v>877</v>
      </c>
      <c r="H29" s="1774"/>
      <c r="I29" s="1774"/>
      <c r="J29" s="1774" t="s">
        <v>877</v>
      </c>
      <c r="K29" s="1774" t="s">
        <v>878</v>
      </c>
      <c r="L29" s="1774"/>
      <c r="M29" s="1774" t="s">
        <v>879</v>
      </c>
      <c r="N29" s="1776" t="s">
        <v>880</v>
      </c>
      <c r="O29" s="1774" t="s">
        <v>881</v>
      </c>
      <c r="P29" s="1774" t="s">
        <v>877</v>
      </c>
      <c r="Q29" s="1774" t="s">
        <v>878</v>
      </c>
      <c r="R29" s="1774"/>
      <c r="S29" s="1774" t="s">
        <v>879</v>
      </c>
      <c r="T29" s="1776" t="s">
        <v>880</v>
      </c>
      <c r="U29" s="1774" t="s">
        <v>881</v>
      </c>
      <c r="V29" s="1774" t="s">
        <v>877</v>
      </c>
      <c r="W29" s="1774" t="s">
        <v>878</v>
      </c>
      <c r="X29" s="1774"/>
      <c r="Y29" s="1774" t="s">
        <v>879</v>
      </c>
      <c r="Z29" s="1776" t="s">
        <v>880</v>
      </c>
      <c r="AA29" s="1774" t="s">
        <v>881</v>
      </c>
    </row>
    <row r="30" spans="1:27" ht="18" customHeight="1">
      <c r="B30" s="1755"/>
      <c r="C30" s="1755"/>
      <c r="D30" s="1755"/>
      <c r="E30" s="1756"/>
      <c r="F30" s="1756"/>
      <c r="G30" s="1774"/>
      <c r="H30" s="1774"/>
      <c r="I30" s="1774"/>
      <c r="J30" s="1774"/>
      <c r="K30" s="1774"/>
      <c r="L30" s="1774"/>
      <c r="M30" s="1774"/>
      <c r="N30" s="1776"/>
      <c r="O30" s="1774"/>
      <c r="P30" s="1774"/>
      <c r="Q30" s="1774"/>
      <c r="R30" s="1774"/>
      <c r="S30" s="1774"/>
      <c r="T30" s="1776"/>
      <c r="U30" s="1774"/>
      <c r="V30" s="1774"/>
      <c r="W30" s="1774"/>
      <c r="X30" s="1774"/>
      <c r="Y30" s="1774"/>
      <c r="Z30" s="1776"/>
      <c r="AA30" s="1774"/>
    </row>
    <row r="31" spans="1:27" ht="25.2" customHeight="1">
      <c r="B31" s="1757" t="s">
        <v>884</v>
      </c>
      <c r="C31" s="1757" t="s">
        <v>1188</v>
      </c>
      <c r="D31" s="256" t="s">
        <v>800</v>
      </c>
      <c r="E31" s="1760" t="s">
        <v>885</v>
      </c>
      <c r="F31" s="265">
        <v>5</v>
      </c>
      <c r="G31" s="1767" t="str">
        <f ca="1">IFERROR('B2.入力_第2~4面'!I70/100,"")</f>
        <v/>
      </c>
      <c r="H31" s="1767"/>
      <c r="I31" s="1767"/>
      <c r="J31" s="274" t="str">
        <f ca="1">IFERROR(ROUND('B2.入力_第2~4面'!L70/100,3),"")</f>
        <v/>
      </c>
      <c r="K31" s="1760" t="str">
        <f ca="1">IF($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1760"/>
      <c r="M31" s="1759">
        <f ca="1">SUM(K31:L36)</f>
        <v>0</v>
      </c>
      <c r="N31" s="1760" t="str">
        <f ca="1">IF(J31="","",IF(M31&gt;=非表示_評価基準!O5,非表示_評価基準!Q5,IF(M31&gt;=非表示_評価基準!O12,非表示_評価基準!Q12,非表示_評価基準!Q15)))</f>
        <v/>
      </c>
      <c r="O31" s="1769" t="str">
        <f ca="1">非表示_評価基準!R48</f>
        <v/>
      </c>
      <c r="P31" s="274" t="str">
        <f ca="1">IFERROR(ROUND('B2.入力_第2~4面'!O70/100,3),"")</f>
        <v/>
      </c>
      <c r="Q31" s="1760" t="str">
        <f ca="1">IF($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1760"/>
      <c r="S31" s="1759">
        <f ca="1">SUM(Q31:R36)</f>
        <v>0</v>
      </c>
      <c r="T31" s="1772" t="str">
        <f ca="1">IF(P31="","",IF(S31&gt;=非表示_評価基準!O5,非表示_評価基準!Q5,IF(S31&gt;=非表示_評価基準!O12,非表示_評価基準!Q12,非表示_評価基準!Q15)))</f>
        <v/>
      </c>
      <c r="U31" s="1769" t="str">
        <f ca="1">非表示_評価基準!R56</f>
        <v/>
      </c>
      <c r="V31" s="274" t="str">
        <f>IFERROR(ROUND('B2.入力_第2~4面'!R70/100,3),"")</f>
        <v/>
      </c>
      <c r="W31" s="1760" t="str">
        <f ca="1">IF($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1760"/>
      <c r="Y31" s="1759">
        <f ca="1">SUM(W31:X36)</f>
        <v>0</v>
      </c>
      <c r="Z31" s="1760" t="str">
        <f>IF(V31="","",IF(Y31&gt;=非表示_評価基準!O5,非表示_評価基準!Q5,IF(Y31&gt;=非表示_評価基準!O12,非表示_評価基準!Q12,非表示_評価基準!Q15)))</f>
        <v/>
      </c>
      <c r="AA31" s="1769" t="str">
        <f>非表示_評価基準!R64</f>
        <v/>
      </c>
    </row>
    <row r="32" spans="1:27" ht="25.2" customHeight="1">
      <c r="B32" s="1757"/>
      <c r="C32" s="1757"/>
      <c r="D32" s="257" t="s">
        <v>116</v>
      </c>
      <c r="E32" s="1760"/>
      <c r="F32" s="265">
        <v>5</v>
      </c>
      <c r="G32" s="1767" t="str">
        <f ca="1">IFERROR('B2.入力_第2~4面'!I71/100,"")</f>
        <v/>
      </c>
      <c r="H32" s="1767"/>
      <c r="I32" s="1767"/>
      <c r="J32" s="274" t="str">
        <f ca="1">IFERROR(ROUND('B2.入力_第2~4面'!L71/100,3),"")</f>
        <v/>
      </c>
      <c r="K32" s="1760" t="str">
        <f ca="1">IF($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1760"/>
      <c r="M32" s="1759"/>
      <c r="N32" s="1760"/>
      <c r="O32" s="1769"/>
      <c r="P32" s="274" t="str">
        <f ca="1">IFERROR(ROUND('B2.入力_第2~4面'!O71/100,3),"")</f>
        <v/>
      </c>
      <c r="Q32" s="1760" t="str">
        <f ca="1">IF($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1760"/>
      <c r="S32" s="1759"/>
      <c r="T32" s="1772"/>
      <c r="U32" s="1769"/>
      <c r="V32" s="274" t="str">
        <f>IFERROR(ROUND('B2.入力_第2~4面'!R71/100,3),"")</f>
        <v/>
      </c>
      <c r="W32" s="1760" t="str">
        <f ca="1">IF($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1760"/>
      <c r="Y32" s="1759"/>
      <c r="Z32" s="1760"/>
      <c r="AA32" s="1769"/>
    </row>
    <row r="33" spans="2:27" s="243" customFormat="1" ht="25.2" hidden="1" customHeight="1" outlineLevel="1">
      <c r="B33" s="1757"/>
      <c r="C33" s="1773" t="s">
        <v>1189</v>
      </c>
      <c r="D33" s="293" t="s">
        <v>800</v>
      </c>
      <c r="E33" s="1759" t="s">
        <v>885</v>
      </c>
      <c r="F33" s="263">
        <v>5</v>
      </c>
      <c r="G33" s="1770" t="s">
        <v>1545</v>
      </c>
      <c r="H33" s="1770"/>
      <c r="I33" s="1770"/>
      <c r="J33" s="297" t="s">
        <v>1545</v>
      </c>
      <c r="K33" s="1771" t="s">
        <v>33</v>
      </c>
      <c r="L33" s="1771"/>
      <c r="M33" s="1759"/>
      <c r="N33" s="1760"/>
      <c r="O33" s="1769"/>
      <c r="P33" s="297" t="s">
        <v>1545</v>
      </c>
      <c r="Q33" s="1771" t="s">
        <v>33</v>
      </c>
      <c r="R33" s="1771"/>
      <c r="S33" s="1759"/>
      <c r="T33" s="1772"/>
      <c r="U33" s="1769"/>
      <c r="V33" s="297" t="s">
        <v>1545</v>
      </c>
      <c r="W33" s="1771" t="s">
        <v>33</v>
      </c>
      <c r="X33" s="1771"/>
      <c r="Y33" s="1759"/>
      <c r="Z33" s="1760"/>
      <c r="AA33" s="1769"/>
    </row>
    <row r="34" spans="2:27" s="243" customFormat="1" ht="25.2" hidden="1" customHeight="1" outlineLevel="1">
      <c r="B34" s="1757"/>
      <c r="C34" s="1773"/>
      <c r="D34" s="296" t="s">
        <v>116</v>
      </c>
      <c r="E34" s="1759"/>
      <c r="F34" s="263">
        <v>5</v>
      </c>
      <c r="G34" s="1770" t="s">
        <v>1545</v>
      </c>
      <c r="H34" s="1770"/>
      <c r="I34" s="1770"/>
      <c r="J34" s="297" t="s">
        <v>1545</v>
      </c>
      <c r="K34" s="1771" t="s">
        <v>33</v>
      </c>
      <c r="L34" s="1771"/>
      <c r="M34" s="1759"/>
      <c r="N34" s="1760"/>
      <c r="O34" s="1769"/>
      <c r="P34" s="297" t="s">
        <v>1545</v>
      </c>
      <c r="Q34" s="1771" t="s">
        <v>33</v>
      </c>
      <c r="R34" s="1771"/>
      <c r="S34" s="1759"/>
      <c r="T34" s="1772"/>
      <c r="U34" s="1769"/>
      <c r="V34" s="297" t="s">
        <v>1545</v>
      </c>
      <c r="W34" s="1771" t="s">
        <v>33</v>
      </c>
      <c r="X34" s="1771"/>
      <c r="Y34" s="1759"/>
      <c r="Z34" s="1760"/>
      <c r="AA34" s="1769"/>
    </row>
    <row r="35" spans="2:27" ht="25.2" customHeight="1" collapsed="1">
      <c r="B35" s="1757"/>
      <c r="C35" s="1757" t="s">
        <v>100</v>
      </c>
      <c r="D35" s="256" t="s">
        <v>800</v>
      </c>
      <c r="E35" s="1775" t="s">
        <v>886</v>
      </c>
      <c r="F35" s="265">
        <v>1</v>
      </c>
      <c r="G35" s="1767" t="str">
        <f ca="1">IFERROR(ROUND(1-'B2.入力_第2~4面'!I66/'B2.入力_第2~4面'!F66,3),"")</f>
        <v/>
      </c>
      <c r="H35" s="1767"/>
      <c r="I35" s="1767"/>
      <c r="J35" s="274" t="str">
        <f ca="1">IF(J31="","",G35)</f>
        <v/>
      </c>
      <c r="K35" s="1760" t="str">
        <f ca="1">IF($D$4=$K$4,IF(J35&gt;=非表示_評価基準!AN29,非表示_評価基準!AO29,非表示_評価基準!AO30),"")</f>
        <v/>
      </c>
      <c r="L35" s="1760"/>
      <c r="M35" s="1759"/>
      <c r="N35" s="1760"/>
      <c r="O35" s="1769"/>
      <c r="P35" s="274" t="str">
        <f ca="1">IF(P31="","",G35)</f>
        <v/>
      </c>
      <c r="Q35" s="1760" t="str">
        <f ca="1">IF($D$4=$K$4,IF(P35&gt;=非表示_評価基準!AN29,非表示_評価基準!AO29,非表示_評価基準!AO30),"")</f>
        <v/>
      </c>
      <c r="R35" s="1760"/>
      <c r="S35" s="1759"/>
      <c r="T35" s="1772"/>
      <c r="U35" s="1769"/>
      <c r="V35" s="274" t="str">
        <f>IF(V31="","",G35)</f>
        <v/>
      </c>
      <c r="W35" s="1760" t="str">
        <f ca="1">IF($D$4=$K$4,IF(V35&gt;=非表示_評価基準!AN29,非表示_評価基準!AO29,非表示_評価基準!AO30),"")</f>
        <v/>
      </c>
      <c r="X35" s="1760"/>
      <c r="Y35" s="1759"/>
      <c r="Z35" s="1760"/>
      <c r="AA35" s="1769"/>
    </row>
    <row r="36" spans="2:27" ht="25.2" customHeight="1">
      <c r="B36" s="1757"/>
      <c r="C36" s="1757"/>
      <c r="D36" s="257" t="s">
        <v>116</v>
      </c>
      <c r="E36" s="1760"/>
      <c r="F36" s="265">
        <v>1</v>
      </c>
      <c r="G36" s="1767" t="str">
        <f ca="1">IFERROR(ROUND(1-'B2.入力_第2~4面'!I67/'B2.入力_第2~4面'!F67,3),"")</f>
        <v/>
      </c>
      <c r="H36" s="1767"/>
      <c r="I36" s="1767"/>
      <c r="J36" s="274" t="str">
        <f ca="1">IF(J32="","",G36)</f>
        <v/>
      </c>
      <c r="K36" s="1760" t="str">
        <f ca="1">IF($D$4=$K$4,IF(J36&gt;=非表示_評価基準!AN29,非表示_評価基準!AO29,非表示_評価基準!AO30),"")</f>
        <v/>
      </c>
      <c r="L36" s="1760"/>
      <c r="M36" s="1759"/>
      <c r="N36" s="1760"/>
      <c r="O36" s="1769"/>
      <c r="P36" s="274" t="str">
        <f ca="1">IF(P32="","",G36)</f>
        <v/>
      </c>
      <c r="Q36" s="1760" t="str">
        <f ca="1">IF($D$4=$K$4,IF(P36&gt;=非表示_評価基準!AN29,非表示_評価基準!AO29,非表示_評価基準!AO30),"")</f>
        <v/>
      </c>
      <c r="R36" s="1760"/>
      <c r="S36" s="1759"/>
      <c r="T36" s="1772"/>
      <c r="U36" s="1769"/>
      <c r="V36" s="274" t="str">
        <f>IF(V32="","",G36)</f>
        <v/>
      </c>
      <c r="W36" s="1760" t="str">
        <f ca="1">IF($D$4=$K$4,IF(V36&gt;=非表示_評価基準!AN29,非表示_評価基準!AO29,非表示_評価基準!AO30),"")</f>
        <v/>
      </c>
      <c r="X36" s="1760"/>
      <c r="Y36" s="1759"/>
      <c r="Z36" s="1760"/>
      <c r="AA36" s="1769"/>
    </row>
    <row r="37" spans="2:27" ht="25.2" customHeight="1">
      <c r="B37" s="277" t="s">
        <v>1433</v>
      </c>
      <c r="C37" s="259" t="s">
        <v>887</v>
      </c>
      <c r="D37" s="260"/>
      <c r="E37" s="236" t="s">
        <v>885</v>
      </c>
      <c r="F37" s="1768"/>
      <c r="G37" s="1763" t="str">
        <f>IFERROR('B2.入力_第2~4面'!I113/100,"")</f>
        <v/>
      </c>
      <c r="H37" s="1763"/>
      <c r="I37" s="1763"/>
      <c r="J37" s="275" t="str">
        <f ca="1">IF(J31="","",'B2.入力_第2~4面'!L113/100)</f>
        <v/>
      </c>
      <c r="K37" s="1760" t="str">
        <f ca="1">IF($D$4=$K$4,IF(J37&gt;=非表示_評価基準!AN34,非表示_評価基準!AO34,非表示_評価基準!AO35),"")</f>
        <v/>
      </c>
      <c r="L37" s="1760"/>
      <c r="M37" s="263">
        <f ca="1">IF(K37="○",1,0)</f>
        <v>0</v>
      </c>
      <c r="N37" s="1760">
        <f ca="1">SUM(M37:M46)</f>
        <v>0</v>
      </c>
      <c r="O37" s="1769"/>
      <c r="P37" s="275" t="str">
        <f ca="1">IF(P31="","",'B2.入力_第2~4面'!O113/100)</f>
        <v/>
      </c>
      <c r="Q37" s="1760" t="str">
        <f ca="1">IF($D$4=$K$4,IF(P37&gt;=非表示_評価基準!AN34,非表示_評価基準!AO34,非表示_評価基準!AO35),"")</f>
        <v/>
      </c>
      <c r="R37" s="1760"/>
      <c r="S37" s="263">
        <f ca="1">IF(Q37="○",1,0)</f>
        <v>0</v>
      </c>
      <c r="T37" s="1760">
        <f ca="1">SUM(S37:S46)</f>
        <v>0</v>
      </c>
      <c r="U37" s="1769"/>
      <c r="V37" s="275" t="str">
        <f>IF(V31="","",'B2.入力_第2~4面'!R113/100)</f>
        <v/>
      </c>
      <c r="W37" s="1760" t="str">
        <f ca="1">IF($D$4=$K$4,IF(V37&gt;=非表示_評価基準!AN34,非表示_評価基準!AO34,非表示_評価基準!AO35),"")</f>
        <v/>
      </c>
      <c r="X37" s="1760"/>
      <c r="Y37" s="263">
        <f ca="1">IF(W37="○",1,0)</f>
        <v>0</v>
      </c>
      <c r="Z37" s="1760">
        <f ca="1">SUM(Y37:Y46)</f>
        <v>0</v>
      </c>
      <c r="AA37" s="1769"/>
    </row>
    <row r="38" spans="2:27" ht="25.2" customHeight="1">
      <c r="B38" s="1757" t="s">
        <v>1434</v>
      </c>
      <c r="C38" s="261" t="s">
        <v>1435</v>
      </c>
      <c r="D38" s="278"/>
      <c r="E38" s="236" t="s">
        <v>888</v>
      </c>
      <c r="F38" s="1768"/>
      <c r="G38" s="1763" t="str">
        <f>IFERROR('B2.入力_第2~4面'!I132/100,"")</f>
        <v/>
      </c>
      <c r="H38" s="1763"/>
      <c r="I38" s="1763"/>
      <c r="J38" s="275" t="str">
        <f ca="1">IF(J31="","",ROUND('B2.入力_第2~4面'!L132/100,2))</f>
        <v/>
      </c>
      <c r="K38" s="1764" t="str">
        <f ca="1">IF($D$4=$K$4,IF(J38&gt;=非表示_評価基準!AL52,非表示_評価基準!AJ55,非表示_評価基準!AJ56),"")</f>
        <v/>
      </c>
      <c r="L38" s="1764"/>
      <c r="M38" s="1765">
        <f ca="1">IF(OR(K38="○",K39="○"),1,0)</f>
        <v>0</v>
      </c>
      <c r="N38" s="1760"/>
      <c r="O38" s="1769"/>
      <c r="P38" s="275" t="str">
        <f ca="1">IF(P31="","",ROUND('B2.入力_第2~4面'!O132/100,2))</f>
        <v/>
      </c>
      <c r="Q38" s="1764" t="str">
        <f ca="1">IF($D$4=$K$4,IF(P38&gt;=非表示_評価基準!AL52,非表示_評価基準!AJ55,非表示_評価基準!AJ56),"")</f>
        <v/>
      </c>
      <c r="R38" s="1764"/>
      <c r="S38" s="1765">
        <f ca="1">IF(OR(Q38="○",Q39="○"),1,0)</f>
        <v>0</v>
      </c>
      <c r="T38" s="1760"/>
      <c r="U38" s="1769"/>
      <c r="V38" s="275" t="str">
        <f>IF(V31="","",ROUND('B2.入力_第2~4面'!R132/100,2))</f>
        <v/>
      </c>
      <c r="W38" s="1764" t="str">
        <f ca="1">IF($D$4=$K$4,IF(V38&gt;=非表示_評価基準!AL52,非表示_評価基準!AJ55,非表示_評価基準!AJ56),"")</f>
        <v/>
      </c>
      <c r="X38" s="1764"/>
      <c r="Y38" s="1765">
        <f ca="1">IF(OR(W38="○",W39="○"),1,0)</f>
        <v>0</v>
      </c>
      <c r="Z38" s="1760"/>
      <c r="AA38" s="1769"/>
    </row>
    <row r="39" spans="2:27" ht="25.2" customHeight="1">
      <c r="B39" s="1757"/>
      <c r="C39" s="273" t="s">
        <v>1436</v>
      </c>
      <c r="D39" s="261"/>
      <c r="E39" s="236" t="s">
        <v>896</v>
      </c>
      <c r="F39" s="1768"/>
      <c r="G39" s="1766" t="str">
        <f>IF(ISBLANK('B2.入力_第2~4面'!I137),"",'B2.入力_第2~4面'!I137)</f>
        <v/>
      </c>
      <c r="H39" s="1766"/>
      <c r="I39" s="1766"/>
      <c r="J39" s="276" t="str">
        <f ca="1">IF(J31="","",'B2.入力_第2~4面'!L137)</f>
        <v/>
      </c>
      <c r="K39" s="1764" t="str">
        <f ca="1">IF($D$4=$K$4,IF(J39&gt;=非表示_評価基準!AL61,非表示_評価基準!AJ64,非表示_評価基準!AJ65),"")</f>
        <v/>
      </c>
      <c r="L39" s="1764"/>
      <c r="M39" s="1765"/>
      <c r="N39" s="1760"/>
      <c r="O39" s="1769"/>
      <c r="P39" s="276" t="str">
        <f ca="1">IF(P31="","",'B2.入力_第2~4面'!O137)</f>
        <v/>
      </c>
      <c r="Q39" s="1764" t="str">
        <f ca="1">IF($D$4=$K$4,IF(P39&gt;=非表示_評価基準!AL61,非表示_評価基準!AJ64,非表示_評価基準!AJ65),"")</f>
        <v/>
      </c>
      <c r="R39" s="1764"/>
      <c r="S39" s="1765"/>
      <c r="T39" s="1760"/>
      <c r="U39" s="1769"/>
      <c r="V39" s="276" t="str">
        <f>IF(V31="","",'B2.入力_第2~4面'!R137)</f>
        <v/>
      </c>
      <c r="W39" s="1764" t="str">
        <f ca="1">IF($D$4=$K$4,IF(V39&gt;=非表示_評価基準!AL61,非表示_評価基準!AJ64,非表示_評価基準!AJ65),"")</f>
        <v/>
      </c>
      <c r="X39" s="1764"/>
      <c r="Y39" s="1765"/>
      <c r="Z39" s="1760"/>
      <c r="AA39" s="1769"/>
    </row>
    <row r="40" spans="2:27" ht="25.2" customHeight="1">
      <c r="B40" s="258" t="s">
        <v>1437</v>
      </c>
      <c r="C40" s="259" t="s">
        <v>897</v>
      </c>
      <c r="D40" s="260"/>
      <c r="E40" s="236" t="s">
        <v>889</v>
      </c>
      <c r="F40" s="1768"/>
      <c r="G40" s="1761" t="str">
        <f ca="1">IF($F$3=$H$3,'B2.入力_第2~4面'!I145,"")</f>
        <v/>
      </c>
      <c r="H40" s="1761"/>
      <c r="I40" s="1761"/>
      <c r="J40" s="275" t="str">
        <f ca="1">IF(J31="","",IF($F$3=$H$3,'B2.入力_第2~4面'!L145,""))</f>
        <v/>
      </c>
      <c r="K40" s="1760" t="str">
        <f ca="1">IF($D$4=$K$4,IF(J40=非表示_評価基準!G43,非表示_評価基準!I43,非表示_評価基準!I44),"")</f>
        <v/>
      </c>
      <c r="L40" s="1760"/>
      <c r="M40" s="263">
        <f ca="1">IF(K40="○",1,0)</f>
        <v>0</v>
      </c>
      <c r="N40" s="1760"/>
      <c r="O40" s="1769"/>
      <c r="P40" s="275" t="str">
        <f ca="1">IF(P31="","",IF($F$3=$H$3,'B2.入力_第2~4面'!O145,""))</f>
        <v/>
      </c>
      <c r="Q40" s="1760" t="str">
        <f ca="1">IF($D$4=$K$4,IF(P40=非表示_評価基準!G43,非表示_評価基準!I43,非表示_評価基準!I44),"")</f>
        <v/>
      </c>
      <c r="R40" s="1760"/>
      <c r="S40" s="263">
        <f ca="1">IF(Q40="○",1,0)</f>
        <v>0</v>
      </c>
      <c r="T40" s="1760"/>
      <c r="U40" s="1769"/>
      <c r="V40" s="275" t="str">
        <f>IF(V31="","",IF($F$3=$H$3,'B2.入力_第2~4面'!R145,""))</f>
        <v/>
      </c>
      <c r="W40" s="1760" t="str">
        <f ca="1">IF($D$4=$K$4,IF(V40=非表示_評価基準!G43,非表示_評価基準!I43,非表示_評価基準!I44),"")</f>
        <v/>
      </c>
      <c r="X40" s="1760"/>
      <c r="Y40" s="263">
        <f ca="1">IF(W40="○",1,0)</f>
        <v>0</v>
      </c>
      <c r="Z40" s="1760"/>
      <c r="AA40" s="1769"/>
    </row>
    <row r="41" spans="2:27" ht="25.2" customHeight="1">
      <c r="B41" s="1757" t="s">
        <v>1438</v>
      </c>
      <c r="C41" s="261" t="s">
        <v>898</v>
      </c>
      <c r="D41" s="260"/>
      <c r="E41" s="236" t="s">
        <v>889</v>
      </c>
      <c r="F41" s="1768"/>
      <c r="G41" s="1761" t="str">
        <f ca="1">IF($F$3=$H$3,'B2.入力_第2~4面'!I155,"")</f>
        <v/>
      </c>
      <c r="H41" s="1761"/>
      <c r="I41" s="1761"/>
      <c r="J41" s="275" t="str">
        <f ca="1">IF(J31="","",IF($F$3=$H$3,'B2.入力_第2~4面'!L155,""))</f>
        <v/>
      </c>
      <c r="K41" s="1762" t="s">
        <v>33</v>
      </c>
      <c r="L41" s="1762"/>
      <c r="M41" s="1759">
        <f>IF(OR(K41="○",K42="○",K43="○",K44="○",K45="○",K46="○"),1,0)</f>
        <v>0</v>
      </c>
      <c r="N41" s="1760"/>
      <c r="O41" s="1769"/>
      <c r="P41" s="275" t="str">
        <f ca="1">IF(P31="","",IF($F$3=$H$3,'B2.入力_第2~4面'!O155,""))</f>
        <v/>
      </c>
      <c r="Q41" s="1762" t="s">
        <v>33</v>
      </c>
      <c r="R41" s="1762"/>
      <c r="S41" s="1759">
        <f>IF(OR(Q41="○",Q42="○",Q43="○",Q44="○",Q45="○",Q46="○"),1,0)</f>
        <v>0</v>
      </c>
      <c r="T41" s="1760"/>
      <c r="U41" s="1769"/>
      <c r="V41" s="275" t="str">
        <f>IF(V31="","",IF($F$3=$H$3,'B2.入力_第2~4面'!R155,""))</f>
        <v/>
      </c>
      <c r="W41" s="1762" t="s">
        <v>33</v>
      </c>
      <c r="X41" s="1762"/>
      <c r="Y41" s="1759">
        <f>IF(OR(W41="○",W42="○",W43="○",W44="○",W45="○",W46="○"),1,0)</f>
        <v>0</v>
      </c>
      <c r="Z41" s="1760"/>
      <c r="AA41" s="1769"/>
    </row>
    <row r="42" spans="2:27" ht="25.2" customHeight="1">
      <c r="B42" s="1757"/>
      <c r="C42" s="1757" t="s">
        <v>899</v>
      </c>
      <c r="D42" s="262" t="s">
        <v>891</v>
      </c>
      <c r="E42" s="1760" t="s">
        <v>889</v>
      </c>
      <c r="F42" s="1768"/>
      <c r="G42" s="1761" t="str">
        <f ca="1">IF($F$3=$H$3,'B2.入力_第2~4面'!I164,"")</f>
        <v/>
      </c>
      <c r="H42" s="1761"/>
      <c r="I42" s="1761"/>
      <c r="J42" s="275" t="str">
        <f ca="1">IF(J31="","",IF($F$3=$H$3,'B2.入力_第2~4面'!L164,""))</f>
        <v/>
      </c>
      <c r="K42" s="1762" t="s">
        <v>33</v>
      </c>
      <c r="L42" s="1762"/>
      <c r="M42" s="1759"/>
      <c r="N42" s="1760"/>
      <c r="O42" s="1769"/>
      <c r="P42" s="275" t="str">
        <f ca="1">IF(P31="","",IF($F$3=$H$3,'B2.入力_第2~4面'!O164,""))</f>
        <v/>
      </c>
      <c r="Q42" s="1762" t="s">
        <v>33</v>
      </c>
      <c r="R42" s="1762"/>
      <c r="S42" s="1759"/>
      <c r="T42" s="1760"/>
      <c r="U42" s="1769"/>
      <c r="V42" s="275" t="str">
        <f>IF(V31="","",IF($F$3=$H$3,'B2.入力_第2~4面'!R164,""))</f>
        <v/>
      </c>
      <c r="W42" s="1762" t="s">
        <v>33</v>
      </c>
      <c r="X42" s="1762"/>
      <c r="Y42" s="1759"/>
      <c r="Z42" s="1760"/>
      <c r="AA42" s="1769"/>
    </row>
    <row r="43" spans="2:27" ht="25.2" customHeight="1">
      <c r="B43" s="1757"/>
      <c r="C43" s="1757"/>
      <c r="D43" s="262" t="s">
        <v>892</v>
      </c>
      <c r="E43" s="1760"/>
      <c r="F43" s="1768"/>
      <c r="G43" s="1761" t="str">
        <f ca="1">IF($F$3=$H$3,'B2.入力_第2~4面'!I165,"")</f>
        <v/>
      </c>
      <c r="H43" s="1761"/>
      <c r="I43" s="1761"/>
      <c r="J43" s="275" t="str">
        <f ca="1">IF(J31="","",IF($F$3=$H$3,'B2.入力_第2~4面'!L165,""))</f>
        <v/>
      </c>
      <c r="K43" s="1762" t="s">
        <v>33</v>
      </c>
      <c r="L43" s="1762"/>
      <c r="M43" s="1759"/>
      <c r="N43" s="1760"/>
      <c r="O43" s="1769"/>
      <c r="P43" s="275" t="str">
        <f ca="1">IF(P31="","",IF($F$3=$H$3,'B2.入力_第2~4面'!O165,""))</f>
        <v/>
      </c>
      <c r="Q43" s="1762" t="s">
        <v>33</v>
      </c>
      <c r="R43" s="1762"/>
      <c r="S43" s="1759"/>
      <c r="T43" s="1760"/>
      <c r="U43" s="1769"/>
      <c r="V43" s="275" t="str">
        <f>IF(V31="","",IF($F$3=$H$3,'B2.入力_第2~4面'!R165,""))</f>
        <v/>
      </c>
      <c r="W43" s="1762" t="s">
        <v>33</v>
      </c>
      <c r="X43" s="1762"/>
      <c r="Y43" s="1759"/>
      <c r="Z43" s="1760"/>
      <c r="AA43" s="1769"/>
    </row>
    <row r="44" spans="2:27" ht="25.2" customHeight="1">
      <c r="B44" s="1757"/>
      <c r="C44" s="1757"/>
      <c r="D44" s="262" t="s">
        <v>893</v>
      </c>
      <c r="E44" s="1760"/>
      <c r="F44" s="1768"/>
      <c r="G44" s="1761" t="str">
        <f ca="1">IF($F$3=$H$3,'B2.入力_第2~4面'!I166,"")</f>
        <v/>
      </c>
      <c r="H44" s="1761"/>
      <c r="I44" s="1761"/>
      <c r="J44" s="275" t="str">
        <f ca="1">IF(J31="","",IF($F$3=$H$3,'B2.入力_第2~4面'!L166,""))</f>
        <v/>
      </c>
      <c r="K44" s="1762" t="s">
        <v>33</v>
      </c>
      <c r="L44" s="1762"/>
      <c r="M44" s="1759"/>
      <c r="N44" s="1760"/>
      <c r="O44" s="1769"/>
      <c r="P44" s="275" t="str">
        <f ca="1">IF(P31="","",IF($F$3=$H$3,'B2.入力_第2~4面'!O166,""))</f>
        <v/>
      </c>
      <c r="Q44" s="1762" t="s">
        <v>33</v>
      </c>
      <c r="R44" s="1762"/>
      <c r="S44" s="1759"/>
      <c r="T44" s="1760"/>
      <c r="U44" s="1769"/>
      <c r="V44" s="275" t="str">
        <f>IF(V31="","",IF($F$3=$H$3,'B2.入力_第2~4面'!R166,""))</f>
        <v/>
      </c>
      <c r="W44" s="1762" t="s">
        <v>33</v>
      </c>
      <c r="X44" s="1762"/>
      <c r="Y44" s="1759"/>
      <c r="Z44" s="1760"/>
      <c r="AA44" s="1769"/>
    </row>
    <row r="45" spans="2:27" ht="25.2" customHeight="1">
      <c r="B45" s="1757"/>
      <c r="C45" s="1757"/>
      <c r="D45" s="262" t="s">
        <v>894</v>
      </c>
      <c r="E45" s="1760"/>
      <c r="F45" s="1768"/>
      <c r="G45" s="1761" t="str">
        <f ca="1">IF($F$3=$H$3,'B2.入力_第2~4面'!I167,"")</f>
        <v/>
      </c>
      <c r="H45" s="1761"/>
      <c r="I45" s="1761"/>
      <c r="J45" s="275" t="str">
        <f ca="1">IF(J31="","",IF($F$3=$H$3,'B2.入力_第2~4面'!L167,""))</f>
        <v/>
      </c>
      <c r="K45" s="1762" t="s">
        <v>33</v>
      </c>
      <c r="L45" s="1762"/>
      <c r="M45" s="1759"/>
      <c r="N45" s="1760"/>
      <c r="O45" s="1769"/>
      <c r="P45" s="275" t="str">
        <f ca="1">IF(P31="","",IF($F$3=$H$3,'B2.入力_第2~4面'!O167,""))</f>
        <v/>
      </c>
      <c r="Q45" s="1762" t="s">
        <v>33</v>
      </c>
      <c r="R45" s="1762"/>
      <c r="S45" s="1759"/>
      <c r="T45" s="1760"/>
      <c r="U45" s="1769"/>
      <c r="V45" s="275" t="str">
        <f>IF(V31="","",IF($F$3=$H$3,'B2.入力_第2~4面'!R167,""))</f>
        <v/>
      </c>
      <c r="W45" s="1762" t="s">
        <v>33</v>
      </c>
      <c r="X45" s="1762"/>
      <c r="Y45" s="1759"/>
      <c r="Z45" s="1760"/>
      <c r="AA45" s="1769"/>
    </row>
    <row r="46" spans="2:27" ht="25.2" customHeight="1">
      <c r="B46" s="1757"/>
      <c r="C46" s="1758" t="s">
        <v>900</v>
      </c>
      <c r="D46" s="1758"/>
      <c r="E46" s="236" t="s">
        <v>889</v>
      </c>
      <c r="F46" s="1768"/>
      <c r="G46" s="1761" t="str">
        <f ca="1">IF($F$3=$H$3,非表示_評価基準!AK70,"")</f>
        <v/>
      </c>
      <c r="H46" s="1761"/>
      <c r="I46" s="1761"/>
      <c r="J46" s="275" t="str">
        <f ca="1">IF(J31="","",IF($D$4=$K$4,非表示_評価基準!AM70,""))</f>
        <v/>
      </c>
      <c r="K46" s="1762" t="s">
        <v>33</v>
      </c>
      <c r="L46" s="1762"/>
      <c r="M46" s="1759"/>
      <c r="N46" s="1760"/>
      <c r="O46" s="1769"/>
      <c r="P46" s="275" t="str">
        <f ca="1">IF(P31="","",IF($D$4=$K$4,非表示_評価基準!AO70,""))</f>
        <v/>
      </c>
      <c r="Q46" s="1762" t="s">
        <v>33</v>
      </c>
      <c r="R46" s="1762"/>
      <c r="S46" s="1759"/>
      <c r="T46" s="1760"/>
      <c r="U46" s="1769"/>
      <c r="V46" s="275" t="str">
        <f>IF(V31="","",IF($D$4=$K$4,非表示_評価基準!AR70,""))</f>
        <v/>
      </c>
      <c r="W46" s="1762" t="s">
        <v>33</v>
      </c>
      <c r="X46" s="1762"/>
      <c r="Y46" s="1759"/>
      <c r="Z46" s="1760"/>
      <c r="AA46" s="1769"/>
    </row>
  </sheetData>
  <sheetProtection password="E7B8" sheet="1" objects="1" scenarios="1"/>
  <mergeCells count="187">
    <mergeCell ref="J7:L7"/>
    <mergeCell ref="P7:R7"/>
    <mergeCell ref="V7:X7"/>
    <mergeCell ref="G8:I9"/>
    <mergeCell ref="J8:J9"/>
    <mergeCell ref="N8:N9"/>
    <mergeCell ref="O8:O9"/>
    <mergeCell ref="W8:X8"/>
    <mergeCell ref="Y8:Y9"/>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Y29:Y30"/>
    <mergeCell ref="Z29:Z30"/>
    <mergeCell ref="AA29:AA30"/>
    <mergeCell ref="N29:N30"/>
    <mergeCell ref="O29:O30"/>
    <mergeCell ref="P29:P30"/>
    <mergeCell ref="Q29:R30"/>
    <mergeCell ref="S29:S30"/>
    <mergeCell ref="T29:T30"/>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B7:F7"/>
    <mergeCell ref="B8:B9"/>
    <mergeCell ref="C8:C9"/>
    <mergeCell ref="D8:D9"/>
    <mergeCell ref="E8:E9"/>
    <mergeCell ref="F8:F9"/>
    <mergeCell ref="B28:F28"/>
    <mergeCell ref="B29:B30"/>
    <mergeCell ref="C29:C30"/>
    <mergeCell ref="D29:D30"/>
    <mergeCell ref="E29:E30"/>
    <mergeCell ref="F29:F30"/>
    <mergeCell ref="B19:B24"/>
    <mergeCell ref="C24:D24"/>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outlineLevelCol="1"/>
  <cols>
    <col min="1" max="1" width="6" style="1786" customWidth="1"/>
    <col min="2" max="2" width="4" style="1786" customWidth="1"/>
    <col min="3" max="3" width="11.59765625" style="1786" customWidth="1"/>
    <col min="4" max="4" width="21.59765625" style="1786" customWidth="1"/>
    <col min="5" max="5" width="28" style="1786" customWidth="1"/>
    <col min="6" max="6" width="3.69921875" style="1786" customWidth="1"/>
    <col min="7" max="7" width="7.8984375" style="1786" customWidth="1"/>
    <col min="8" max="23" width="8.59765625" style="1786" customWidth="1"/>
    <col min="24" max="67" width="8.59765625" style="1794" hidden="1" customWidth="1" outlineLevel="1"/>
    <col min="68" max="68" width="3" style="1786" customWidth="1" collapsed="1"/>
    <col min="69" max="16384" width="9" style="1786"/>
  </cols>
  <sheetData>
    <row r="1" spans="1:68" ht="39.9" customHeight="1">
      <c r="A1" s="1785" t="s">
        <v>901</v>
      </c>
      <c r="C1" s="1787"/>
      <c r="D1" s="1787"/>
      <c r="E1" s="1787"/>
      <c r="F1" s="1787"/>
      <c r="G1" s="1788"/>
      <c r="H1" s="1789" t="s">
        <v>902</v>
      </c>
      <c r="J1" s="1992" t="s">
        <v>1770</v>
      </c>
      <c r="K1" s="1791"/>
      <c r="L1" s="1792"/>
      <c r="M1" s="1992" t="s">
        <v>1771</v>
      </c>
      <c r="N1" s="1788"/>
      <c r="O1" s="1791"/>
      <c r="P1" s="1992" t="s">
        <v>903</v>
      </c>
      <c r="Q1" s="1790"/>
      <c r="R1" s="1992" t="s">
        <v>904</v>
      </c>
      <c r="S1" s="1792"/>
      <c r="T1" s="1791"/>
      <c r="U1" s="1992" t="s">
        <v>905</v>
      </c>
      <c r="V1" s="1792"/>
      <c r="X1" s="1793" t="s">
        <v>1460</v>
      </c>
      <c r="AB1" s="1794" t="str">
        <f ca="1">IFERROR(OFFSET(A1_原単位2024,7,AE3+2),"")</f>
        <v/>
      </c>
      <c r="AC1" s="1794" t="str">
        <f ca="1">IFERROR(OFFSET(A1_原単位2025,7,AE3+2),"")</f>
        <v/>
      </c>
      <c r="AD1" s="1794" t="str">
        <f ca="1">IFERROR(OFFSET(A1_原単位2026,7,AE3+2),"")</f>
        <v/>
      </c>
      <c r="AE1" s="1794" t="str">
        <f ca="1">IFERROR(OFFSET(A1_原単位2027,7,AE3+2),"")</f>
        <v/>
      </c>
      <c r="AF1" s="1794" t="str">
        <f ca="1">IFERROR(OFFSET(A1_原単位2024,7,AI3+2),"")</f>
        <v/>
      </c>
      <c r="AG1" s="1794" t="str">
        <f ca="1">IFERROR(OFFSET(A1_原単位2025,7,AI3+2),"")</f>
        <v/>
      </c>
      <c r="AH1" s="1794" t="str">
        <f ca="1">IFERROR(OFFSET(A1_原単位2026,7,AI3+2),"")</f>
        <v/>
      </c>
      <c r="AI1" s="1794" t="str">
        <f ca="1">IFERROR(OFFSET(A1_原単位2027,7,AI3+2),"")</f>
        <v/>
      </c>
      <c r="AJ1" s="1794" t="str">
        <f ca="1">IFERROR(OFFSET(A1_原単位2024,7,AM3+2),"")</f>
        <v/>
      </c>
      <c r="AK1" s="1794" t="str">
        <f ca="1">IFERROR(OFFSET(A1_原単位2025,7,AM3+2),"")</f>
        <v/>
      </c>
      <c r="AL1" s="1794" t="str">
        <f ca="1">IFERROR(OFFSET(A1_原単位2026,7,AM3+2),"")</f>
        <v/>
      </c>
      <c r="AM1" s="1794" t="str">
        <f ca="1">IFERROR(OFFSET(A1_原単位2027,7,AM3+2),"")</f>
        <v/>
      </c>
      <c r="AN1" s="1794" t="str">
        <f ca="1">IFERROR(OFFSET(A1_原単位2024,7,AQ3+2),"")</f>
        <v/>
      </c>
      <c r="AO1" s="1794" t="str">
        <f ca="1">IFERROR(OFFSET(A1_原単位2025,7,AQ3+2),"")</f>
        <v/>
      </c>
      <c r="AP1" s="1794" t="str">
        <f ca="1">IFERROR(OFFSET(A1_原単位2026,7,AQ3+2),"")</f>
        <v/>
      </c>
      <c r="AQ1" s="1794" t="str">
        <f ca="1">IFERROR(OFFSET(A1_原単位2027,7,AQ3+2),"")</f>
        <v/>
      </c>
      <c r="AR1" s="1794" t="str">
        <f ca="1">IFERROR(OFFSET(A1_原単位2024,7,AU3+2),"")</f>
        <v/>
      </c>
      <c r="AS1" s="1794" t="str">
        <f ca="1">IFERROR(OFFSET(A1_原単位2025,7,AU3+2),"")</f>
        <v/>
      </c>
      <c r="AT1" s="1794" t="str">
        <f ca="1">IFERROR(OFFSET(A1_原単位2026,7,AU3+2),"")</f>
        <v/>
      </c>
      <c r="AU1" s="1794" t="str">
        <f ca="1">IFERROR(OFFSET(A1_原単位2027,7,AU3+2),"")</f>
        <v/>
      </c>
      <c r="AV1" s="1794" t="str">
        <f ca="1">IFERROR(OFFSET(A1_原単位2024,7,AY3+2),"")</f>
        <v/>
      </c>
      <c r="AW1" s="1794" t="str">
        <f ca="1">IFERROR(OFFSET(A1_原単位2025,7,AY3+2),"")</f>
        <v/>
      </c>
      <c r="AX1" s="1794" t="str">
        <f ca="1">IFERROR(OFFSET(A1_原単位2026,7,AY3+2),"")</f>
        <v/>
      </c>
      <c r="AY1" s="1794" t="str">
        <f ca="1">IFERROR(OFFSET(A1_原単位2027,7,AY3+2),"")</f>
        <v/>
      </c>
      <c r="AZ1" s="1794" t="str">
        <f ca="1">IFERROR(OFFSET(A1_原単位2024,7,BC3+2),"")</f>
        <v/>
      </c>
      <c r="BA1" s="1794" t="str">
        <f ca="1">IFERROR(OFFSET(A1_原単位2025,7,BC3+2),"")</f>
        <v/>
      </c>
      <c r="BB1" s="1794" t="str">
        <f ca="1">IFERROR(OFFSET(A1_原単位2026,7,BC3+2),"")</f>
        <v/>
      </c>
      <c r="BC1" s="1794" t="str">
        <f ca="1">IFERROR(OFFSET(A1_原単位2027,7,BC3+2),"")</f>
        <v/>
      </c>
      <c r="BD1" s="1794" t="str">
        <f ca="1">IFERROR(OFFSET(A1_原単位2024,7,BG3+2),"")</f>
        <v/>
      </c>
      <c r="BE1" s="1794" t="str">
        <f ca="1">IFERROR(OFFSET(A1_原単位2025,7,BG3+2),"")</f>
        <v/>
      </c>
      <c r="BF1" s="1794" t="str">
        <f ca="1">IFERROR(OFFSET(A1_原単位2026,7,BG3+2),"")</f>
        <v/>
      </c>
      <c r="BG1" s="1794" t="str">
        <f ca="1">IFERROR(OFFSET(A1_原単位2027,7,BG3+2),"")</f>
        <v/>
      </c>
      <c r="BH1" s="1794" t="str">
        <f ca="1">IFERROR(OFFSET(A1_原単位2024,7,BK3+2),"")</f>
        <v/>
      </c>
      <c r="BI1" s="1794" t="str">
        <f ca="1">IFERROR(OFFSET(A1_原単位2025,7,BK3+2),"")</f>
        <v/>
      </c>
      <c r="BJ1" s="1794" t="str">
        <f ca="1">IFERROR(OFFSET(A1_原単位2026,7,BK3+2),"")</f>
        <v/>
      </c>
      <c r="BK1" s="1794" t="str">
        <f ca="1">IFERROR(OFFSET(A1_原単位2027,7,BK3+2),"")</f>
        <v/>
      </c>
      <c r="BL1" s="1794" t="str">
        <f ca="1">IFERROR(OFFSET(A1_原単位2024,7,BO3+2),"")</f>
        <v/>
      </c>
      <c r="BM1" s="1794" t="str">
        <f ca="1">IFERROR(OFFSET(A1_原単位2025,7,BO3+2),"")</f>
        <v/>
      </c>
      <c r="BN1" s="1794" t="str">
        <f ca="1">IFERROR(OFFSET(A1_原単位2026,7,BO3+2),"")</f>
        <v/>
      </c>
      <c r="BO1" s="1794" t="str">
        <f ca="1">IFERROR(OFFSET(A1_原単位2027,7,BO3+2),"")</f>
        <v/>
      </c>
    </row>
    <row r="2" spans="1:68" ht="20.100000000000001" customHeight="1">
      <c r="B2" s="1795"/>
      <c r="C2" s="1796" t="s">
        <v>906</v>
      </c>
      <c r="D2" s="1797" t="str">
        <f ca="1">OFFSET(A1_基礎情報集計,3,5)</f>
        <v/>
      </c>
      <c r="E2" s="1798"/>
      <c r="F2" s="1789"/>
      <c r="H2" s="1799" t="s">
        <v>907</v>
      </c>
      <c r="I2" s="1800"/>
      <c r="J2" s="1800"/>
      <c r="K2" s="1801"/>
      <c r="L2" s="1802" t="s">
        <v>908</v>
      </c>
      <c r="M2" s="1800"/>
      <c r="N2" s="1800"/>
      <c r="O2" s="1800"/>
      <c r="P2" s="1799" t="s">
        <v>909</v>
      </c>
      <c r="Q2" s="1800"/>
      <c r="R2" s="1800"/>
      <c r="S2" s="1801"/>
      <c r="T2" s="1799" t="s">
        <v>910</v>
      </c>
      <c r="U2" s="1800"/>
      <c r="V2" s="1800"/>
      <c r="W2" s="1801"/>
      <c r="X2" s="1803"/>
      <c r="Y2" s="1803"/>
      <c r="Z2" s="1803"/>
      <c r="AA2" s="1804"/>
      <c r="AB2" s="1793"/>
      <c r="AC2" s="1805"/>
      <c r="AD2" s="1805"/>
      <c r="AE2" s="1805"/>
      <c r="AF2" s="1806"/>
      <c r="AG2" s="1806"/>
      <c r="AH2" s="1806"/>
      <c r="AI2" s="1806"/>
      <c r="AJ2" s="1806"/>
      <c r="AK2" s="1806"/>
      <c r="AL2" s="1806"/>
      <c r="AM2" s="1806"/>
      <c r="AN2" s="1806"/>
      <c r="AO2" s="1806"/>
      <c r="AP2" s="1806"/>
      <c r="AQ2" s="1806"/>
      <c r="AR2" s="1806"/>
      <c r="AS2" s="1806"/>
      <c r="AT2" s="1806"/>
      <c r="AU2" s="1806"/>
      <c r="AV2" s="1806"/>
      <c r="AW2" s="1806"/>
      <c r="AX2" s="1806"/>
      <c r="AY2" s="1806"/>
      <c r="AZ2" s="1806"/>
      <c r="BA2" s="1806"/>
      <c r="BB2" s="1806"/>
      <c r="BC2" s="1806"/>
      <c r="BD2" s="1806"/>
      <c r="BE2" s="1806"/>
      <c r="BF2" s="1806"/>
      <c r="BG2" s="1806"/>
      <c r="BH2" s="1806"/>
      <c r="BI2" s="1806"/>
      <c r="BJ2" s="1806"/>
      <c r="BK2" s="1806"/>
      <c r="BL2" s="1806"/>
      <c r="BM2" s="1806"/>
      <c r="BN2" s="1806"/>
      <c r="BO2" s="1807"/>
    </row>
    <row r="3" spans="1:68" ht="20.100000000000001" customHeight="1">
      <c r="C3" s="1796" t="s">
        <v>911</v>
      </c>
      <c r="D3" s="1797" t="str">
        <f ca="1">OFFSET(A1_基礎情報集計,14,5)</f>
        <v/>
      </c>
      <c r="E3" s="1798"/>
      <c r="H3" s="1808"/>
      <c r="I3" s="1809"/>
      <c r="J3" s="1810"/>
      <c r="K3" s="1811"/>
      <c r="L3" s="1812"/>
      <c r="M3" s="1813"/>
      <c r="N3" s="1813"/>
      <c r="O3" s="1814"/>
      <c r="P3" s="1808"/>
      <c r="Q3" s="1809"/>
      <c r="R3" s="1810"/>
      <c r="S3" s="1811"/>
      <c r="T3" s="1815"/>
      <c r="U3" s="1816"/>
      <c r="V3" s="1816"/>
      <c r="W3" s="1817"/>
      <c r="X3" s="1818" t="s">
        <v>912</v>
      </c>
      <c r="Y3" s="1819"/>
      <c r="Z3" s="1819"/>
      <c r="AA3" s="1820"/>
      <c r="AB3" s="1993" t="s">
        <v>913</v>
      </c>
      <c r="AC3" s="1994"/>
      <c r="AD3" s="1994"/>
      <c r="AE3" s="1995">
        <v>1</v>
      </c>
      <c r="AF3" s="1993" t="s">
        <v>913</v>
      </c>
      <c r="AG3" s="1994"/>
      <c r="AH3" s="1994"/>
      <c r="AI3" s="1995">
        <v>2</v>
      </c>
      <c r="AJ3" s="1993" t="s">
        <v>913</v>
      </c>
      <c r="AK3" s="1994"/>
      <c r="AL3" s="1994"/>
      <c r="AM3" s="1995">
        <v>3</v>
      </c>
      <c r="AN3" s="1993" t="s">
        <v>913</v>
      </c>
      <c r="AO3" s="1994"/>
      <c r="AP3" s="1994"/>
      <c r="AQ3" s="1995">
        <v>4</v>
      </c>
      <c r="AR3" s="1993" t="s">
        <v>913</v>
      </c>
      <c r="AS3" s="1994"/>
      <c r="AT3" s="1994"/>
      <c r="AU3" s="1995">
        <v>5</v>
      </c>
      <c r="AV3" s="1993" t="s">
        <v>913</v>
      </c>
      <c r="AW3" s="1994"/>
      <c r="AX3" s="1994"/>
      <c r="AY3" s="1995">
        <v>6</v>
      </c>
      <c r="AZ3" s="1993" t="s">
        <v>913</v>
      </c>
      <c r="BA3" s="1994"/>
      <c r="BB3" s="1994"/>
      <c r="BC3" s="1995">
        <v>7</v>
      </c>
      <c r="BD3" s="1993" t="s">
        <v>913</v>
      </c>
      <c r="BE3" s="1994"/>
      <c r="BF3" s="1994"/>
      <c r="BG3" s="1995">
        <v>8</v>
      </c>
      <c r="BH3" s="1993" t="s">
        <v>913</v>
      </c>
      <c r="BI3" s="1994"/>
      <c r="BJ3" s="1994"/>
      <c r="BK3" s="1995">
        <v>9</v>
      </c>
      <c r="BL3" s="1993" t="s">
        <v>913</v>
      </c>
      <c r="BM3" s="1994"/>
      <c r="BN3" s="1994"/>
      <c r="BO3" s="1995">
        <v>10</v>
      </c>
    </row>
    <row r="4" spans="1:68" ht="20.100000000000001" customHeight="1">
      <c r="C4" s="1796" t="s">
        <v>914</v>
      </c>
      <c r="D4" s="1822" t="str">
        <f ca="1">OFFSET(A1_基礎情報集計,15,5)</f>
        <v/>
      </c>
      <c r="E4" s="1823"/>
      <c r="F4" s="1796"/>
      <c r="H4" s="1808"/>
      <c r="I4" s="1809"/>
      <c r="J4" s="1810"/>
      <c r="K4" s="1811"/>
      <c r="L4" s="1996"/>
      <c r="M4" s="1997"/>
      <c r="N4" s="1997"/>
      <c r="O4" s="1998"/>
      <c r="P4" s="1808"/>
      <c r="Q4" s="1809"/>
      <c r="R4" s="1810"/>
      <c r="S4" s="1811"/>
      <c r="T4" s="1996"/>
      <c r="U4" s="1997"/>
      <c r="V4" s="1997"/>
      <c r="W4" s="1998"/>
      <c r="X4" s="1818"/>
      <c r="Y4" s="1819"/>
      <c r="Z4" s="1819"/>
      <c r="AA4" s="1820"/>
      <c r="AB4" s="1830" t="s">
        <v>915</v>
      </c>
      <c r="AC4" s="1831" t="str">
        <f ca="1">OFFSET(A1_原単位2027,52,AE3+2)</f>
        <v/>
      </c>
      <c r="AD4" s="1832"/>
      <c r="AE4" s="1833"/>
      <c r="AF4" s="1830" t="s">
        <v>915</v>
      </c>
      <c r="AG4" s="1831" t="str">
        <f ca="1">OFFSET(A1_原単位2027,52,AI3+2)</f>
        <v/>
      </c>
      <c r="AH4" s="1832"/>
      <c r="AI4" s="1833"/>
      <c r="AJ4" s="1830" t="s">
        <v>915</v>
      </c>
      <c r="AK4" s="1831" t="str">
        <f ca="1">OFFSET(A1_原単位2027,52,AM3+2)</f>
        <v/>
      </c>
      <c r="AL4" s="1832"/>
      <c r="AM4" s="1833"/>
      <c r="AN4" s="1830" t="s">
        <v>915</v>
      </c>
      <c r="AO4" s="1831" t="str">
        <f ca="1">OFFSET(A1_原単位2027,52,AQ3+2)</f>
        <v/>
      </c>
      <c r="AP4" s="1832"/>
      <c r="AQ4" s="1833"/>
      <c r="AR4" s="1830" t="s">
        <v>915</v>
      </c>
      <c r="AS4" s="1831" t="str">
        <f ca="1">OFFSET(A1_原単位2027,52,AU3+2)</f>
        <v/>
      </c>
      <c r="AT4" s="1832"/>
      <c r="AU4" s="1833"/>
      <c r="AV4" s="1830" t="s">
        <v>915</v>
      </c>
      <c r="AW4" s="1831" t="str">
        <f ca="1">OFFSET(A1_原単位2027,52,AY3+2)</f>
        <v/>
      </c>
      <c r="AX4" s="1832"/>
      <c r="AY4" s="1833"/>
      <c r="AZ4" s="1830" t="s">
        <v>915</v>
      </c>
      <c r="BA4" s="1831" t="str">
        <f ca="1">OFFSET(A1_原単位2027,52,BC3+2)</f>
        <v/>
      </c>
      <c r="BB4" s="1832"/>
      <c r="BC4" s="1833"/>
      <c r="BD4" s="1830" t="s">
        <v>915</v>
      </c>
      <c r="BE4" s="1831" t="str">
        <f ca="1">OFFSET(A1_原単位2027,52,BG3+2)</f>
        <v/>
      </c>
      <c r="BF4" s="1832"/>
      <c r="BG4" s="1833"/>
      <c r="BH4" s="1830" t="s">
        <v>915</v>
      </c>
      <c r="BI4" s="1831" t="str">
        <f ca="1">OFFSET(A1_原単位2027,52,BK3+2)</f>
        <v/>
      </c>
      <c r="BJ4" s="1832"/>
      <c r="BK4" s="1833"/>
      <c r="BL4" s="1830" t="s">
        <v>915</v>
      </c>
      <c r="BM4" s="1831" t="str">
        <f ca="1">OFFSET(A1_原単位2027,52,BO3+2)</f>
        <v/>
      </c>
      <c r="BN4" s="1832"/>
      <c r="BO4" s="1833"/>
    </row>
    <row r="5" spans="1:68" ht="20.100000000000001" customHeight="1">
      <c r="C5" s="1796" t="s">
        <v>175</v>
      </c>
      <c r="D5" s="1999">
        <f ca="1">OFFSET(A1_基礎情報集計,7,5)-1</f>
        <v>2024</v>
      </c>
      <c r="E5" s="1999"/>
      <c r="F5" s="1796"/>
      <c r="H5" s="1808"/>
      <c r="I5" s="1809"/>
      <c r="J5" s="1810"/>
      <c r="K5" s="1811"/>
      <c r="L5" s="2000"/>
      <c r="M5" s="2001"/>
      <c r="N5" s="2001"/>
      <c r="O5" s="2002"/>
      <c r="P5" s="1808"/>
      <c r="Q5" s="1809"/>
      <c r="R5" s="1810"/>
      <c r="S5" s="1811"/>
      <c r="T5" s="1824"/>
      <c r="U5" s="1825"/>
      <c r="V5" s="1825"/>
      <c r="W5" s="1826"/>
      <c r="X5" s="1827"/>
      <c r="Y5" s="1828"/>
      <c r="Z5" s="1828"/>
      <c r="AA5" s="1829"/>
      <c r="AB5" s="2003" t="s">
        <v>814</v>
      </c>
      <c r="AC5" s="2004" t="str">
        <f ca="1">OFFSET(A1_原単位2027,53,AE3+2)</f>
        <v/>
      </c>
      <c r="AD5" s="2005"/>
      <c r="AE5" s="2006"/>
      <c r="AF5" s="2003" t="s">
        <v>814</v>
      </c>
      <c r="AG5" s="2004" t="str">
        <f ca="1">OFFSET(A1_原単位2027,53,AI3+2)</f>
        <v/>
      </c>
      <c r="AH5" s="2005"/>
      <c r="AI5" s="2006"/>
      <c r="AJ5" s="2003" t="s">
        <v>814</v>
      </c>
      <c r="AK5" s="2004" t="str">
        <f ca="1">OFFSET(A1_原単位2027,53,AM3+2)</f>
        <v/>
      </c>
      <c r="AL5" s="2005"/>
      <c r="AM5" s="2006"/>
      <c r="AN5" s="2003" t="s">
        <v>814</v>
      </c>
      <c r="AO5" s="2004" t="str">
        <f ca="1">OFFSET(A1_原単位2027,53,AQ3+2)</f>
        <v/>
      </c>
      <c r="AP5" s="2005"/>
      <c r="AQ5" s="2006"/>
      <c r="AR5" s="2003" t="s">
        <v>814</v>
      </c>
      <c r="AS5" s="2004" t="str">
        <f ca="1">OFFSET(A1_原単位2027,53,AU3+2)</f>
        <v/>
      </c>
      <c r="AT5" s="2005"/>
      <c r="AU5" s="2006"/>
      <c r="AV5" s="2003" t="s">
        <v>814</v>
      </c>
      <c r="AW5" s="2004" t="str">
        <f ca="1">OFFSET(A1_原単位2027,53,AY3+2)</f>
        <v/>
      </c>
      <c r="AX5" s="2005"/>
      <c r="AY5" s="2006"/>
      <c r="AZ5" s="2003" t="s">
        <v>814</v>
      </c>
      <c r="BA5" s="2004" t="str">
        <f ca="1">OFFSET(A1_原単位2027,53,BC3+2)</f>
        <v/>
      </c>
      <c r="BB5" s="2005"/>
      <c r="BC5" s="2006"/>
      <c r="BD5" s="2003" t="s">
        <v>814</v>
      </c>
      <c r="BE5" s="2004" t="str">
        <f ca="1">OFFSET(A1_原単位2027,53,BG3+2)</f>
        <v/>
      </c>
      <c r="BF5" s="2005"/>
      <c r="BG5" s="2006"/>
      <c r="BH5" s="2003" t="s">
        <v>814</v>
      </c>
      <c r="BI5" s="2004" t="str">
        <f ca="1">OFFSET(A1_原単位2027,53,BK3+2)</f>
        <v/>
      </c>
      <c r="BJ5" s="2005"/>
      <c r="BK5" s="2006"/>
      <c r="BL5" s="2003" t="s">
        <v>814</v>
      </c>
      <c r="BM5" s="2004" t="str">
        <f ca="1">OFFSET(A1_原単位2027,53,BO3+2)</f>
        <v/>
      </c>
      <c r="BN5" s="2005"/>
      <c r="BO5" s="2006"/>
    </row>
    <row r="6" spans="1:68" ht="20.100000000000001" customHeight="1">
      <c r="D6" s="2007"/>
      <c r="G6" s="1834" t="s">
        <v>882</v>
      </c>
      <c r="H6" s="1835">
        <v>2024</v>
      </c>
      <c r="I6" s="1835">
        <v>2025</v>
      </c>
      <c r="J6" s="1835">
        <v>2026</v>
      </c>
      <c r="K6" s="1835">
        <v>2027</v>
      </c>
      <c r="L6" s="1835">
        <v>2024</v>
      </c>
      <c r="M6" s="1835">
        <v>2025</v>
      </c>
      <c r="N6" s="1835">
        <v>2026</v>
      </c>
      <c r="O6" s="1835">
        <v>2027</v>
      </c>
      <c r="P6" s="1835">
        <v>2024</v>
      </c>
      <c r="Q6" s="1835">
        <v>2025</v>
      </c>
      <c r="R6" s="1835">
        <v>2026</v>
      </c>
      <c r="S6" s="1835">
        <v>2027</v>
      </c>
      <c r="T6" s="1835">
        <v>2024</v>
      </c>
      <c r="U6" s="1835">
        <v>2025</v>
      </c>
      <c r="V6" s="1835">
        <v>2026</v>
      </c>
      <c r="W6" s="1835">
        <v>2027</v>
      </c>
      <c r="X6" s="1836">
        <v>2024</v>
      </c>
      <c r="Y6" s="1836">
        <v>2025</v>
      </c>
      <c r="Z6" s="1836">
        <v>2026</v>
      </c>
      <c r="AA6" s="1836">
        <v>2027</v>
      </c>
      <c r="AB6" s="1836"/>
      <c r="AC6" s="1836"/>
      <c r="AD6" s="1836"/>
      <c r="AE6" s="1836"/>
      <c r="AF6" s="1836"/>
      <c r="AG6" s="1836"/>
      <c r="AH6" s="1836"/>
      <c r="AI6" s="1836"/>
      <c r="AJ6" s="1836"/>
      <c r="AK6" s="1836"/>
      <c r="AL6" s="1836"/>
      <c r="AM6" s="1836"/>
      <c r="AN6" s="1836"/>
      <c r="AO6" s="1836"/>
      <c r="AP6" s="1836"/>
      <c r="AQ6" s="1836"/>
      <c r="AR6" s="1836"/>
      <c r="AS6" s="1836"/>
      <c r="AT6" s="1836"/>
      <c r="AU6" s="1836"/>
      <c r="AV6" s="1836"/>
      <c r="AW6" s="1836"/>
      <c r="AX6" s="1836"/>
      <c r="AY6" s="1836"/>
      <c r="AZ6" s="1836"/>
      <c r="BA6" s="1836"/>
      <c r="BB6" s="1836"/>
      <c r="BC6" s="1836"/>
      <c r="BD6" s="1836"/>
      <c r="BE6" s="1836"/>
      <c r="BF6" s="1836"/>
      <c r="BG6" s="1836"/>
      <c r="BH6" s="1836"/>
      <c r="BI6" s="1836"/>
      <c r="BJ6" s="1836"/>
      <c r="BK6" s="1836"/>
      <c r="BL6" s="1836"/>
      <c r="BM6" s="1836"/>
      <c r="BN6" s="1836"/>
      <c r="BO6" s="1836"/>
      <c r="BP6" s="1837"/>
    </row>
    <row r="7" spans="1:68" ht="20.100000000000001" customHeight="1">
      <c r="A7" s="1838">
        <v>1</v>
      </c>
      <c r="B7" s="1838" t="s">
        <v>916</v>
      </c>
      <c r="C7" s="1839"/>
      <c r="D7" s="1839"/>
      <c r="E7" s="1839"/>
      <c r="F7" s="1839"/>
      <c r="G7" s="1840"/>
      <c r="H7" s="2008"/>
      <c r="I7" s="2008"/>
      <c r="J7" s="2008"/>
      <c r="K7" s="2008"/>
      <c r="L7" s="2008"/>
      <c r="M7" s="2008"/>
      <c r="N7" s="2008"/>
      <c r="O7" s="2008"/>
      <c r="P7" s="2008"/>
      <c r="Q7" s="2008"/>
      <c r="R7" s="2008"/>
      <c r="S7" s="2008"/>
      <c r="T7" s="2008"/>
      <c r="U7" s="2008"/>
      <c r="V7" s="2008"/>
      <c r="W7" s="2008"/>
      <c r="X7" s="1841"/>
      <c r="Y7" s="1841"/>
      <c r="Z7" s="1841"/>
      <c r="AA7" s="1841"/>
      <c r="AB7" s="1841"/>
      <c r="AC7" s="1841"/>
      <c r="AD7" s="1841"/>
      <c r="AE7" s="1841"/>
      <c r="AF7" s="1841"/>
      <c r="AG7" s="1841"/>
      <c r="AH7" s="1841"/>
      <c r="AI7" s="1841"/>
      <c r="AJ7" s="1841"/>
      <c r="AK7" s="1841"/>
      <c r="AL7" s="1841"/>
      <c r="AM7" s="1841"/>
      <c r="AN7" s="1841"/>
      <c r="AO7" s="1841"/>
      <c r="AP7" s="1841"/>
      <c r="AQ7" s="1841"/>
      <c r="AR7" s="1841"/>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8" ht="20.100000000000001" customHeight="1">
      <c r="A8" s="1842"/>
      <c r="B8" s="2009" t="str">
        <f>参考1_評価結果!B6</f>
        <v>工場等に関する削減計画策定者</v>
      </c>
      <c r="C8" s="1838"/>
      <c r="D8" s="1839"/>
      <c r="E8" s="1839"/>
      <c r="F8" s="1839"/>
      <c r="G8" s="1840"/>
      <c r="H8" s="2008"/>
      <c r="I8" s="2008"/>
      <c r="J8" s="2008"/>
      <c r="K8" s="2008"/>
      <c r="L8" s="2008"/>
      <c r="M8" s="2008"/>
      <c r="N8" s="2008"/>
      <c r="O8" s="2008"/>
      <c r="P8" s="2008"/>
      <c r="Q8" s="2008"/>
      <c r="R8" s="2008"/>
      <c r="S8" s="2008"/>
      <c r="T8" s="2008"/>
      <c r="U8" s="2008"/>
      <c r="V8" s="2008"/>
      <c r="W8" s="2008"/>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8" ht="20.100000000000001" customHeight="1">
      <c r="A9" s="1845">
        <v>8</v>
      </c>
      <c r="B9" s="1846" t="s">
        <v>918</v>
      </c>
      <c r="C9" s="1847" t="s">
        <v>919</v>
      </c>
      <c r="D9" s="1848" t="s">
        <v>539</v>
      </c>
      <c r="E9" s="1848"/>
      <c r="F9" s="1849"/>
      <c r="G9" s="2010" t="s">
        <v>540</v>
      </c>
      <c r="H9" s="2011">
        <f t="shared" ref="H9:H35" ca="1" si="0">IFERROR(OFFSET(貼付け_2024実績,$A9,5),"")</f>
        <v>38.299999999999997</v>
      </c>
      <c r="I9" s="2011">
        <f t="shared" ref="I9:I35" ca="1" si="1">IFERROR(OFFSET(貼付け_2025実績,$A9,5),"")</f>
        <v>38.299999999999997</v>
      </c>
      <c r="J9" s="2011">
        <f t="shared" ref="J9:J35" ca="1" si="2">IFERROR(OFFSET(貼付け_2026実績,$A9,5),"")</f>
        <v>38.299999999999997</v>
      </c>
      <c r="K9" s="2011">
        <f t="shared" ref="K9:K35" ca="1" si="3">IFERROR(OFFSET(貼付け_2027実績,$A9,5),"")</f>
        <v>38.299999999999997</v>
      </c>
      <c r="L9" s="2012">
        <f t="shared" ref="L9:L40" ca="1" si="4">P9+T9</f>
        <v>0</v>
      </c>
      <c r="M9" s="2012">
        <f t="shared" ref="M9:M40" ca="1" si="5">Q9+U9</f>
        <v>0</v>
      </c>
      <c r="N9" s="2012">
        <f t="shared" ref="N9:N40" ca="1" si="6">R9+V9</f>
        <v>0</v>
      </c>
      <c r="O9" s="2012">
        <f t="shared" ref="O9:O40" ca="1" si="7">S9+W9</f>
        <v>0</v>
      </c>
      <c r="P9" s="2013">
        <f ca="1">SUM(SUMIFS(OFFSET(貼付け_2024実績,$A9,9,1,199),OFFSET(貼付け_2024実績,4,9,1,199),{"横浜*","川崎*"}))</f>
        <v>0</v>
      </c>
      <c r="Q9" s="2013">
        <f ca="1">SUM(SUMIFS(OFFSET(貼付け_2025実績,$A9,9,1,199),OFFSET(貼付け_2025実績,4,9,1,199),{"横浜*","川崎*"}))</f>
        <v>0</v>
      </c>
      <c r="R9" s="2013">
        <f ca="1">SUM(SUMIFS(OFFSET(貼付け_2026実績,$A9,9,1,199),OFFSET(貼付け_2026実績,4,9,1,199),{"横浜*","川崎*"}))</f>
        <v>0</v>
      </c>
      <c r="S9" s="2013">
        <f ca="1">SUM(SUMIFS(OFFSET(貼付け_2027実績,$A9,9,1,199),OFFSET(貼付け_2027実績,4,9,1,199),{"横浜*","川崎*"}))</f>
        <v>0</v>
      </c>
      <c r="T9" s="2012">
        <f t="shared" ref="T9:T40" ca="1" si="8">SUM(X9,AB9,AF9,AJ9,AN9,AR9,AV9,AZ9,BD9,BH9,BL9)</f>
        <v>0</v>
      </c>
      <c r="U9" s="2012">
        <f t="shared" ref="U9:U40" ca="1" si="9">SUM(Y9,AC9,AG9,AK9,AO9,AS9,AW9,BA9,BE9,BI9,BM9)</f>
        <v>0</v>
      </c>
      <c r="V9" s="2012">
        <f t="shared" ref="V9:V40" ca="1" si="10">SUM(Z9,AD9,AH9,AL9,AP9,AT9,AX9,BB9,BF9,BJ9,BN9)</f>
        <v>0</v>
      </c>
      <c r="W9" s="2012">
        <f t="shared" ref="W9:W40" ca="1" si="11">SUM(AA9,AE9,AI9,AM9,AQ9,AU9,AY9,BC9,BG9,BK9,BO9)</f>
        <v>0</v>
      </c>
      <c r="X9" s="2014">
        <f t="shared" ref="X9:X40" ca="1" si="12">SUMIFS(OFFSET(貼付け_2024実績,$A9,9,1,199),OFFSET(貼付け_2024実績,4,9,1,199),"県域*")</f>
        <v>0</v>
      </c>
      <c r="Y9" s="2014">
        <f t="shared" ref="Y9:Y40" ca="1" si="13">SUMIFS(OFFSET(貼付け_2025実績,$A9,9,1,199),OFFSET(貼付け_2025実績,4,9,1,199),"県域*")</f>
        <v>0</v>
      </c>
      <c r="Z9" s="2014">
        <f t="shared" ref="Z9:Z40" ca="1" si="14">SUMIFS(OFFSET(貼付け_2026実績,$A9,9,1,199),OFFSET(貼付け_2026実績,4,9,1,199),"県域*")</f>
        <v>0</v>
      </c>
      <c r="AA9" s="2014">
        <f t="shared" ref="AA9:AA40" ca="1" si="15">SUMIFS(OFFSET(貼付け_2027実績,$A9,9,1,199),OFFSET(貼付け_2027実績,4,9,1,199),"県域*")</f>
        <v>0</v>
      </c>
      <c r="AB9" s="2014"/>
      <c r="AC9" s="2014"/>
      <c r="AD9" s="2014"/>
      <c r="AE9" s="2014"/>
      <c r="AF9" s="2014"/>
      <c r="AG9" s="2014"/>
      <c r="AH9" s="2014"/>
      <c r="AI9" s="2014"/>
      <c r="AJ9" s="2014"/>
      <c r="AK9" s="2014"/>
      <c r="AL9" s="2014"/>
      <c r="AM9" s="2014"/>
      <c r="AN9" s="2014"/>
      <c r="AO9" s="2014"/>
      <c r="AP9" s="2014"/>
      <c r="AQ9" s="2014"/>
      <c r="AR9" s="2014"/>
      <c r="AS9" s="2014"/>
      <c r="AT9" s="2014"/>
      <c r="AU9" s="2014"/>
      <c r="AV9" s="2014"/>
      <c r="AW9" s="2014"/>
      <c r="AX9" s="2014"/>
      <c r="AY9" s="2014"/>
      <c r="AZ9" s="2014"/>
      <c r="BA9" s="2014"/>
      <c r="BB9" s="2014"/>
      <c r="BC9" s="2014"/>
      <c r="BD9" s="2014"/>
      <c r="BE9" s="2014"/>
      <c r="BF9" s="2014"/>
      <c r="BG9" s="2014"/>
      <c r="BH9" s="2014"/>
      <c r="BI9" s="2014"/>
      <c r="BJ9" s="2014"/>
      <c r="BK9" s="2014"/>
      <c r="BL9" s="2014"/>
      <c r="BM9" s="2014"/>
      <c r="BN9" s="2014"/>
      <c r="BO9" s="2014"/>
    </row>
    <row r="10" spans="1:68" ht="20.100000000000001" customHeight="1">
      <c r="A10" s="1845">
        <v>9</v>
      </c>
      <c r="B10" s="1854"/>
      <c r="C10" s="1847"/>
      <c r="D10" s="1848" t="s">
        <v>920</v>
      </c>
      <c r="E10" s="1848"/>
      <c r="F10" s="1849"/>
      <c r="G10" s="2010" t="s">
        <v>540</v>
      </c>
      <c r="H10" s="2011">
        <f t="shared" ca="1" si="0"/>
        <v>34.799999999999997</v>
      </c>
      <c r="I10" s="2011">
        <f t="shared" ca="1" si="1"/>
        <v>34.799999999999997</v>
      </c>
      <c r="J10" s="2011">
        <f t="shared" ca="1" si="2"/>
        <v>34.799999999999997</v>
      </c>
      <c r="K10" s="2011">
        <f t="shared" ca="1" si="3"/>
        <v>34.799999999999997</v>
      </c>
      <c r="L10" s="2012">
        <f t="shared" ca="1" si="4"/>
        <v>0</v>
      </c>
      <c r="M10" s="2012">
        <f t="shared" ca="1" si="5"/>
        <v>0</v>
      </c>
      <c r="N10" s="2012">
        <f t="shared" ca="1" si="6"/>
        <v>0</v>
      </c>
      <c r="O10" s="2012">
        <f t="shared" ca="1" si="7"/>
        <v>0</v>
      </c>
      <c r="P10" s="2013">
        <f ca="1">SUM(SUMIFS(OFFSET(貼付け_2024実績,$A10,9,1,199),OFFSET(貼付け_2024実績,4,9,1,199),{"横浜*","川崎*"}))</f>
        <v>0</v>
      </c>
      <c r="Q10" s="2013">
        <f ca="1">SUM(SUMIFS(OFFSET(貼付け_2025実績,$A10,9,1,199),OFFSET(貼付け_2025実績,4,9,1,199),{"横浜*","川崎*"}))</f>
        <v>0</v>
      </c>
      <c r="R10" s="2013">
        <f ca="1">SUM(SUMIFS(OFFSET(貼付け_2026実績,$A10,9,1,199),OFFSET(貼付け_2026実績,4,9,1,199),{"横浜*","川崎*"}))</f>
        <v>0</v>
      </c>
      <c r="S10" s="2013">
        <f ca="1">SUM(SUMIFS(OFFSET(貼付け_2027実績,$A10,9,1,199),OFFSET(貼付け_2027実績,4,9,1,199),{"横浜*","川崎*"}))</f>
        <v>0</v>
      </c>
      <c r="T10" s="2012">
        <f t="shared" ca="1" si="8"/>
        <v>0</v>
      </c>
      <c r="U10" s="2012">
        <f t="shared" ca="1" si="9"/>
        <v>0</v>
      </c>
      <c r="V10" s="2012">
        <f t="shared" ca="1" si="10"/>
        <v>0</v>
      </c>
      <c r="W10" s="2012">
        <f t="shared" ca="1" si="11"/>
        <v>0</v>
      </c>
      <c r="X10" s="2014">
        <f t="shared" ca="1" si="12"/>
        <v>0</v>
      </c>
      <c r="Y10" s="2014">
        <f t="shared" ca="1" si="13"/>
        <v>0</v>
      </c>
      <c r="Z10" s="2014">
        <f t="shared" ca="1" si="14"/>
        <v>0</v>
      </c>
      <c r="AA10" s="2014">
        <f t="shared" ca="1" si="15"/>
        <v>0</v>
      </c>
      <c r="AB10" s="2014"/>
      <c r="AC10" s="2014"/>
      <c r="AD10" s="2014"/>
      <c r="AE10" s="2014"/>
      <c r="AF10" s="2014"/>
      <c r="AG10" s="2014"/>
      <c r="AH10" s="2014"/>
      <c r="AI10" s="2014"/>
      <c r="AJ10" s="2014"/>
      <c r="AK10" s="2014"/>
      <c r="AL10" s="2014"/>
      <c r="AM10" s="2014"/>
      <c r="AN10" s="2014"/>
      <c r="AO10" s="2014"/>
      <c r="AP10" s="2014"/>
      <c r="AQ10" s="2014"/>
      <c r="AR10" s="2014"/>
      <c r="AS10" s="2014"/>
      <c r="AT10" s="2014"/>
      <c r="AU10" s="2014"/>
      <c r="AV10" s="2014"/>
      <c r="AW10" s="2014"/>
      <c r="AX10" s="2014"/>
      <c r="AY10" s="2014"/>
      <c r="AZ10" s="2014"/>
      <c r="BA10" s="2014"/>
      <c r="BB10" s="2014"/>
      <c r="BC10" s="2014"/>
      <c r="BD10" s="2014"/>
      <c r="BE10" s="2014"/>
      <c r="BF10" s="2014"/>
      <c r="BG10" s="2014"/>
      <c r="BH10" s="2014"/>
      <c r="BI10" s="2014"/>
      <c r="BJ10" s="2014"/>
      <c r="BK10" s="2014"/>
      <c r="BL10" s="2014"/>
      <c r="BM10" s="2014"/>
      <c r="BN10" s="2014"/>
      <c r="BO10" s="2014"/>
    </row>
    <row r="11" spans="1:68" ht="20.100000000000001" customHeight="1">
      <c r="A11" s="1845">
        <v>10</v>
      </c>
      <c r="B11" s="1855"/>
      <c r="C11" s="1847"/>
      <c r="D11" s="1848" t="s">
        <v>921</v>
      </c>
      <c r="E11" s="1848"/>
      <c r="F11" s="1849"/>
      <c r="G11" s="2010" t="s">
        <v>540</v>
      </c>
      <c r="H11" s="2011">
        <f t="shared" ca="1" si="0"/>
        <v>33.4</v>
      </c>
      <c r="I11" s="2011">
        <f t="shared" ca="1" si="1"/>
        <v>33.4</v>
      </c>
      <c r="J11" s="2011">
        <f t="shared" ca="1" si="2"/>
        <v>33.4</v>
      </c>
      <c r="K11" s="2011">
        <f t="shared" ca="1" si="3"/>
        <v>33.4</v>
      </c>
      <c r="L11" s="2012">
        <f t="shared" ca="1" si="4"/>
        <v>0</v>
      </c>
      <c r="M11" s="2012">
        <f t="shared" ca="1" si="5"/>
        <v>0</v>
      </c>
      <c r="N11" s="2012">
        <f t="shared" ca="1" si="6"/>
        <v>0</v>
      </c>
      <c r="O11" s="2012">
        <f t="shared" ca="1" si="7"/>
        <v>0</v>
      </c>
      <c r="P11" s="2013">
        <f ca="1">SUM(SUMIFS(OFFSET(貼付け_2024実績,$A11,9,1,199),OFFSET(貼付け_2024実績,4,9,1,199),{"横浜*","川崎*"}))</f>
        <v>0</v>
      </c>
      <c r="Q11" s="2013">
        <f ca="1">SUM(SUMIFS(OFFSET(貼付け_2025実績,$A11,9,1,199),OFFSET(貼付け_2025実績,4,9,1,199),{"横浜*","川崎*"}))</f>
        <v>0</v>
      </c>
      <c r="R11" s="2013">
        <f ca="1">SUM(SUMIFS(OFFSET(貼付け_2026実績,$A11,9,1,199),OFFSET(貼付け_2026実績,4,9,1,199),{"横浜*","川崎*"}))</f>
        <v>0</v>
      </c>
      <c r="S11" s="2013">
        <f ca="1">SUM(SUMIFS(OFFSET(貼付け_2027実績,$A11,9,1,199),OFFSET(貼付け_2027実績,4,9,1,199),{"横浜*","川崎*"}))</f>
        <v>0</v>
      </c>
      <c r="T11" s="2012">
        <f t="shared" ca="1" si="8"/>
        <v>0</v>
      </c>
      <c r="U11" s="2012">
        <f t="shared" ca="1" si="9"/>
        <v>0</v>
      </c>
      <c r="V11" s="2012">
        <f t="shared" ca="1" si="10"/>
        <v>0</v>
      </c>
      <c r="W11" s="2012">
        <f t="shared" ca="1" si="11"/>
        <v>0</v>
      </c>
      <c r="X11" s="2014">
        <f t="shared" ca="1" si="12"/>
        <v>0</v>
      </c>
      <c r="Y11" s="2014">
        <f t="shared" ca="1" si="13"/>
        <v>0</v>
      </c>
      <c r="Z11" s="2014">
        <f t="shared" ca="1" si="14"/>
        <v>0</v>
      </c>
      <c r="AA11" s="2014">
        <f t="shared" ca="1" si="15"/>
        <v>0</v>
      </c>
      <c r="AB11" s="2014"/>
      <c r="AC11" s="2014"/>
      <c r="AD11" s="2014"/>
      <c r="AE11" s="2014"/>
      <c r="AF11" s="2014"/>
      <c r="AG11" s="2014"/>
      <c r="AH11" s="2014"/>
      <c r="AI11" s="2014"/>
      <c r="AJ11" s="2014"/>
      <c r="AK11" s="2014"/>
      <c r="AL11" s="2014"/>
      <c r="AM11" s="2014"/>
      <c r="AN11" s="2014"/>
      <c r="AO11" s="2014"/>
      <c r="AP11" s="2014"/>
      <c r="AQ11" s="2014"/>
      <c r="AR11" s="2014"/>
      <c r="AS11" s="2014"/>
      <c r="AT11" s="2014"/>
      <c r="AU11" s="2014"/>
      <c r="AV11" s="2014"/>
      <c r="AW11" s="2014"/>
      <c r="AX11" s="2014"/>
      <c r="AY11" s="2014"/>
      <c r="AZ11" s="2014"/>
      <c r="BA11" s="2014"/>
      <c r="BB11" s="2014"/>
      <c r="BC11" s="2014"/>
      <c r="BD11" s="2014"/>
      <c r="BE11" s="2014"/>
      <c r="BF11" s="2014"/>
      <c r="BG11" s="2014"/>
      <c r="BH11" s="2014"/>
      <c r="BI11" s="2014"/>
      <c r="BJ11" s="2014"/>
      <c r="BK11" s="2014"/>
      <c r="BL11" s="2014"/>
      <c r="BM11" s="2014"/>
      <c r="BN11" s="2014"/>
      <c r="BO11" s="2014"/>
    </row>
    <row r="12" spans="1:68" ht="20.100000000000001" customHeight="1">
      <c r="A12" s="1845">
        <v>11</v>
      </c>
      <c r="B12" s="1854"/>
      <c r="C12" s="1847"/>
      <c r="D12" s="1848" t="s">
        <v>542</v>
      </c>
      <c r="E12" s="1848"/>
      <c r="F12" s="1849"/>
      <c r="G12" s="2010" t="s">
        <v>540</v>
      </c>
      <c r="H12" s="2011">
        <f t="shared" ca="1" si="0"/>
        <v>33.299999999999997</v>
      </c>
      <c r="I12" s="2011">
        <f t="shared" ca="1" si="1"/>
        <v>33.299999999999997</v>
      </c>
      <c r="J12" s="2011">
        <f t="shared" ca="1" si="2"/>
        <v>33.299999999999997</v>
      </c>
      <c r="K12" s="2011">
        <f t="shared" ca="1" si="3"/>
        <v>33.299999999999997</v>
      </c>
      <c r="L12" s="2012">
        <f t="shared" ca="1" si="4"/>
        <v>0</v>
      </c>
      <c r="M12" s="2012">
        <f t="shared" ca="1" si="5"/>
        <v>0</v>
      </c>
      <c r="N12" s="2012">
        <f t="shared" ca="1" si="6"/>
        <v>0</v>
      </c>
      <c r="O12" s="2012">
        <f t="shared" ca="1" si="7"/>
        <v>0</v>
      </c>
      <c r="P12" s="2013">
        <f ca="1">SUM(SUMIFS(OFFSET(貼付け_2024実績,$A12,9,1,199),OFFSET(貼付け_2024実績,4,9,1,199),{"横浜*","川崎*"}))</f>
        <v>0</v>
      </c>
      <c r="Q12" s="2013">
        <f ca="1">SUM(SUMIFS(OFFSET(貼付け_2025実績,$A12,9,1,199),OFFSET(貼付け_2025実績,4,9,1,199),{"横浜*","川崎*"}))</f>
        <v>0</v>
      </c>
      <c r="R12" s="2013">
        <f ca="1">SUM(SUMIFS(OFFSET(貼付け_2026実績,$A12,9,1,199),OFFSET(貼付け_2026実績,4,9,1,199),{"横浜*","川崎*"}))</f>
        <v>0</v>
      </c>
      <c r="S12" s="2013">
        <f ca="1">SUM(SUMIFS(OFFSET(貼付け_2027実績,$A12,9,1,199),OFFSET(貼付け_2027実績,4,9,1,199),{"横浜*","川崎*"}))</f>
        <v>0</v>
      </c>
      <c r="T12" s="2012">
        <f t="shared" ca="1" si="8"/>
        <v>0</v>
      </c>
      <c r="U12" s="2012">
        <f t="shared" ca="1" si="9"/>
        <v>0</v>
      </c>
      <c r="V12" s="2012">
        <f t="shared" ca="1" si="10"/>
        <v>0</v>
      </c>
      <c r="W12" s="2012">
        <f t="shared" ca="1" si="11"/>
        <v>0</v>
      </c>
      <c r="X12" s="2014">
        <f t="shared" ca="1" si="12"/>
        <v>0</v>
      </c>
      <c r="Y12" s="2014">
        <f t="shared" ca="1" si="13"/>
        <v>0</v>
      </c>
      <c r="Z12" s="2014">
        <f t="shared" ca="1" si="14"/>
        <v>0</v>
      </c>
      <c r="AA12" s="2014">
        <f t="shared" ca="1" si="15"/>
        <v>0</v>
      </c>
      <c r="AB12" s="2014"/>
      <c r="AC12" s="2014"/>
      <c r="AD12" s="2014"/>
      <c r="AE12" s="2014"/>
      <c r="AF12" s="2014"/>
      <c r="AG12" s="2014"/>
      <c r="AH12" s="2014"/>
      <c r="AI12" s="2014"/>
      <c r="AJ12" s="2014"/>
      <c r="AK12" s="2014"/>
      <c r="AL12" s="2014"/>
      <c r="AM12" s="2014"/>
      <c r="AN12" s="2014"/>
      <c r="AO12" s="2014"/>
      <c r="AP12" s="2014"/>
      <c r="AQ12" s="2014"/>
      <c r="AR12" s="2014"/>
      <c r="AS12" s="2014"/>
      <c r="AT12" s="2014"/>
      <c r="AU12" s="2014"/>
      <c r="AV12" s="2014"/>
      <c r="AW12" s="2014"/>
      <c r="AX12" s="2014"/>
      <c r="AY12" s="2014"/>
      <c r="AZ12" s="2014"/>
      <c r="BA12" s="2014"/>
      <c r="BB12" s="2014"/>
      <c r="BC12" s="2014"/>
      <c r="BD12" s="2014"/>
      <c r="BE12" s="2014"/>
      <c r="BF12" s="2014"/>
      <c r="BG12" s="2014"/>
      <c r="BH12" s="2014"/>
      <c r="BI12" s="2014"/>
      <c r="BJ12" s="2014"/>
      <c r="BK12" s="2014"/>
      <c r="BL12" s="2014"/>
      <c r="BM12" s="2014"/>
      <c r="BN12" s="2014"/>
      <c r="BO12" s="2014"/>
    </row>
    <row r="13" spans="1:68" ht="20.100000000000001" customHeight="1">
      <c r="A13" s="1845">
        <v>12</v>
      </c>
      <c r="B13" s="1854"/>
      <c r="C13" s="1847"/>
      <c r="D13" s="1848" t="s">
        <v>922</v>
      </c>
      <c r="E13" s="1848"/>
      <c r="F13" s="1849"/>
      <c r="G13" s="2010" t="s">
        <v>540</v>
      </c>
      <c r="H13" s="2011">
        <f t="shared" ca="1" si="0"/>
        <v>36.299999999999997</v>
      </c>
      <c r="I13" s="2011">
        <f t="shared" ca="1" si="1"/>
        <v>36.299999999999997</v>
      </c>
      <c r="J13" s="2011">
        <f t="shared" ca="1" si="2"/>
        <v>36.299999999999997</v>
      </c>
      <c r="K13" s="2011">
        <f t="shared" ca="1" si="3"/>
        <v>36.299999999999997</v>
      </c>
      <c r="L13" s="2012">
        <f t="shared" ca="1" si="4"/>
        <v>0</v>
      </c>
      <c r="M13" s="2012">
        <f t="shared" ca="1" si="5"/>
        <v>0</v>
      </c>
      <c r="N13" s="2012">
        <f t="shared" ca="1" si="6"/>
        <v>0</v>
      </c>
      <c r="O13" s="2012">
        <f t="shared" ca="1" si="7"/>
        <v>0</v>
      </c>
      <c r="P13" s="2013">
        <f ca="1">SUM(SUMIFS(OFFSET(貼付け_2024実績,$A13,9,1,199),OFFSET(貼付け_2024実績,4,9,1,199),{"横浜*","川崎*"}))</f>
        <v>0</v>
      </c>
      <c r="Q13" s="2013">
        <f ca="1">SUM(SUMIFS(OFFSET(貼付け_2025実績,$A13,9,1,199),OFFSET(貼付け_2025実績,4,9,1,199),{"横浜*","川崎*"}))</f>
        <v>0</v>
      </c>
      <c r="R13" s="2013">
        <f ca="1">SUM(SUMIFS(OFFSET(貼付け_2026実績,$A13,9,1,199),OFFSET(貼付け_2026実績,4,9,1,199),{"横浜*","川崎*"}))</f>
        <v>0</v>
      </c>
      <c r="S13" s="2013">
        <f ca="1">SUM(SUMIFS(OFFSET(貼付け_2027実績,$A13,9,1,199),OFFSET(貼付け_2027実績,4,9,1,199),{"横浜*","川崎*"}))</f>
        <v>0</v>
      </c>
      <c r="T13" s="2012">
        <f t="shared" ca="1" si="8"/>
        <v>0</v>
      </c>
      <c r="U13" s="2012">
        <f t="shared" ca="1" si="9"/>
        <v>0</v>
      </c>
      <c r="V13" s="2012">
        <f t="shared" ca="1" si="10"/>
        <v>0</v>
      </c>
      <c r="W13" s="2012">
        <f t="shared" ca="1" si="11"/>
        <v>0</v>
      </c>
      <c r="X13" s="2014">
        <f t="shared" ca="1" si="12"/>
        <v>0</v>
      </c>
      <c r="Y13" s="2014">
        <f t="shared" ca="1" si="13"/>
        <v>0</v>
      </c>
      <c r="Z13" s="2014">
        <f t="shared" ca="1" si="14"/>
        <v>0</v>
      </c>
      <c r="AA13" s="2014">
        <f t="shared" ca="1" si="15"/>
        <v>0</v>
      </c>
      <c r="AB13" s="2014"/>
      <c r="AC13" s="2014"/>
      <c r="AD13" s="2014"/>
      <c r="AE13" s="2014"/>
      <c r="AF13" s="2014"/>
      <c r="AG13" s="2014"/>
      <c r="AH13" s="2014"/>
      <c r="AI13" s="2014"/>
      <c r="AJ13" s="2014"/>
      <c r="AK13" s="2014"/>
      <c r="AL13" s="2014"/>
      <c r="AM13" s="2014"/>
      <c r="AN13" s="2014"/>
      <c r="AO13" s="2014"/>
      <c r="AP13" s="2014"/>
      <c r="AQ13" s="2014"/>
      <c r="AR13" s="2014"/>
      <c r="AS13" s="2014"/>
      <c r="AT13" s="2014"/>
      <c r="AU13" s="2014"/>
      <c r="AV13" s="2014"/>
      <c r="AW13" s="2014"/>
      <c r="AX13" s="2014"/>
      <c r="AY13" s="2014"/>
      <c r="AZ13" s="2014"/>
      <c r="BA13" s="2014"/>
      <c r="BB13" s="2014"/>
      <c r="BC13" s="2014"/>
      <c r="BD13" s="2014"/>
      <c r="BE13" s="2014"/>
      <c r="BF13" s="2014"/>
      <c r="BG13" s="2014"/>
      <c r="BH13" s="2014"/>
      <c r="BI13" s="2014"/>
      <c r="BJ13" s="2014"/>
      <c r="BK13" s="2014"/>
      <c r="BL13" s="2014"/>
      <c r="BM13" s="2014"/>
      <c r="BN13" s="2014"/>
      <c r="BO13" s="2014"/>
    </row>
    <row r="14" spans="1:68" ht="20.100000000000001" customHeight="1">
      <c r="A14" s="1845">
        <v>13</v>
      </c>
      <c r="B14" s="1855"/>
      <c r="C14" s="1847"/>
      <c r="D14" s="1848" t="s">
        <v>543</v>
      </c>
      <c r="E14" s="1848"/>
      <c r="F14" s="1849"/>
      <c r="G14" s="2010" t="s">
        <v>540</v>
      </c>
      <c r="H14" s="2011">
        <f t="shared" ca="1" si="0"/>
        <v>36.5</v>
      </c>
      <c r="I14" s="2011">
        <f t="shared" ca="1" si="1"/>
        <v>36.5</v>
      </c>
      <c r="J14" s="2011">
        <f t="shared" ca="1" si="2"/>
        <v>36.5</v>
      </c>
      <c r="K14" s="2011">
        <f t="shared" ca="1" si="3"/>
        <v>36.5</v>
      </c>
      <c r="L14" s="2012">
        <f t="shared" ca="1" si="4"/>
        <v>0</v>
      </c>
      <c r="M14" s="2012">
        <f t="shared" ca="1" si="5"/>
        <v>0</v>
      </c>
      <c r="N14" s="2012">
        <f t="shared" ca="1" si="6"/>
        <v>0</v>
      </c>
      <c r="O14" s="2012">
        <f t="shared" ca="1" si="7"/>
        <v>0</v>
      </c>
      <c r="P14" s="2013">
        <f ca="1">SUM(SUMIFS(OFFSET(貼付け_2024実績,$A14,9,1,199),OFFSET(貼付け_2024実績,4,9,1,199),{"横浜*","川崎*"}))</f>
        <v>0</v>
      </c>
      <c r="Q14" s="2013">
        <f ca="1">SUM(SUMIFS(OFFSET(貼付け_2025実績,$A14,9,1,199),OFFSET(貼付け_2025実績,4,9,1,199),{"横浜*","川崎*"}))</f>
        <v>0</v>
      </c>
      <c r="R14" s="2013">
        <f ca="1">SUM(SUMIFS(OFFSET(貼付け_2026実績,$A14,9,1,199),OFFSET(貼付け_2026実績,4,9,1,199),{"横浜*","川崎*"}))</f>
        <v>0</v>
      </c>
      <c r="S14" s="2013">
        <f ca="1">SUM(SUMIFS(OFFSET(貼付け_2027実績,$A14,9,1,199),OFFSET(貼付け_2027実績,4,9,1,199),{"横浜*","川崎*"}))</f>
        <v>0</v>
      </c>
      <c r="T14" s="2012">
        <f t="shared" ca="1" si="8"/>
        <v>0</v>
      </c>
      <c r="U14" s="2012">
        <f t="shared" ca="1" si="9"/>
        <v>0</v>
      </c>
      <c r="V14" s="2012">
        <f t="shared" ca="1" si="10"/>
        <v>0</v>
      </c>
      <c r="W14" s="2012">
        <f t="shared" ca="1" si="11"/>
        <v>0</v>
      </c>
      <c r="X14" s="2014">
        <f t="shared" ca="1" si="12"/>
        <v>0</v>
      </c>
      <c r="Y14" s="2014">
        <f t="shared" ca="1" si="13"/>
        <v>0</v>
      </c>
      <c r="Z14" s="2014">
        <f t="shared" ca="1" si="14"/>
        <v>0</v>
      </c>
      <c r="AA14" s="2014">
        <f t="shared" ca="1" si="15"/>
        <v>0</v>
      </c>
      <c r="AB14" s="2014"/>
      <c r="AC14" s="2014"/>
      <c r="AD14" s="2014"/>
      <c r="AE14" s="2014"/>
      <c r="AF14" s="2014"/>
      <c r="AG14" s="2014"/>
      <c r="AH14" s="2014"/>
      <c r="AI14" s="2014"/>
      <c r="AJ14" s="2014"/>
      <c r="AK14" s="2014"/>
      <c r="AL14" s="2014"/>
      <c r="AM14" s="2014"/>
      <c r="AN14" s="2014"/>
      <c r="AO14" s="2014"/>
      <c r="AP14" s="2014"/>
      <c r="AQ14" s="2014"/>
      <c r="AR14" s="2014"/>
      <c r="AS14" s="2014"/>
      <c r="AT14" s="2014"/>
      <c r="AU14" s="2014"/>
      <c r="AV14" s="2014"/>
      <c r="AW14" s="2014"/>
      <c r="AX14" s="2014"/>
      <c r="AY14" s="2014"/>
      <c r="AZ14" s="2014"/>
      <c r="BA14" s="2014"/>
      <c r="BB14" s="2014"/>
      <c r="BC14" s="2014"/>
      <c r="BD14" s="2014"/>
      <c r="BE14" s="2014"/>
      <c r="BF14" s="2014"/>
      <c r="BG14" s="2014"/>
      <c r="BH14" s="2014"/>
      <c r="BI14" s="2014"/>
      <c r="BJ14" s="2014"/>
      <c r="BK14" s="2014"/>
      <c r="BL14" s="2014"/>
      <c r="BM14" s="2014"/>
      <c r="BN14" s="2014"/>
      <c r="BO14" s="2014"/>
    </row>
    <row r="15" spans="1:68" ht="20.100000000000001" customHeight="1">
      <c r="A15" s="1845">
        <v>14</v>
      </c>
      <c r="B15" s="1855"/>
      <c r="C15" s="1847"/>
      <c r="D15" s="1848" t="s">
        <v>544</v>
      </c>
      <c r="E15" s="1848"/>
      <c r="F15" s="1849"/>
      <c r="G15" s="2010" t="s">
        <v>540</v>
      </c>
      <c r="H15" s="2011">
        <f t="shared" ca="1" si="0"/>
        <v>38</v>
      </c>
      <c r="I15" s="2011">
        <f t="shared" ca="1" si="1"/>
        <v>38</v>
      </c>
      <c r="J15" s="2011">
        <f t="shared" ca="1" si="2"/>
        <v>38</v>
      </c>
      <c r="K15" s="2011">
        <f t="shared" ca="1" si="3"/>
        <v>38</v>
      </c>
      <c r="L15" s="2012">
        <f t="shared" ca="1" si="4"/>
        <v>0</v>
      </c>
      <c r="M15" s="2012">
        <f t="shared" ca="1" si="5"/>
        <v>0</v>
      </c>
      <c r="N15" s="2012">
        <f t="shared" ca="1" si="6"/>
        <v>0</v>
      </c>
      <c r="O15" s="2012">
        <f t="shared" ca="1" si="7"/>
        <v>0</v>
      </c>
      <c r="P15" s="2013">
        <f ca="1">SUM(SUMIFS(OFFSET(貼付け_2024実績,$A15,9,1,199),OFFSET(貼付け_2024実績,4,9,1,199),{"横浜*","川崎*"}))</f>
        <v>0</v>
      </c>
      <c r="Q15" s="2013">
        <f ca="1">SUM(SUMIFS(OFFSET(貼付け_2025実績,$A15,9,1,199),OFFSET(貼付け_2025実績,4,9,1,199),{"横浜*","川崎*"}))</f>
        <v>0</v>
      </c>
      <c r="R15" s="2013">
        <f ca="1">SUM(SUMIFS(OFFSET(貼付け_2026実績,$A15,9,1,199),OFFSET(貼付け_2026実績,4,9,1,199),{"横浜*","川崎*"}))</f>
        <v>0</v>
      </c>
      <c r="S15" s="2013">
        <f ca="1">SUM(SUMIFS(OFFSET(貼付け_2027実績,$A15,9,1,199),OFFSET(貼付け_2027実績,4,9,1,199),{"横浜*","川崎*"}))</f>
        <v>0</v>
      </c>
      <c r="T15" s="2012">
        <f t="shared" ca="1" si="8"/>
        <v>0</v>
      </c>
      <c r="U15" s="2012">
        <f t="shared" ca="1" si="9"/>
        <v>0</v>
      </c>
      <c r="V15" s="2012">
        <f t="shared" ca="1" si="10"/>
        <v>0</v>
      </c>
      <c r="W15" s="2012">
        <f t="shared" ca="1" si="11"/>
        <v>0</v>
      </c>
      <c r="X15" s="2014">
        <f t="shared" ca="1" si="12"/>
        <v>0</v>
      </c>
      <c r="Y15" s="2014">
        <f t="shared" ca="1" si="13"/>
        <v>0</v>
      </c>
      <c r="Z15" s="2014">
        <f t="shared" ca="1" si="14"/>
        <v>0</v>
      </c>
      <c r="AA15" s="2014">
        <f t="shared" ca="1" si="15"/>
        <v>0</v>
      </c>
      <c r="AB15" s="2014"/>
      <c r="AC15" s="2014"/>
      <c r="AD15" s="2014"/>
      <c r="AE15" s="2014"/>
      <c r="AF15" s="2014"/>
      <c r="AG15" s="2014"/>
      <c r="AH15" s="2014"/>
      <c r="AI15" s="2014"/>
      <c r="AJ15" s="2014"/>
      <c r="AK15" s="2014"/>
      <c r="AL15" s="2014"/>
      <c r="AM15" s="2014"/>
      <c r="AN15" s="2014"/>
      <c r="AO15" s="2014"/>
      <c r="AP15" s="2014"/>
      <c r="AQ15" s="2014"/>
      <c r="AR15" s="2014"/>
      <c r="AS15" s="2014"/>
      <c r="AT15" s="2014"/>
      <c r="AU15" s="2014"/>
      <c r="AV15" s="2014"/>
      <c r="AW15" s="2014"/>
      <c r="AX15" s="2014"/>
      <c r="AY15" s="2014"/>
      <c r="AZ15" s="2014"/>
      <c r="BA15" s="2014"/>
      <c r="BB15" s="2014"/>
      <c r="BC15" s="2014"/>
      <c r="BD15" s="2014"/>
      <c r="BE15" s="2014"/>
      <c r="BF15" s="2014"/>
      <c r="BG15" s="2014"/>
      <c r="BH15" s="2014"/>
      <c r="BI15" s="2014"/>
      <c r="BJ15" s="2014"/>
      <c r="BK15" s="2014"/>
      <c r="BL15" s="2014"/>
      <c r="BM15" s="2014"/>
      <c r="BN15" s="2014"/>
      <c r="BO15" s="2014"/>
    </row>
    <row r="16" spans="1:68" ht="20.100000000000001" customHeight="1">
      <c r="A16" s="1845">
        <v>15</v>
      </c>
      <c r="B16" s="1854"/>
      <c r="C16" s="1847"/>
      <c r="D16" s="1848" t="s">
        <v>545</v>
      </c>
      <c r="E16" s="1848"/>
      <c r="F16" s="1849"/>
      <c r="G16" s="2010" t="s">
        <v>540</v>
      </c>
      <c r="H16" s="2011">
        <f t="shared" ca="1" si="0"/>
        <v>38.9</v>
      </c>
      <c r="I16" s="2011">
        <f t="shared" ca="1" si="1"/>
        <v>38.9</v>
      </c>
      <c r="J16" s="2011">
        <f t="shared" ca="1" si="2"/>
        <v>38.9</v>
      </c>
      <c r="K16" s="2011">
        <f t="shared" ca="1" si="3"/>
        <v>38.9</v>
      </c>
      <c r="L16" s="2012">
        <f t="shared" ca="1" si="4"/>
        <v>0</v>
      </c>
      <c r="M16" s="2012">
        <f t="shared" ca="1" si="5"/>
        <v>0</v>
      </c>
      <c r="N16" s="2012">
        <f t="shared" ca="1" si="6"/>
        <v>0</v>
      </c>
      <c r="O16" s="2012">
        <f t="shared" ca="1" si="7"/>
        <v>0</v>
      </c>
      <c r="P16" s="2013">
        <f ca="1">SUM(SUMIFS(OFFSET(貼付け_2024実績,$A16,9,1,199),OFFSET(貼付け_2024実績,4,9,1,199),{"横浜*","川崎*"}))</f>
        <v>0</v>
      </c>
      <c r="Q16" s="2013">
        <f ca="1">SUM(SUMIFS(OFFSET(貼付け_2025実績,$A16,9,1,199),OFFSET(貼付け_2025実績,4,9,1,199),{"横浜*","川崎*"}))</f>
        <v>0</v>
      </c>
      <c r="R16" s="2013">
        <f ca="1">SUM(SUMIFS(OFFSET(貼付け_2026実績,$A16,9,1,199),OFFSET(貼付け_2026実績,4,9,1,199),{"横浜*","川崎*"}))</f>
        <v>0</v>
      </c>
      <c r="S16" s="2013">
        <f ca="1">SUM(SUMIFS(OFFSET(貼付け_2027実績,$A16,9,1,199),OFFSET(貼付け_2027実績,4,9,1,199),{"横浜*","川崎*"}))</f>
        <v>0</v>
      </c>
      <c r="T16" s="2012">
        <f t="shared" ca="1" si="8"/>
        <v>0</v>
      </c>
      <c r="U16" s="2012">
        <f t="shared" ca="1" si="9"/>
        <v>0</v>
      </c>
      <c r="V16" s="2012">
        <f t="shared" ca="1" si="10"/>
        <v>0</v>
      </c>
      <c r="W16" s="2012">
        <f t="shared" ca="1" si="11"/>
        <v>0</v>
      </c>
      <c r="X16" s="2014">
        <f t="shared" ca="1" si="12"/>
        <v>0</v>
      </c>
      <c r="Y16" s="2014">
        <f t="shared" ca="1" si="13"/>
        <v>0</v>
      </c>
      <c r="Z16" s="2014">
        <f t="shared" ca="1" si="14"/>
        <v>0</v>
      </c>
      <c r="AA16" s="2014">
        <f t="shared" ca="1" si="15"/>
        <v>0</v>
      </c>
      <c r="AB16" s="2014"/>
      <c r="AC16" s="2014"/>
      <c r="AD16" s="2014"/>
      <c r="AE16" s="2014"/>
      <c r="AF16" s="2014"/>
      <c r="AG16" s="2014"/>
      <c r="AH16" s="2014"/>
      <c r="AI16" s="2014"/>
      <c r="AJ16" s="2014"/>
      <c r="AK16" s="2014"/>
      <c r="AL16" s="2014"/>
      <c r="AM16" s="2014"/>
      <c r="AN16" s="2014"/>
      <c r="AO16" s="2014"/>
      <c r="AP16" s="2014"/>
      <c r="AQ16" s="2014"/>
      <c r="AR16" s="2014"/>
      <c r="AS16" s="2014"/>
      <c r="AT16" s="2014"/>
      <c r="AU16" s="2014"/>
      <c r="AV16" s="2014"/>
      <c r="AW16" s="2014"/>
      <c r="AX16" s="2014"/>
      <c r="AY16" s="2014"/>
      <c r="AZ16" s="2014"/>
      <c r="BA16" s="2014"/>
      <c r="BB16" s="2014"/>
      <c r="BC16" s="2014"/>
      <c r="BD16" s="2014"/>
      <c r="BE16" s="2014"/>
      <c r="BF16" s="2014"/>
      <c r="BG16" s="2014"/>
      <c r="BH16" s="2014"/>
      <c r="BI16" s="2014"/>
      <c r="BJ16" s="2014"/>
      <c r="BK16" s="2014"/>
      <c r="BL16" s="2014"/>
      <c r="BM16" s="2014"/>
      <c r="BN16" s="2014"/>
      <c r="BO16" s="2014"/>
    </row>
    <row r="17" spans="1:67" ht="20.100000000000001" customHeight="1">
      <c r="A17" s="1845">
        <v>16</v>
      </c>
      <c r="B17" s="1854"/>
      <c r="C17" s="1847"/>
      <c r="D17" s="1848" t="s">
        <v>546</v>
      </c>
      <c r="E17" s="1837"/>
      <c r="F17" s="1849"/>
      <c r="G17" s="2010" t="s">
        <v>540</v>
      </c>
      <c r="H17" s="2011">
        <f t="shared" ca="1" si="0"/>
        <v>41.8</v>
      </c>
      <c r="I17" s="2011">
        <f t="shared" ca="1" si="1"/>
        <v>41.8</v>
      </c>
      <c r="J17" s="2011">
        <f t="shared" ca="1" si="2"/>
        <v>41.8</v>
      </c>
      <c r="K17" s="2011">
        <f t="shared" ca="1" si="3"/>
        <v>41.8</v>
      </c>
      <c r="L17" s="2012">
        <f t="shared" ca="1" si="4"/>
        <v>0</v>
      </c>
      <c r="M17" s="2012">
        <f t="shared" ca="1" si="5"/>
        <v>0</v>
      </c>
      <c r="N17" s="2012">
        <f t="shared" ca="1" si="6"/>
        <v>0</v>
      </c>
      <c r="O17" s="2012">
        <f t="shared" ca="1" si="7"/>
        <v>0</v>
      </c>
      <c r="P17" s="2013">
        <f ca="1">SUM(SUMIFS(OFFSET(貼付け_2024実績,$A17,9,1,199),OFFSET(貼付け_2024実績,4,9,1,199),{"横浜*","川崎*"}))</f>
        <v>0</v>
      </c>
      <c r="Q17" s="2013">
        <f ca="1">SUM(SUMIFS(OFFSET(貼付け_2025実績,$A17,9,1,199),OFFSET(貼付け_2025実績,4,9,1,199),{"横浜*","川崎*"}))</f>
        <v>0</v>
      </c>
      <c r="R17" s="2013">
        <f ca="1">SUM(SUMIFS(OFFSET(貼付け_2026実績,$A17,9,1,199),OFFSET(貼付け_2026実績,4,9,1,199),{"横浜*","川崎*"}))</f>
        <v>0</v>
      </c>
      <c r="S17" s="2013">
        <f ca="1">SUM(SUMIFS(OFFSET(貼付け_2027実績,$A17,9,1,199),OFFSET(貼付け_2027実績,4,9,1,199),{"横浜*","川崎*"}))</f>
        <v>0</v>
      </c>
      <c r="T17" s="2012">
        <f t="shared" ca="1" si="8"/>
        <v>0</v>
      </c>
      <c r="U17" s="2012">
        <f t="shared" ca="1" si="9"/>
        <v>0</v>
      </c>
      <c r="V17" s="2012">
        <f t="shared" ca="1" si="10"/>
        <v>0</v>
      </c>
      <c r="W17" s="2012">
        <f t="shared" ca="1" si="11"/>
        <v>0</v>
      </c>
      <c r="X17" s="2014">
        <f t="shared" ca="1" si="12"/>
        <v>0</v>
      </c>
      <c r="Y17" s="2014">
        <f t="shared" ca="1" si="13"/>
        <v>0</v>
      </c>
      <c r="Z17" s="2014">
        <f t="shared" ca="1" si="14"/>
        <v>0</v>
      </c>
      <c r="AA17" s="2014">
        <f t="shared" ca="1" si="15"/>
        <v>0</v>
      </c>
      <c r="AB17" s="2014"/>
      <c r="AC17" s="2014"/>
      <c r="AD17" s="2014"/>
      <c r="AE17" s="2014"/>
      <c r="AF17" s="2014"/>
      <c r="AG17" s="2014"/>
      <c r="AH17" s="2014"/>
      <c r="AI17" s="2014"/>
      <c r="AJ17" s="2014"/>
      <c r="AK17" s="2014"/>
      <c r="AL17" s="2014"/>
      <c r="AM17" s="2014"/>
      <c r="AN17" s="2014"/>
      <c r="AO17" s="2014"/>
      <c r="AP17" s="2014"/>
      <c r="AQ17" s="2014"/>
      <c r="AR17" s="2014"/>
      <c r="AS17" s="2014"/>
      <c r="AT17" s="2014"/>
      <c r="AU17" s="2014"/>
      <c r="AV17" s="2014"/>
      <c r="AW17" s="2014"/>
      <c r="AX17" s="2014"/>
      <c r="AY17" s="2014"/>
      <c r="AZ17" s="2014"/>
      <c r="BA17" s="2014"/>
      <c r="BB17" s="2014"/>
      <c r="BC17" s="2014"/>
      <c r="BD17" s="2014"/>
      <c r="BE17" s="2014"/>
      <c r="BF17" s="2014"/>
      <c r="BG17" s="2014"/>
      <c r="BH17" s="2014"/>
      <c r="BI17" s="2014"/>
      <c r="BJ17" s="2014"/>
      <c r="BK17" s="2014"/>
      <c r="BL17" s="2014"/>
      <c r="BM17" s="2014"/>
      <c r="BN17" s="2014"/>
      <c r="BO17" s="2014"/>
    </row>
    <row r="18" spans="1:67" ht="20.100000000000001" customHeight="1">
      <c r="A18" s="1845">
        <v>17</v>
      </c>
      <c r="B18" s="1854"/>
      <c r="C18" s="1847"/>
      <c r="D18" s="1848" t="s">
        <v>547</v>
      </c>
      <c r="E18" s="1848"/>
      <c r="F18" s="1849"/>
      <c r="G18" s="2010" t="s">
        <v>548</v>
      </c>
      <c r="H18" s="2011">
        <f t="shared" ca="1" si="0"/>
        <v>40</v>
      </c>
      <c r="I18" s="2011">
        <f t="shared" ca="1" si="1"/>
        <v>40</v>
      </c>
      <c r="J18" s="2011">
        <f t="shared" ca="1" si="2"/>
        <v>40</v>
      </c>
      <c r="K18" s="2011">
        <f t="shared" ca="1" si="3"/>
        <v>40</v>
      </c>
      <c r="L18" s="2012">
        <f t="shared" ca="1" si="4"/>
        <v>0</v>
      </c>
      <c r="M18" s="2012">
        <f t="shared" ca="1" si="5"/>
        <v>0</v>
      </c>
      <c r="N18" s="2012">
        <f t="shared" ca="1" si="6"/>
        <v>0</v>
      </c>
      <c r="O18" s="2012">
        <f t="shared" ca="1" si="7"/>
        <v>0</v>
      </c>
      <c r="P18" s="2013">
        <f ca="1">SUM(SUMIFS(OFFSET(貼付け_2024実績,$A18,9,1,199),OFFSET(貼付け_2024実績,4,9,1,199),{"横浜*","川崎*"}))</f>
        <v>0</v>
      </c>
      <c r="Q18" s="2013">
        <f ca="1">SUM(SUMIFS(OFFSET(貼付け_2025実績,$A18,9,1,199),OFFSET(貼付け_2025実績,4,9,1,199),{"横浜*","川崎*"}))</f>
        <v>0</v>
      </c>
      <c r="R18" s="2013">
        <f ca="1">SUM(SUMIFS(OFFSET(貼付け_2026実績,$A18,9,1,199),OFFSET(貼付け_2026実績,4,9,1,199),{"横浜*","川崎*"}))</f>
        <v>0</v>
      </c>
      <c r="S18" s="2013">
        <f ca="1">SUM(SUMIFS(OFFSET(貼付け_2027実績,$A18,9,1,199),OFFSET(貼付け_2027実績,4,9,1,199),{"横浜*","川崎*"}))</f>
        <v>0</v>
      </c>
      <c r="T18" s="2012">
        <f t="shared" ca="1" si="8"/>
        <v>0</v>
      </c>
      <c r="U18" s="2012">
        <f t="shared" ca="1" si="9"/>
        <v>0</v>
      </c>
      <c r="V18" s="2012">
        <f t="shared" ca="1" si="10"/>
        <v>0</v>
      </c>
      <c r="W18" s="2012">
        <f t="shared" ca="1" si="11"/>
        <v>0</v>
      </c>
      <c r="X18" s="2014">
        <f t="shared" ca="1" si="12"/>
        <v>0</v>
      </c>
      <c r="Y18" s="2014">
        <f t="shared" ca="1" si="13"/>
        <v>0</v>
      </c>
      <c r="Z18" s="2014">
        <f t="shared" ca="1" si="14"/>
        <v>0</v>
      </c>
      <c r="AA18" s="2014">
        <f t="shared" ca="1" si="15"/>
        <v>0</v>
      </c>
      <c r="AB18" s="2014"/>
      <c r="AC18" s="2014"/>
      <c r="AD18" s="2014"/>
      <c r="AE18" s="2014"/>
      <c r="AF18" s="2014"/>
      <c r="AG18" s="2014"/>
      <c r="AH18" s="2014"/>
      <c r="AI18" s="2014"/>
      <c r="AJ18" s="2014"/>
      <c r="AK18" s="2014"/>
      <c r="AL18" s="2014"/>
      <c r="AM18" s="2014"/>
      <c r="AN18" s="2014"/>
      <c r="AO18" s="2014"/>
      <c r="AP18" s="2014"/>
      <c r="AQ18" s="2014"/>
      <c r="AR18" s="2014"/>
      <c r="AS18" s="2014"/>
      <c r="AT18" s="2014"/>
      <c r="AU18" s="2014"/>
      <c r="AV18" s="2014"/>
      <c r="AW18" s="2014"/>
      <c r="AX18" s="2014"/>
      <c r="AY18" s="2014"/>
      <c r="AZ18" s="2014"/>
      <c r="BA18" s="2014"/>
      <c r="BB18" s="2014"/>
      <c r="BC18" s="2014"/>
      <c r="BD18" s="2014"/>
      <c r="BE18" s="2014"/>
      <c r="BF18" s="2014"/>
      <c r="BG18" s="2014"/>
      <c r="BH18" s="2014"/>
      <c r="BI18" s="2014"/>
      <c r="BJ18" s="2014"/>
      <c r="BK18" s="2014"/>
      <c r="BL18" s="2014"/>
      <c r="BM18" s="2014"/>
      <c r="BN18" s="2014"/>
      <c r="BO18" s="2014"/>
    </row>
    <row r="19" spans="1:67" ht="20.100000000000001" customHeight="1">
      <c r="A19" s="1845">
        <v>18</v>
      </c>
      <c r="B19" s="1854"/>
      <c r="C19" s="1847"/>
      <c r="D19" s="1848" t="s">
        <v>549</v>
      </c>
      <c r="E19" s="1848"/>
      <c r="F19" s="1849"/>
      <c r="G19" s="2010" t="s">
        <v>548</v>
      </c>
      <c r="H19" s="2011">
        <f t="shared" ca="1" si="0"/>
        <v>34.1</v>
      </c>
      <c r="I19" s="2011">
        <f t="shared" ca="1" si="1"/>
        <v>34.1</v>
      </c>
      <c r="J19" s="2011">
        <f t="shared" ca="1" si="2"/>
        <v>34.1</v>
      </c>
      <c r="K19" s="2011">
        <f t="shared" ca="1" si="3"/>
        <v>34.1</v>
      </c>
      <c r="L19" s="2012">
        <f t="shared" ca="1" si="4"/>
        <v>0</v>
      </c>
      <c r="M19" s="2012">
        <f t="shared" ca="1" si="5"/>
        <v>0</v>
      </c>
      <c r="N19" s="2012">
        <f t="shared" ca="1" si="6"/>
        <v>0</v>
      </c>
      <c r="O19" s="2012">
        <f t="shared" ca="1" si="7"/>
        <v>0</v>
      </c>
      <c r="P19" s="2013">
        <f ca="1">SUM(SUMIFS(OFFSET(貼付け_2024実績,$A19,9,1,199),OFFSET(貼付け_2024実績,4,9,1,199),{"横浜*","川崎*"}))</f>
        <v>0</v>
      </c>
      <c r="Q19" s="2013">
        <f ca="1">SUM(SUMIFS(OFFSET(貼付け_2025実績,$A19,9,1,199),OFFSET(貼付け_2025実績,4,9,1,199),{"横浜*","川崎*"}))</f>
        <v>0</v>
      </c>
      <c r="R19" s="2013">
        <f ca="1">SUM(SUMIFS(OFFSET(貼付け_2026実績,$A19,9,1,199),OFFSET(貼付け_2026実績,4,9,1,199),{"横浜*","川崎*"}))</f>
        <v>0</v>
      </c>
      <c r="S19" s="2013">
        <f ca="1">SUM(SUMIFS(OFFSET(貼付け_2027実績,$A19,9,1,199),OFFSET(貼付け_2027実績,4,9,1,199),{"横浜*","川崎*"}))</f>
        <v>0</v>
      </c>
      <c r="T19" s="2012">
        <f t="shared" ca="1" si="8"/>
        <v>0</v>
      </c>
      <c r="U19" s="2012">
        <f t="shared" ca="1" si="9"/>
        <v>0</v>
      </c>
      <c r="V19" s="2012">
        <f t="shared" ca="1" si="10"/>
        <v>0</v>
      </c>
      <c r="W19" s="2012">
        <f t="shared" ca="1" si="11"/>
        <v>0</v>
      </c>
      <c r="X19" s="2014">
        <f t="shared" ca="1" si="12"/>
        <v>0</v>
      </c>
      <c r="Y19" s="2014">
        <f t="shared" ca="1" si="13"/>
        <v>0</v>
      </c>
      <c r="Z19" s="2014">
        <f t="shared" ca="1" si="14"/>
        <v>0</v>
      </c>
      <c r="AA19" s="2014">
        <f t="shared" ca="1" si="15"/>
        <v>0</v>
      </c>
      <c r="AB19" s="2014"/>
      <c r="AC19" s="2014"/>
      <c r="AD19" s="2014"/>
      <c r="AE19" s="2014"/>
      <c r="AF19" s="2014"/>
      <c r="AG19" s="2014"/>
      <c r="AH19" s="2014"/>
      <c r="AI19" s="2014"/>
      <c r="AJ19" s="2014"/>
      <c r="AK19" s="2014"/>
      <c r="AL19" s="2014"/>
      <c r="AM19" s="2014"/>
      <c r="AN19" s="2014"/>
      <c r="AO19" s="2014"/>
      <c r="AP19" s="2014"/>
      <c r="AQ19" s="2014"/>
      <c r="AR19" s="2014"/>
      <c r="AS19" s="2014"/>
      <c r="AT19" s="2014"/>
      <c r="AU19" s="2014"/>
      <c r="AV19" s="2014"/>
      <c r="AW19" s="2014"/>
      <c r="AX19" s="2014"/>
      <c r="AY19" s="2014"/>
      <c r="AZ19" s="2014"/>
      <c r="BA19" s="2014"/>
      <c r="BB19" s="2014"/>
      <c r="BC19" s="2014"/>
      <c r="BD19" s="2014"/>
      <c r="BE19" s="2014"/>
      <c r="BF19" s="2014"/>
      <c r="BG19" s="2014"/>
      <c r="BH19" s="2014"/>
      <c r="BI19" s="2014"/>
      <c r="BJ19" s="2014"/>
      <c r="BK19" s="2014"/>
      <c r="BL19" s="2014"/>
      <c r="BM19" s="2014"/>
      <c r="BN19" s="2014"/>
      <c r="BO19" s="2014"/>
    </row>
    <row r="20" spans="1:67" ht="20.100000000000001" customHeight="1">
      <c r="A20" s="1845">
        <v>19</v>
      </c>
      <c r="B20" s="1855"/>
      <c r="C20" s="1847"/>
      <c r="D20" s="1848" t="s">
        <v>923</v>
      </c>
      <c r="E20" s="1848"/>
      <c r="F20" s="1849"/>
      <c r="G20" s="2010" t="s">
        <v>548</v>
      </c>
      <c r="H20" s="2011">
        <f t="shared" ca="1" si="0"/>
        <v>50.1</v>
      </c>
      <c r="I20" s="2011">
        <f t="shared" ca="1" si="1"/>
        <v>50.1</v>
      </c>
      <c r="J20" s="2011">
        <f t="shared" ca="1" si="2"/>
        <v>50.1</v>
      </c>
      <c r="K20" s="2011">
        <f t="shared" ca="1" si="3"/>
        <v>50.1</v>
      </c>
      <c r="L20" s="2012">
        <f t="shared" ca="1" si="4"/>
        <v>0</v>
      </c>
      <c r="M20" s="2012">
        <f t="shared" ca="1" si="5"/>
        <v>0</v>
      </c>
      <c r="N20" s="2012">
        <f t="shared" ca="1" si="6"/>
        <v>0</v>
      </c>
      <c r="O20" s="2012">
        <f t="shared" ca="1" si="7"/>
        <v>0</v>
      </c>
      <c r="P20" s="2013">
        <f ca="1">SUM(SUMIFS(OFFSET(貼付け_2024実績,$A20,9,1,199),OFFSET(貼付け_2024実績,4,9,1,199),{"横浜*","川崎*"}))</f>
        <v>0</v>
      </c>
      <c r="Q20" s="2013">
        <f ca="1">SUM(SUMIFS(OFFSET(貼付け_2025実績,$A20,9,1,199),OFFSET(貼付け_2025実績,4,9,1,199),{"横浜*","川崎*"}))</f>
        <v>0</v>
      </c>
      <c r="R20" s="2013">
        <f ca="1">SUM(SUMIFS(OFFSET(貼付け_2026実績,$A20,9,1,199),OFFSET(貼付け_2026実績,4,9,1,199),{"横浜*","川崎*"}))</f>
        <v>0</v>
      </c>
      <c r="S20" s="2013">
        <f ca="1">SUM(SUMIFS(OFFSET(貼付け_2027実績,$A20,9,1,199),OFFSET(貼付け_2027実績,4,9,1,199),{"横浜*","川崎*"}))</f>
        <v>0</v>
      </c>
      <c r="T20" s="2012">
        <f t="shared" ca="1" si="8"/>
        <v>0</v>
      </c>
      <c r="U20" s="2012">
        <f t="shared" ca="1" si="9"/>
        <v>0</v>
      </c>
      <c r="V20" s="2012">
        <f t="shared" ca="1" si="10"/>
        <v>0</v>
      </c>
      <c r="W20" s="2012">
        <f t="shared" ca="1" si="11"/>
        <v>0</v>
      </c>
      <c r="X20" s="2014">
        <f t="shared" ca="1" si="12"/>
        <v>0</v>
      </c>
      <c r="Y20" s="2014">
        <f t="shared" ca="1" si="13"/>
        <v>0</v>
      </c>
      <c r="Z20" s="2014">
        <f t="shared" ca="1" si="14"/>
        <v>0</v>
      </c>
      <c r="AA20" s="2014">
        <f t="shared" ca="1" si="15"/>
        <v>0</v>
      </c>
      <c r="AB20" s="2014"/>
      <c r="AC20" s="2014"/>
      <c r="AD20" s="2014"/>
      <c r="AE20" s="2014"/>
      <c r="AF20" s="2014"/>
      <c r="AG20" s="2014"/>
      <c r="AH20" s="2014"/>
      <c r="AI20" s="2014"/>
      <c r="AJ20" s="2014"/>
      <c r="AK20" s="2014"/>
      <c r="AL20" s="2014"/>
      <c r="AM20" s="2014"/>
      <c r="AN20" s="2014"/>
      <c r="AO20" s="2014"/>
      <c r="AP20" s="2014"/>
      <c r="AQ20" s="2014"/>
      <c r="AR20" s="2014"/>
      <c r="AS20" s="2014"/>
      <c r="AT20" s="2014"/>
      <c r="AU20" s="2014"/>
      <c r="AV20" s="2014"/>
      <c r="AW20" s="2014"/>
      <c r="AX20" s="2014"/>
      <c r="AY20" s="2014"/>
      <c r="AZ20" s="2014"/>
      <c r="BA20" s="2014"/>
      <c r="BB20" s="2014"/>
      <c r="BC20" s="2014"/>
      <c r="BD20" s="2014"/>
      <c r="BE20" s="2014"/>
      <c r="BF20" s="2014"/>
      <c r="BG20" s="2014"/>
      <c r="BH20" s="2014"/>
      <c r="BI20" s="2014"/>
      <c r="BJ20" s="2014"/>
      <c r="BK20" s="2014"/>
      <c r="BL20" s="2014"/>
      <c r="BM20" s="2014"/>
      <c r="BN20" s="2014"/>
      <c r="BO20" s="2014"/>
    </row>
    <row r="21" spans="1:67" ht="20.100000000000001" customHeight="1">
      <c r="A21" s="1845">
        <v>20</v>
      </c>
      <c r="B21" s="1854"/>
      <c r="C21" s="1847"/>
      <c r="D21" s="1848" t="s">
        <v>924</v>
      </c>
      <c r="E21" s="1848"/>
      <c r="F21" s="1849"/>
      <c r="G21" s="2010" t="s">
        <v>553</v>
      </c>
      <c r="H21" s="2011">
        <f t="shared" ca="1" si="0"/>
        <v>46.1</v>
      </c>
      <c r="I21" s="2011">
        <f t="shared" ca="1" si="1"/>
        <v>46.1</v>
      </c>
      <c r="J21" s="2011">
        <f t="shared" ca="1" si="2"/>
        <v>46.1</v>
      </c>
      <c r="K21" s="2011">
        <f t="shared" ca="1" si="3"/>
        <v>46.1</v>
      </c>
      <c r="L21" s="2012">
        <f t="shared" ca="1" si="4"/>
        <v>0</v>
      </c>
      <c r="M21" s="2012">
        <f t="shared" ca="1" si="5"/>
        <v>0</v>
      </c>
      <c r="N21" s="2012">
        <f t="shared" ca="1" si="6"/>
        <v>0</v>
      </c>
      <c r="O21" s="2012">
        <f t="shared" ca="1" si="7"/>
        <v>0</v>
      </c>
      <c r="P21" s="2013">
        <f ca="1">SUM(SUMIFS(OFFSET(貼付け_2024実績,$A21,9,1,199),OFFSET(貼付け_2024実績,4,9,1,199),{"横浜*","川崎*"}))</f>
        <v>0</v>
      </c>
      <c r="Q21" s="2013">
        <f ca="1">SUM(SUMIFS(OFFSET(貼付け_2025実績,$A21,9,1,199),OFFSET(貼付け_2025実績,4,9,1,199),{"横浜*","川崎*"}))</f>
        <v>0</v>
      </c>
      <c r="R21" s="2013">
        <f ca="1">SUM(SUMIFS(OFFSET(貼付け_2026実績,$A21,9,1,199),OFFSET(貼付け_2026実績,4,9,1,199),{"横浜*","川崎*"}))</f>
        <v>0</v>
      </c>
      <c r="S21" s="2013">
        <f ca="1">SUM(SUMIFS(OFFSET(貼付け_2027実績,$A21,9,1,199),OFFSET(貼付け_2027実績,4,9,1,199),{"横浜*","川崎*"}))</f>
        <v>0</v>
      </c>
      <c r="T21" s="2012">
        <f t="shared" ca="1" si="8"/>
        <v>0</v>
      </c>
      <c r="U21" s="2012">
        <f t="shared" ca="1" si="9"/>
        <v>0</v>
      </c>
      <c r="V21" s="2012">
        <f t="shared" ca="1" si="10"/>
        <v>0</v>
      </c>
      <c r="W21" s="2012">
        <f t="shared" ca="1" si="11"/>
        <v>0</v>
      </c>
      <c r="X21" s="2014">
        <f t="shared" ca="1" si="12"/>
        <v>0</v>
      </c>
      <c r="Y21" s="2014">
        <f t="shared" ca="1" si="13"/>
        <v>0</v>
      </c>
      <c r="Z21" s="2014">
        <f t="shared" ca="1" si="14"/>
        <v>0</v>
      </c>
      <c r="AA21" s="2014">
        <f t="shared" ca="1" si="15"/>
        <v>0</v>
      </c>
      <c r="AB21" s="2014"/>
      <c r="AC21" s="2014"/>
      <c r="AD21" s="2014"/>
      <c r="AE21" s="2014"/>
      <c r="AF21" s="2014"/>
      <c r="AG21" s="2014"/>
      <c r="AH21" s="2014"/>
      <c r="AI21" s="2014"/>
      <c r="AJ21" s="2014"/>
      <c r="AK21" s="2014"/>
      <c r="AL21" s="2014"/>
      <c r="AM21" s="2014"/>
      <c r="AN21" s="2014"/>
      <c r="AO21" s="2014"/>
      <c r="AP21" s="2014"/>
      <c r="AQ21" s="2014"/>
      <c r="AR21" s="2014"/>
      <c r="AS21" s="2014"/>
      <c r="AT21" s="2014"/>
      <c r="AU21" s="2014"/>
      <c r="AV21" s="2014"/>
      <c r="AW21" s="2014"/>
      <c r="AX21" s="2014"/>
      <c r="AY21" s="2014"/>
      <c r="AZ21" s="2014"/>
      <c r="BA21" s="2014"/>
      <c r="BB21" s="2014"/>
      <c r="BC21" s="2014"/>
      <c r="BD21" s="2014"/>
      <c r="BE21" s="2014"/>
      <c r="BF21" s="2014"/>
      <c r="BG21" s="2014"/>
      <c r="BH21" s="2014"/>
      <c r="BI21" s="2014"/>
      <c r="BJ21" s="2014"/>
      <c r="BK21" s="2014"/>
      <c r="BL21" s="2014"/>
      <c r="BM21" s="2014"/>
      <c r="BN21" s="2014"/>
      <c r="BO21" s="2014"/>
    </row>
    <row r="22" spans="1:67" ht="20.100000000000001" customHeight="1">
      <c r="A22" s="1845">
        <v>21</v>
      </c>
      <c r="B22" s="1855"/>
      <c r="C22" s="1847"/>
      <c r="D22" s="1848" t="s">
        <v>925</v>
      </c>
      <c r="E22" s="1837"/>
      <c r="F22" s="1849"/>
      <c r="G22" s="2010" t="s">
        <v>548</v>
      </c>
      <c r="H22" s="2011">
        <f t="shared" ca="1" si="0"/>
        <v>54.7</v>
      </c>
      <c r="I22" s="2011">
        <f t="shared" ca="1" si="1"/>
        <v>54.7</v>
      </c>
      <c r="J22" s="2011">
        <f t="shared" ca="1" si="2"/>
        <v>54.7</v>
      </c>
      <c r="K22" s="2011">
        <f t="shared" ca="1" si="3"/>
        <v>54.7</v>
      </c>
      <c r="L22" s="2012">
        <f t="shared" ca="1" si="4"/>
        <v>0</v>
      </c>
      <c r="M22" s="2012">
        <f t="shared" ca="1" si="5"/>
        <v>0</v>
      </c>
      <c r="N22" s="2012">
        <f t="shared" ca="1" si="6"/>
        <v>0</v>
      </c>
      <c r="O22" s="2012">
        <f t="shared" ca="1" si="7"/>
        <v>0</v>
      </c>
      <c r="P22" s="2013">
        <f ca="1">SUM(SUMIFS(OFFSET(貼付け_2024実績,$A22,9,1,199),OFFSET(貼付け_2024実績,4,9,1,199),{"横浜*","川崎*"}))</f>
        <v>0</v>
      </c>
      <c r="Q22" s="2013">
        <f ca="1">SUM(SUMIFS(OFFSET(貼付け_2025実績,$A22,9,1,199),OFFSET(貼付け_2025実績,4,9,1,199),{"横浜*","川崎*"}))</f>
        <v>0</v>
      </c>
      <c r="R22" s="2013">
        <f ca="1">SUM(SUMIFS(OFFSET(貼付け_2026実績,$A22,9,1,199),OFFSET(貼付け_2026実績,4,9,1,199),{"横浜*","川崎*"}))</f>
        <v>0</v>
      </c>
      <c r="S22" s="2013">
        <f ca="1">SUM(SUMIFS(OFFSET(貼付け_2027実績,$A22,9,1,199),OFFSET(貼付け_2027実績,4,9,1,199),{"横浜*","川崎*"}))</f>
        <v>0</v>
      </c>
      <c r="T22" s="2012">
        <f t="shared" ca="1" si="8"/>
        <v>0</v>
      </c>
      <c r="U22" s="2012">
        <f t="shared" ca="1" si="9"/>
        <v>0</v>
      </c>
      <c r="V22" s="2012">
        <f t="shared" ca="1" si="10"/>
        <v>0</v>
      </c>
      <c r="W22" s="2012">
        <f t="shared" ca="1" si="11"/>
        <v>0</v>
      </c>
      <c r="X22" s="2014">
        <f t="shared" ca="1" si="12"/>
        <v>0</v>
      </c>
      <c r="Y22" s="2014">
        <f t="shared" ca="1" si="13"/>
        <v>0</v>
      </c>
      <c r="Z22" s="2014">
        <f t="shared" ca="1" si="14"/>
        <v>0</v>
      </c>
      <c r="AA22" s="2014">
        <f t="shared" ca="1" si="15"/>
        <v>0</v>
      </c>
      <c r="AB22" s="2014"/>
      <c r="AC22" s="2014"/>
      <c r="AD22" s="2014"/>
      <c r="AE22" s="2014"/>
      <c r="AF22" s="2014"/>
      <c r="AG22" s="2014"/>
      <c r="AH22" s="2014"/>
      <c r="AI22" s="2014"/>
      <c r="AJ22" s="2014"/>
      <c r="AK22" s="2014"/>
      <c r="AL22" s="2014"/>
      <c r="AM22" s="2014"/>
      <c r="AN22" s="2014"/>
      <c r="AO22" s="2014"/>
      <c r="AP22" s="2014"/>
      <c r="AQ22" s="2014"/>
      <c r="AR22" s="2014"/>
      <c r="AS22" s="2014"/>
      <c r="AT22" s="2014"/>
      <c r="AU22" s="2014"/>
      <c r="AV22" s="2014"/>
      <c r="AW22" s="2014"/>
      <c r="AX22" s="2014"/>
      <c r="AY22" s="2014"/>
      <c r="AZ22" s="2014"/>
      <c r="BA22" s="2014"/>
      <c r="BB22" s="2014"/>
      <c r="BC22" s="2014"/>
      <c r="BD22" s="2014"/>
      <c r="BE22" s="2014"/>
      <c r="BF22" s="2014"/>
      <c r="BG22" s="2014"/>
      <c r="BH22" s="2014"/>
      <c r="BI22" s="2014"/>
      <c r="BJ22" s="2014"/>
      <c r="BK22" s="2014"/>
      <c r="BL22" s="2014"/>
      <c r="BM22" s="2014"/>
      <c r="BN22" s="2014"/>
      <c r="BO22" s="2014"/>
    </row>
    <row r="23" spans="1:67" ht="20.100000000000001" customHeight="1">
      <c r="A23" s="1845">
        <v>22</v>
      </c>
      <c r="B23" s="1854"/>
      <c r="C23" s="1847"/>
      <c r="D23" s="1848" t="s">
        <v>926</v>
      </c>
      <c r="E23" s="1848"/>
      <c r="F23" s="1849"/>
      <c r="G23" s="2010" t="s">
        <v>553</v>
      </c>
      <c r="H23" s="2011">
        <f t="shared" ca="1" si="0"/>
        <v>38.4</v>
      </c>
      <c r="I23" s="2011">
        <f t="shared" ca="1" si="1"/>
        <v>38.4</v>
      </c>
      <c r="J23" s="2011">
        <f t="shared" ca="1" si="2"/>
        <v>38.4</v>
      </c>
      <c r="K23" s="2011">
        <f t="shared" ca="1" si="3"/>
        <v>38.4</v>
      </c>
      <c r="L23" s="2012">
        <f t="shared" ca="1" si="4"/>
        <v>0</v>
      </c>
      <c r="M23" s="2012">
        <f t="shared" ca="1" si="5"/>
        <v>0</v>
      </c>
      <c r="N23" s="2012">
        <f t="shared" ca="1" si="6"/>
        <v>0</v>
      </c>
      <c r="O23" s="2012">
        <f t="shared" ca="1" si="7"/>
        <v>0</v>
      </c>
      <c r="P23" s="2013">
        <f ca="1">SUM(SUMIFS(OFFSET(貼付け_2024実績,$A23,9,1,199),OFFSET(貼付け_2024実績,4,9,1,199),{"横浜*","川崎*"}))</f>
        <v>0</v>
      </c>
      <c r="Q23" s="2013">
        <f ca="1">SUM(SUMIFS(OFFSET(貼付け_2025実績,$A23,9,1,199),OFFSET(貼付け_2025実績,4,9,1,199),{"横浜*","川崎*"}))</f>
        <v>0</v>
      </c>
      <c r="R23" s="2013">
        <f ca="1">SUM(SUMIFS(OFFSET(貼付け_2026実績,$A23,9,1,199),OFFSET(貼付け_2026実績,4,9,1,199),{"横浜*","川崎*"}))</f>
        <v>0</v>
      </c>
      <c r="S23" s="2013">
        <f ca="1">SUM(SUMIFS(OFFSET(貼付け_2027実績,$A23,9,1,199),OFFSET(貼付け_2027実績,4,9,1,199),{"横浜*","川崎*"}))</f>
        <v>0</v>
      </c>
      <c r="T23" s="2012">
        <f t="shared" ca="1" si="8"/>
        <v>0</v>
      </c>
      <c r="U23" s="2012">
        <f t="shared" ca="1" si="9"/>
        <v>0</v>
      </c>
      <c r="V23" s="2012">
        <f t="shared" ca="1" si="10"/>
        <v>0</v>
      </c>
      <c r="W23" s="2012">
        <f t="shared" ca="1" si="11"/>
        <v>0</v>
      </c>
      <c r="X23" s="2014">
        <f t="shared" ca="1" si="12"/>
        <v>0</v>
      </c>
      <c r="Y23" s="2014">
        <f t="shared" ca="1" si="13"/>
        <v>0</v>
      </c>
      <c r="Z23" s="2014">
        <f t="shared" ca="1" si="14"/>
        <v>0</v>
      </c>
      <c r="AA23" s="2014">
        <f t="shared" ca="1" si="15"/>
        <v>0</v>
      </c>
      <c r="AB23" s="2014"/>
      <c r="AC23" s="2014"/>
      <c r="AD23" s="2014"/>
      <c r="AE23" s="2014"/>
      <c r="AF23" s="2014"/>
      <c r="AG23" s="2014"/>
      <c r="AH23" s="2014"/>
      <c r="AI23" s="2014"/>
      <c r="AJ23" s="2014"/>
      <c r="AK23" s="2014"/>
      <c r="AL23" s="2014"/>
      <c r="AM23" s="2014"/>
      <c r="AN23" s="2014"/>
      <c r="AO23" s="2014"/>
      <c r="AP23" s="2014"/>
      <c r="AQ23" s="2014"/>
      <c r="AR23" s="2014"/>
      <c r="AS23" s="2014"/>
      <c r="AT23" s="2014"/>
      <c r="AU23" s="2014"/>
      <c r="AV23" s="2014"/>
      <c r="AW23" s="2014"/>
      <c r="AX23" s="2014"/>
      <c r="AY23" s="2014"/>
      <c r="AZ23" s="2014"/>
      <c r="BA23" s="2014"/>
      <c r="BB23" s="2014"/>
      <c r="BC23" s="2014"/>
      <c r="BD23" s="2014"/>
      <c r="BE23" s="2014"/>
      <c r="BF23" s="2014"/>
      <c r="BG23" s="2014"/>
      <c r="BH23" s="2014"/>
      <c r="BI23" s="2014"/>
      <c r="BJ23" s="2014"/>
      <c r="BK23" s="2014"/>
      <c r="BL23" s="2014"/>
      <c r="BM23" s="2014"/>
      <c r="BN23" s="2014"/>
      <c r="BO23" s="2014"/>
    </row>
    <row r="24" spans="1:67" ht="20.100000000000001" customHeight="1">
      <c r="A24" s="1845">
        <v>23</v>
      </c>
      <c r="B24" s="1854"/>
      <c r="C24" s="1847"/>
      <c r="D24" s="1848" t="s">
        <v>927</v>
      </c>
      <c r="E24" s="1848"/>
      <c r="F24" s="1849"/>
      <c r="G24" s="2010" t="s">
        <v>548</v>
      </c>
      <c r="H24" s="2011">
        <f t="shared" ca="1" si="0"/>
        <v>28.7</v>
      </c>
      <c r="I24" s="2011">
        <f t="shared" ca="1" si="1"/>
        <v>28.7</v>
      </c>
      <c r="J24" s="2011">
        <f t="shared" ca="1" si="2"/>
        <v>28.7</v>
      </c>
      <c r="K24" s="2011">
        <f t="shared" ca="1" si="3"/>
        <v>28.7</v>
      </c>
      <c r="L24" s="2012">
        <f t="shared" ca="1" si="4"/>
        <v>0</v>
      </c>
      <c r="M24" s="2012">
        <f t="shared" ca="1" si="5"/>
        <v>0</v>
      </c>
      <c r="N24" s="2012">
        <f t="shared" ca="1" si="6"/>
        <v>0</v>
      </c>
      <c r="O24" s="2012">
        <f t="shared" ca="1" si="7"/>
        <v>0</v>
      </c>
      <c r="P24" s="2013">
        <f ca="1">SUM(SUMIFS(OFFSET(貼付け_2024実績,$A24,9,1,199),OFFSET(貼付け_2024実績,4,9,1,199),{"横浜*","川崎*"}))</f>
        <v>0</v>
      </c>
      <c r="Q24" s="2013">
        <f ca="1">SUM(SUMIFS(OFFSET(貼付け_2025実績,$A24,9,1,199),OFFSET(貼付け_2025実績,4,9,1,199),{"横浜*","川崎*"}))</f>
        <v>0</v>
      </c>
      <c r="R24" s="2013">
        <f ca="1">SUM(SUMIFS(OFFSET(貼付け_2026実績,$A24,9,1,199),OFFSET(貼付け_2026実績,4,9,1,199),{"横浜*","川崎*"}))</f>
        <v>0</v>
      </c>
      <c r="S24" s="2013">
        <f ca="1">SUM(SUMIFS(OFFSET(貼付け_2027実績,$A24,9,1,199),OFFSET(貼付け_2027実績,4,9,1,199),{"横浜*","川崎*"}))</f>
        <v>0</v>
      </c>
      <c r="T24" s="2012">
        <f t="shared" ca="1" si="8"/>
        <v>0</v>
      </c>
      <c r="U24" s="2012">
        <f t="shared" ca="1" si="9"/>
        <v>0</v>
      </c>
      <c r="V24" s="2012">
        <f t="shared" ca="1" si="10"/>
        <v>0</v>
      </c>
      <c r="W24" s="2012">
        <f t="shared" ca="1" si="11"/>
        <v>0</v>
      </c>
      <c r="X24" s="2014">
        <f t="shared" ca="1" si="12"/>
        <v>0</v>
      </c>
      <c r="Y24" s="2014">
        <f t="shared" ca="1" si="13"/>
        <v>0</v>
      </c>
      <c r="Z24" s="2014">
        <f t="shared" ca="1" si="14"/>
        <v>0</v>
      </c>
      <c r="AA24" s="2014">
        <f t="shared" ca="1" si="15"/>
        <v>0</v>
      </c>
      <c r="AB24" s="2014"/>
      <c r="AC24" s="2014"/>
      <c r="AD24" s="2014"/>
      <c r="AE24" s="2014"/>
      <c r="AF24" s="2014"/>
      <c r="AG24" s="2014"/>
      <c r="AH24" s="2014"/>
      <c r="AI24" s="2014"/>
      <c r="AJ24" s="2014"/>
      <c r="AK24" s="2014"/>
      <c r="AL24" s="2014"/>
      <c r="AM24" s="2014"/>
      <c r="AN24" s="2014"/>
      <c r="AO24" s="2014"/>
      <c r="AP24" s="2014"/>
      <c r="AQ24" s="2014"/>
      <c r="AR24" s="2014"/>
      <c r="AS24" s="2014"/>
      <c r="AT24" s="2014"/>
      <c r="AU24" s="2014"/>
      <c r="AV24" s="2014"/>
      <c r="AW24" s="2014"/>
      <c r="AX24" s="2014"/>
      <c r="AY24" s="2014"/>
      <c r="AZ24" s="2014"/>
      <c r="BA24" s="2014"/>
      <c r="BB24" s="2014"/>
      <c r="BC24" s="2014"/>
      <c r="BD24" s="2014"/>
      <c r="BE24" s="2014"/>
      <c r="BF24" s="2014"/>
      <c r="BG24" s="2014"/>
      <c r="BH24" s="2014"/>
      <c r="BI24" s="2014"/>
      <c r="BJ24" s="2014"/>
      <c r="BK24" s="2014"/>
      <c r="BL24" s="2014"/>
      <c r="BM24" s="2014"/>
      <c r="BN24" s="2014"/>
      <c r="BO24" s="2014"/>
    </row>
    <row r="25" spans="1:67" ht="20.100000000000001" customHeight="1">
      <c r="A25" s="1845">
        <v>24</v>
      </c>
      <c r="B25" s="1854"/>
      <c r="C25" s="1847"/>
      <c r="D25" s="1848" t="s">
        <v>928</v>
      </c>
      <c r="E25" s="1837"/>
      <c r="F25" s="1849"/>
      <c r="G25" s="2010" t="s">
        <v>548</v>
      </c>
      <c r="H25" s="2011">
        <f t="shared" ca="1" si="0"/>
        <v>28.9</v>
      </c>
      <c r="I25" s="2011">
        <f t="shared" ca="1" si="1"/>
        <v>28.9</v>
      </c>
      <c r="J25" s="2011">
        <f t="shared" ca="1" si="2"/>
        <v>28.9</v>
      </c>
      <c r="K25" s="2011">
        <f t="shared" ca="1" si="3"/>
        <v>28.9</v>
      </c>
      <c r="L25" s="2012">
        <f t="shared" ca="1" si="4"/>
        <v>0</v>
      </c>
      <c r="M25" s="2012">
        <f t="shared" ca="1" si="5"/>
        <v>0</v>
      </c>
      <c r="N25" s="2012">
        <f t="shared" ca="1" si="6"/>
        <v>0</v>
      </c>
      <c r="O25" s="2012">
        <f t="shared" ca="1" si="7"/>
        <v>0</v>
      </c>
      <c r="P25" s="2013">
        <f ca="1">SUM(SUMIFS(OFFSET(貼付け_2024実績,$A25,9,1,199),OFFSET(貼付け_2024実績,4,9,1,199),{"横浜*","川崎*"}))</f>
        <v>0</v>
      </c>
      <c r="Q25" s="2013">
        <f ca="1">SUM(SUMIFS(OFFSET(貼付け_2025実績,$A25,9,1,199),OFFSET(貼付け_2025実績,4,9,1,199),{"横浜*","川崎*"}))</f>
        <v>0</v>
      </c>
      <c r="R25" s="2013">
        <f ca="1">SUM(SUMIFS(OFFSET(貼付け_2026実績,$A25,9,1,199),OFFSET(貼付け_2026実績,4,9,1,199),{"横浜*","川崎*"}))</f>
        <v>0</v>
      </c>
      <c r="S25" s="2013">
        <f ca="1">SUM(SUMIFS(OFFSET(貼付け_2027実績,$A25,9,1,199),OFFSET(貼付け_2027実績,4,9,1,199),{"横浜*","川崎*"}))</f>
        <v>0</v>
      </c>
      <c r="T25" s="2012">
        <f t="shared" ca="1" si="8"/>
        <v>0</v>
      </c>
      <c r="U25" s="2012">
        <f t="shared" ca="1" si="9"/>
        <v>0</v>
      </c>
      <c r="V25" s="2012">
        <f t="shared" ca="1" si="10"/>
        <v>0</v>
      </c>
      <c r="W25" s="2012">
        <f t="shared" ca="1" si="11"/>
        <v>0</v>
      </c>
      <c r="X25" s="2014">
        <f t="shared" ca="1" si="12"/>
        <v>0</v>
      </c>
      <c r="Y25" s="2014">
        <f t="shared" ca="1" si="13"/>
        <v>0</v>
      </c>
      <c r="Z25" s="2014">
        <f t="shared" ca="1" si="14"/>
        <v>0</v>
      </c>
      <c r="AA25" s="2014">
        <f t="shared" ca="1" si="15"/>
        <v>0</v>
      </c>
      <c r="AB25" s="2014"/>
      <c r="AC25" s="2014"/>
      <c r="AD25" s="2014"/>
      <c r="AE25" s="2014"/>
      <c r="AF25" s="2014"/>
      <c r="AG25" s="2014"/>
      <c r="AH25" s="2014"/>
      <c r="AI25" s="2014"/>
      <c r="AJ25" s="2014"/>
      <c r="AK25" s="2014"/>
      <c r="AL25" s="2014"/>
      <c r="AM25" s="2014"/>
      <c r="AN25" s="2014"/>
      <c r="AO25" s="2014"/>
      <c r="AP25" s="2014"/>
      <c r="AQ25" s="2014"/>
      <c r="AR25" s="2014"/>
      <c r="AS25" s="2014"/>
      <c r="AT25" s="2014"/>
      <c r="AU25" s="2014"/>
      <c r="AV25" s="2014"/>
      <c r="AW25" s="2014"/>
      <c r="AX25" s="2014"/>
      <c r="AY25" s="2014"/>
      <c r="AZ25" s="2014"/>
      <c r="BA25" s="2014"/>
      <c r="BB25" s="2014"/>
      <c r="BC25" s="2014"/>
      <c r="BD25" s="2014"/>
      <c r="BE25" s="2014"/>
      <c r="BF25" s="2014"/>
      <c r="BG25" s="2014"/>
      <c r="BH25" s="2014"/>
      <c r="BI25" s="2014"/>
      <c r="BJ25" s="2014"/>
      <c r="BK25" s="2014"/>
      <c r="BL25" s="2014"/>
      <c r="BM25" s="2014"/>
      <c r="BN25" s="2014"/>
      <c r="BO25" s="2014"/>
    </row>
    <row r="26" spans="1:67" ht="20.100000000000001" customHeight="1">
      <c r="A26" s="1845">
        <v>25</v>
      </c>
      <c r="B26" s="1854"/>
      <c r="C26" s="1847"/>
      <c r="D26" s="1848" t="s">
        <v>929</v>
      </c>
      <c r="E26" s="1848"/>
      <c r="F26" s="1849"/>
      <c r="G26" s="2010" t="s">
        <v>548</v>
      </c>
      <c r="H26" s="2011">
        <f t="shared" ca="1" si="0"/>
        <v>28.3</v>
      </c>
      <c r="I26" s="2011">
        <f t="shared" ca="1" si="1"/>
        <v>28.3</v>
      </c>
      <c r="J26" s="2011">
        <f t="shared" ca="1" si="2"/>
        <v>28.3</v>
      </c>
      <c r="K26" s="2011">
        <f t="shared" ca="1" si="3"/>
        <v>28.3</v>
      </c>
      <c r="L26" s="2012">
        <f t="shared" ca="1" si="4"/>
        <v>0</v>
      </c>
      <c r="M26" s="2012">
        <f t="shared" ca="1" si="5"/>
        <v>0</v>
      </c>
      <c r="N26" s="2012">
        <f t="shared" ca="1" si="6"/>
        <v>0</v>
      </c>
      <c r="O26" s="2012">
        <f t="shared" ca="1" si="7"/>
        <v>0</v>
      </c>
      <c r="P26" s="2013">
        <f ca="1">SUM(SUMIFS(OFFSET(貼付け_2024実績,$A26,9,1,199),OFFSET(貼付け_2024実績,4,9,1,199),{"横浜*","川崎*"}))</f>
        <v>0</v>
      </c>
      <c r="Q26" s="2013">
        <f ca="1">SUM(SUMIFS(OFFSET(貼付け_2025実績,$A26,9,1,199),OFFSET(貼付け_2025実績,4,9,1,199),{"横浜*","川崎*"}))</f>
        <v>0</v>
      </c>
      <c r="R26" s="2013">
        <f ca="1">SUM(SUMIFS(OFFSET(貼付け_2026実績,$A26,9,1,199),OFFSET(貼付け_2026実績,4,9,1,199),{"横浜*","川崎*"}))</f>
        <v>0</v>
      </c>
      <c r="S26" s="2013">
        <f ca="1">SUM(SUMIFS(OFFSET(貼付け_2027実績,$A26,9,1,199),OFFSET(貼付け_2027実績,4,9,1,199),{"横浜*","川崎*"}))</f>
        <v>0</v>
      </c>
      <c r="T26" s="2012">
        <f t="shared" ca="1" si="8"/>
        <v>0</v>
      </c>
      <c r="U26" s="2012">
        <f t="shared" ca="1" si="9"/>
        <v>0</v>
      </c>
      <c r="V26" s="2012">
        <f t="shared" ca="1" si="10"/>
        <v>0</v>
      </c>
      <c r="W26" s="2012">
        <f t="shared" ca="1" si="11"/>
        <v>0</v>
      </c>
      <c r="X26" s="2014">
        <f t="shared" ca="1" si="12"/>
        <v>0</v>
      </c>
      <c r="Y26" s="2014">
        <f t="shared" ca="1" si="13"/>
        <v>0</v>
      </c>
      <c r="Z26" s="2014">
        <f t="shared" ca="1" si="14"/>
        <v>0</v>
      </c>
      <c r="AA26" s="2014">
        <f t="shared" ca="1" si="15"/>
        <v>0</v>
      </c>
      <c r="AB26" s="2014"/>
      <c r="AC26" s="2014"/>
      <c r="AD26" s="2014"/>
      <c r="AE26" s="2014"/>
      <c r="AF26" s="2014"/>
      <c r="AG26" s="2014"/>
      <c r="AH26" s="2014"/>
      <c r="AI26" s="2014"/>
      <c r="AJ26" s="2014"/>
      <c r="AK26" s="2014"/>
      <c r="AL26" s="2014"/>
      <c r="AM26" s="2014"/>
      <c r="AN26" s="2014"/>
      <c r="AO26" s="2014"/>
      <c r="AP26" s="2014"/>
      <c r="AQ26" s="2014"/>
      <c r="AR26" s="2014"/>
      <c r="AS26" s="2014"/>
      <c r="AT26" s="2014"/>
      <c r="AU26" s="2014"/>
      <c r="AV26" s="2014"/>
      <c r="AW26" s="2014"/>
      <c r="AX26" s="2014"/>
      <c r="AY26" s="2014"/>
      <c r="AZ26" s="2014"/>
      <c r="BA26" s="2014"/>
      <c r="BB26" s="2014"/>
      <c r="BC26" s="2014"/>
      <c r="BD26" s="2014"/>
      <c r="BE26" s="2014"/>
      <c r="BF26" s="2014"/>
      <c r="BG26" s="2014"/>
      <c r="BH26" s="2014"/>
      <c r="BI26" s="2014"/>
      <c r="BJ26" s="2014"/>
      <c r="BK26" s="2014"/>
      <c r="BL26" s="2014"/>
      <c r="BM26" s="2014"/>
      <c r="BN26" s="2014"/>
      <c r="BO26" s="2014"/>
    </row>
    <row r="27" spans="1:67" ht="20.100000000000001" customHeight="1">
      <c r="A27" s="1845">
        <v>26</v>
      </c>
      <c r="B27" s="1854"/>
      <c r="C27" s="1847"/>
      <c r="D27" s="1848" t="s">
        <v>930</v>
      </c>
      <c r="E27" s="1848"/>
      <c r="F27" s="1849"/>
      <c r="G27" s="2010" t="s">
        <v>548</v>
      </c>
      <c r="H27" s="2011">
        <f t="shared" ca="1" si="0"/>
        <v>26.1</v>
      </c>
      <c r="I27" s="2011">
        <f t="shared" ca="1" si="1"/>
        <v>26.1</v>
      </c>
      <c r="J27" s="2011">
        <f t="shared" ca="1" si="2"/>
        <v>26.1</v>
      </c>
      <c r="K27" s="2011">
        <f t="shared" ca="1" si="3"/>
        <v>26.1</v>
      </c>
      <c r="L27" s="2012">
        <f t="shared" ca="1" si="4"/>
        <v>0</v>
      </c>
      <c r="M27" s="2012">
        <f t="shared" ca="1" si="5"/>
        <v>0</v>
      </c>
      <c r="N27" s="2012">
        <f t="shared" ca="1" si="6"/>
        <v>0</v>
      </c>
      <c r="O27" s="2012">
        <f t="shared" ca="1" si="7"/>
        <v>0</v>
      </c>
      <c r="P27" s="2013">
        <f ca="1">SUM(SUMIFS(OFFSET(貼付け_2024実績,$A27,9,1,199),OFFSET(貼付け_2024実績,4,9,1,199),{"横浜*","川崎*"}))</f>
        <v>0</v>
      </c>
      <c r="Q27" s="2013">
        <f ca="1">SUM(SUMIFS(OFFSET(貼付け_2025実績,$A27,9,1,199),OFFSET(貼付け_2025実績,4,9,1,199),{"横浜*","川崎*"}))</f>
        <v>0</v>
      </c>
      <c r="R27" s="2013">
        <f ca="1">SUM(SUMIFS(OFFSET(貼付け_2026実績,$A27,9,1,199),OFFSET(貼付け_2026実績,4,9,1,199),{"横浜*","川崎*"}))</f>
        <v>0</v>
      </c>
      <c r="S27" s="2013">
        <f ca="1">SUM(SUMIFS(OFFSET(貼付け_2027実績,$A27,9,1,199),OFFSET(貼付け_2027実績,4,9,1,199),{"横浜*","川崎*"}))</f>
        <v>0</v>
      </c>
      <c r="T27" s="2012">
        <f t="shared" ca="1" si="8"/>
        <v>0</v>
      </c>
      <c r="U27" s="2012">
        <f t="shared" ca="1" si="9"/>
        <v>0</v>
      </c>
      <c r="V27" s="2012">
        <f t="shared" ca="1" si="10"/>
        <v>0</v>
      </c>
      <c r="W27" s="2012">
        <f t="shared" ca="1" si="11"/>
        <v>0</v>
      </c>
      <c r="X27" s="2014">
        <f t="shared" ca="1" si="12"/>
        <v>0</v>
      </c>
      <c r="Y27" s="2014">
        <f t="shared" ca="1" si="13"/>
        <v>0</v>
      </c>
      <c r="Z27" s="2014">
        <f t="shared" ca="1" si="14"/>
        <v>0</v>
      </c>
      <c r="AA27" s="2014">
        <f t="shared" ca="1" si="15"/>
        <v>0</v>
      </c>
      <c r="AB27" s="2014"/>
      <c r="AC27" s="2014"/>
      <c r="AD27" s="2014"/>
      <c r="AE27" s="2014"/>
      <c r="AF27" s="2014"/>
      <c r="AG27" s="2014"/>
      <c r="AH27" s="2014"/>
      <c r="AI27" s="2014"/>
      <c r="AJ27" s="2014"/>
      <c r="AK27" s="2014"/>
      <c r="AL27" s="2014"/>
      <c r="AM27" s="2014"/>
      <c r="AN27" s="2014"/>
      <c r="AO27" s="2014"/>
      <c r="AP27" s="2014"/>
      <c r="AQ27" s="2014"/>
      <c r="AR27" s="2014"/>
      <c r="AS27" s="2014"/>
      <c r="AT27" s="2014"/>
      <c r="AU27" s="2014"/>
      <c r="AV27" s="2014"/>
      <c r="AW27" s="2014"/>
      <c r="AX27" s="2014"/>
      <c r="AY27" s="2014"/>
      <c r="AZ27" s="2014"/>
      <c r="BA27" s="2014"/>
      <c r="BB27" s="2014"/>
      <c r="BC27" s="2014"/>
      <c r="BD27" s="2014"/>
      <c r="BE27" s="2014"/>
      <c r="BF27" s="2014"/>
      <c r="BG27" s="2014"/>
      <c r="BH27" s="2014"/>
      <c r="BI27" s="2014"/>
      <c r="BJ27" s="2014"/>
      <c r="BK27" s="2014"/>
      <c r="BL27" s="2014"/>
      <c r="BM27" s="2014"/>
      <c r="BN27" s="2014"/>
      <c r="BO27" s="2014"/>
    </row>
    <row r="28" spans="1:67" ht="20.100000000000001" customHeight="1">
      <c r="A28" s="1845">
        <v>27</v>
      </c>
      <c r="B28" s="1854"/>
      <c r="C28" s="1847"/>
      <c r="D28" s="1848" t="s">
        <v>931</v>
      </c>
      <c r="E28" s="1848"/>
      <c r="F28" s="1849"/>
      <c r="G28" s="2010" t="s">
        <v>548</v>
      </c>
      <c r="H28" s="2011">
        <f t="shared" ca="1" si="0"/>
        <v>24.2</v>
      </c>
      <c r="I28" s="2011">
        <f t="shared" ca="1" si="1"/>
        <v>24.2</v>
      </c>
      <c r="J28" s="2011">
        <f t="shared" ca="1" si="2"/>
        <v>24.2</v>
      </c>
      <c r="K28" s="2011">
        <f t="shared" ca="1" si="3"/>
        <v>24.2</v>
      </c>
      <c r="L28" s="2012">
        <f t="shared" ca="1" si="4"/>
        <v>0</v>
      </c>
      <c r="M28" s="2012">
        <f t="shared" ca="1" si="5"/>
        <v>0</v>
      </c>
      <c r="N28" s="2012">
        <f t="shared" ca="1" si="6"/>
        <v>0</v>
      </c>
      <c r="O28" s="2012">
        <f t="shared" ca="1" si="7"/>
        <v>0</v>
      </c>
      <c r="P28" s="2013">
        <f ca="1">SUM(SUMIFS(OFFSET(貼付け_2024実績,$A28,9,1,199),OFFSET(貼付け_2024実績,4,9,1,199),{"横浜*","川崎*"}))</f>
        <v>0</v>
      </c>
      <c r="Q28" s="2013">
        <f ca="1">SUM(SUMIFS(OFFSET(貼付け_2025実績,$A28,9,1,199),OFFSET(貼付け_2025実績,4,9,1,199),{"横浜*","川崎*"}))</f>
        <v>0</v>
      </c>
      <c r="R28" s="2013">
        <f ca="1">SUM(SUMIFS(OFFSET(貼付け_2026実績,$A28,9,1,199),OFFSET(貼付け_2026実績,4,9,1,199),{"横浜*","川崎*"}))</f>
        <v>0</v>
      </c>
      <c r="S28" s="2013">
        <f ca="1">SUM(SUMIFS(OFFSET(貼付け_2027実績,$A28,9,1,199),OFFSET(貼付け_2027実績,4,9,1,199),{"横浜*","川崎*"}))</f>
        <v>0</v>
      </c>
      <c r="T28" s="2012">
        <f t="shared" ca="1" si="8"/>
        <v>0</v>
      </c>
      <c r="U28" s="2012">
        <f t="shared" ca="1" si="9"/>
        <v>0</v>
      </c>
      <c r="V28" s="2012">
        <f t="shared" ca="1" si="10"/>
        <v>0</v>
      </c>
      <c r="W28" s="2012">
        <f t="shared" ca="1" si="11"/>
        <v>0</v>
      </c>
      <c r="X28" s="2014">
        <f t="shared" ca="1" si="12"/>
        <v>0</v>
      </c>
      <c r="Y28" s="2014">
        <f t="shared" ca="1" si="13"/>
        <v>0</v>
      </c>
      <c r="Z28" s="2014">
        <f t="shared" ca="1" si="14"/>
        <v>0</v>
      </c>
      <c r="AA28" s="2014">
        <f t="shared" ca="1" si="15"/>
        <v>0</v>
      </c>
      <c r="AB28" s="2014"/>
      <c r="AC28" s="2014"/>
      <c r="AD28" s="2014"/>
      <c r="AE28" s="2014"/>
      <c r="AF28" s="2014"/>
      <c r="AG28" s="2014"/>
      <c r="AH28" s="2014"/>
      <c r="AI28" s="2014"/>
      <c r="AJ28" s="2014"/>
      <c r="AK28" s="2014"/>
      <c r="AL28" s="2014"/>
      <c r="AM28" s="2014"/>
      <c r="AN28" s="2014"/>
      <c r="AO28" s="2014"/>
      <c r="AP28" s="2014"/>
      <c r="AQ28" s="2014"/>
      <c r="AR28" s="2014"/>
      <c r="AS28" s="2014"/>
      <c r="AT28" s="2014"/>
      <c r="AU28" s="2014"/>
      <c r="AV28" s="2014"/>
      <c r="AW28" s="2014"/>
      <c r="AX28" s="2014"/>
      <c r="AY28" s="2014"/>
      <c r="AZ28" s="2014"/>
      <c r="BA28" s="2014"/>
      <c r="BB28" s="2014"/>
      <c r="BC28" s="2014"/>
      <c r="BD28" s="2014"/>
      <c r="BE28" s="2014"/>
      <c r="BF28" s="2014"/>
      <c r="BG28" s="2014"/>
      <c r="BH28" s="2014"/>
      <c r="BI28" s="2014"/>
      <c r="BJ28" s="2014"/>
      <c r="BK28" s="2014"/>
      <c r="BL28" s="2014"/>
      <c r="BM28" s="2014"/>
      <c r="BN28" s="2014"/>
      <c r="BO28" s="2014"/>
    </row>
    <row r="29" spans="1:67" ht="20.100000000000001" customHeight="1">
      <c r="A29" s="1845">
        <v>28</v>
      </c>
      <c r="B29" s="1854"/>
      <c r="C29" s="1847"/>
      <c r="D29" s="1848" t="s">
        <v>932</v>
      </c>
      <c r="E29" s="1848"/>
      <c r="F29" s="1849"/>
      <c r="G29" s="2010" t="s">
        <v>548</v>
      </c>
      <c r="H29" s="2011">
        <f t="shared" ca="1" si="0"/>
        <v>27.8</v>
      </c>
      <c r="I29" s="2011">
        <f t="shared" ca="1" si="1"/>
        <v>27.8</v>
      </c>
      <c r="J29" s="2011">
        <f t="shared" ca="1" si="2"/>
        <v>27.8</v>
      </c>
      <c r="K29" s="2011">
        <f t="shared" ca="1" si="3"/>
        <v>27.8</v>
      </c>
      <c r="L29" s="2012">
        <f t="shared" ca="1" si="4"/>
        <v>0</v>
      </c>
      <c r="M29" s="2012">
        <f t="shared" ca="1" si="5"/>
        <v>0</v>
      </c>
      <c r="N29" s="2012">
        <f t="shared" ca="1" si="6"/>
        <v>0</v>
      </c>
      <c r="O29" s="2012">
        <f t="shared" ca="1" si="7"/>
        <v>0</v>
      </c>
      <c r="P29" s="2013">
        <f ca="1">SUM(SUMIFS(OFFSET(貼付け_2024実績,$A29,9,1,199),OFFSET(貼付け_2024実績,4,9,1,199),{"横浜*","川崎*"}))</f>
        <v>0</v>
      </c>
      <c r="Q29" s="2013">
        <f ca="1">SUM(SUMIFS(OFFSET(貼付け_2025実績,$A29,9,1,199),OFFSET(貼付け_2025実績,4,9,1,199),{"横浜*","川崎*"}))</f>
        <v>0</v>
      </c>
      <c r="R29" s="2013">
        <f ca="1">SUM(SUMIFS(OFFSET(貼付け_2026実績,$A29,9,1,199),OFFSET(貼付け_2026実績,4,9,1,199),{"横浜*","川崎*"}))</f>
        <v>0</v>
      </c>
      <c r="S29" s="2013">
        <f ca="1">SUM(SUMIFS(OFFSET(貼付け_2027実績,$A29,9,1,199),OFFSET(貼付け_2027実績,4,9,1,199),{"横浜*","川崎*"}))</f>
        <v>0</v>
      </c>
      <c r="T29" s="2012">
        <f t="shared" ca="1" si="8"/>
        <v>0</v>
      </c>
      <c r="U29" s="2012">
        <f t="shared" ca="1" si="9"/>
        <v>0</v>
      </c>
      <c r="V29" s="2012">
        <f t="shared" ca="1" si="10"/>
        <v>0</v>
      </c>
      <c r="W29" s="2012">
        <f t="shared" ca="1" si="11"/>
        <v>0</v>
      </c>
      <c r="X29" s="2014">
        <f t="shared" ca="1" si="12"/>
        <v>0</v>
      </c>
      <c r="Y29" s="2014">
        <f t="shared" ca="1" si="13"/>
        <v>0</v>
      </c>
      <c r="Z29" s="2014">
        <f t="shared" ca="1" si="14"/>
        <v>0</v>
      </c>
      <c r="AA29" s="2014">
        <f t="shared" ca="1" si="15"/>
        <v>0</v>
      </c>
      <c r="AB29" s="2014"/>
      <c r="AC29" s="2014"/>
      <c r="AD29" s="2014"/>
      <c r="AE29" s="2014"/>
      <c r="AF29" s="2014"/>
      <c r="AG29" s="2014"/>
      <c r="AH29" s="2014"/>
      <c r="AI29" s="2014"/>
      <c r="AJ29" s="2014"/>
      <c r="AK29" s="2014"/>
      <c r="AL29" s="2014"/>
      <c r="AM29" s="2014"/>
      <c r="AN29" s="2014"/>
      <c r="AO29" s="2014"/>
      <c r="AP29" s="2014"/>
      <c r="AQ29" s="2014"/>
      <c r="AR29" s="2014"/>
      <c r="AS29" s="2014"/>
      <c r="AT29" s="2014"/>
      <c r="AU29" s="2014"/>
      <c r="AV29" s="2014"/>
      <c r="AW29" s="2014"/>
      <c r="AX29" s="2014"/>
      <c r="AY29" s="2014"/>
      <c r="AZ29" s="2014"/>
      <c r="BA29" s="2014"/>
      <c r="BB29" s="2014"/>
      <c r="BC29" s="2014"/>
      <c r="BD29" s="2014"/>
      <c r="BE29" s="2014"/>
      <c r="BF29" s="2014"/>
      <c r="BG29" s="2014"/>
      <c r="BH29" s="2014"/>
      <c r="BI29" s="2014"/>
      <c r="BJ29" s="2014"/>
      <c r="BK29" s="2014"/>
      <c r="BL29" s="2014"/>
      <c r="BM29" s="2014"/>
      <c r="BN29" s="2014"/>
      <c r="BO29" s="2014"/>
    </row>
    <row r="30" spans="1:67" ht="20.100000000000001" customHeight="1">
      <c r="A30" s="1845">
        <v>29</v>
      </c>
      <c r="B30" s="1854"/>
      <c r="C30" s="1847"/>
      <c r="D30" s="1848" t="s">
        <v>558</v>
      </c>
      <c r="E30" s="1848"/>
      <c r="F30" s="1849"/>
      <c r="G30" s="2010" t="s">
        <v>548</v>
      </c>
      <c r="H30" s="2011">
        <f t="shared" ca="1" si="0"/>
        <v>29</v>
      </c>
      <c r="I30" s="2011">
        <f t="shared" ca="1" si="1"/>
        <v>29</v>
      </c>
      <c r="J30" s="2011">
        <f t="shared" ca="1" si="2"/>
        <v>29</v>
      </c>
      <c r="K30" s="2011">
        <f t="shared" ca="1" si="3"/>
        <v>29</v>
      </c>
      <c r="L30" s="2012">
        <f t="shared" ca="1" si="4"/>
        <v>0</v>
      </c>
      <c r="M30" s="2012">
        <f t="shared" ca="1" si="5"/>
        <v>0</v>
      </c>
      <c r="N30" s="2012">
        <f t="shared" ca="1" si="6"/>
        <v>0</v>
      </c>
      <c r="O30" s="2012">
        <f t="shared" ca="1" si="7"/>
        <v>0</v>
      </c>
      <c r="P30" s="2013">
        <f ca="1">SUM(SUMIFS(OFFSET(貼付け_2024実績,$A30,9,1,199),OFFSET(貼付け_2024実績,4,9,1,199),{"横浜*","川崎*"}))</f>
        <v>0</v>
      </c>
      <c r="Q30" s="2013">
        <f ca="1">SUM(SUMIFS(OFFSET(貼付け_2025実績,$A30,9,1,199),OFFSET(貼付け_2025実績,4,9,1,199),{"横浜*","川崎*"}))</f>
        <v>0</v>
      </c>
      <c r="R30" s="2013">
        <f ca="1">SUM(SUMIFS(OFFSET(貼付け_2026実績,$A30,9,1,199),OFFSET(貼付け_2026実績,4,9,1,199),{"横浜*","川崎*"}))</f>
        <v>0</v>
      </c>
      <c r="S30" s="2013">
        <f ca="1">SUM(SUMIFS(OFFSET(貼付け_2027実績,$A30,9,1,199),OFFSET(貼付け_2027実績,4,9,1,199),{"横浜*","川崎*"}))</f>
        <v>0</v>
      </c>
      <c r="T30" s="2012">
        <f t="shared" ca="1" si="8"/>
        <v>0</v>
      </c>
      <c r="U30" s="2012">
        <f t="shared" ca="1" si="9"/>
        <v>0</v>
      </c>
      <c r="V30" s="2012">
        <f t="shared" ca="1" si="10"/>
        <v>0</v>
      </c>
      <c r="W30" s="2012">
        <f t="shared" ca="1" si="11"/>
        <v>0</v>
      </c>
      <c r="X30" s="2014">
        <f t="shared" ca="1" si="12"/>
        <v>0</v>
      </c>
      <c r="Y30" s="2014">
        <f t="shared" ca="1" si="13"/>
        <v>0</v>
      </c>
      <c r="Z30" s="2014">
        <f t="shared" ca="1" si="14"/>
        <v>0</v>
      </c>
      <c r="AA30" s="2014">
        <f t="shared" ca="1" si="15"/>
        <v>0</v>
      </c>
      <c r="AB30" s="2014"/>
      <c r="AC30" s="2014"/>
      <c r="AD30" s="2014"/>
      <c r="AE30" s="2014"/>
      <c r="AF30" s="2014"/>
      <c r="AG30" s="2014"/>
      <c r="AH30" s="2014"/>
      <c r="AI30" s="2014"/>
      <c r="AJ30" s="2014"/>
      <c r="AK30" s="2014"/>
      <c r="AL30" s="2014"/>
      <c r="AM30" s="2014"/>
      <c r="AN30" s="2014"/>
      <c r="AO30" s="2014"/>
      <c r="AP30" s="2014"/>
      <c r="AQ30" s="2014"/>
      <c r="AR30" s="2014"/>
      <c r="AS30" s="2014"/>
      <c r="AT30" s="2014"/>
      <c r="AU30" s="2014"/>
      <c r="AV30" s="2014"/>
      <c r="AW30" s="2014"/>
      <c r="AX30" s="2014"/>
      <c r="AY30" s="2014"/>
      <c r="AZ30" s="2014"/>
      <c r="BA30" s="2014"/>
      <c r="BB30" s="2014"/>
      <c r="BC30" s="2014"/>
      <c r="BD30" s="2014"/>
      <c r="BE30" s="2014"/>
      <c r="BF30" s="2014"/>
      <c r="BG30" s="2014"/>
      <c r="BH30" s="2014"/>
      <c r="BI30" s="2014"/>
      <c r="BJ30" s="2014"/>
      <c r="BK30" s="2014"/>
      <c r="BL30" s="2014"/>
      <c r="BM30" s="2014"/>
      <c r="BN30" s="2014"/>
      <c r="BO30" s="2014"/>
    </row>
    <row r="31" spans="1:67" ht="20.100000000000001" customHeight="1">
      <c r="A31" s="1845">
        <v>30</v>
      </c>
      <c r="B31" s="1854"/>
      <c r="C31" s="1847"/>
      <c r="D31" s="1848" t="s">
        <v>559</v>
      </c>
      <c r="E31" s="1837"/>
      <c r="F31" s="1849"/>
      <c r="G31" s="2010" t="s">
        <v>548</v>
      </c>
      <c r="H31" s="2011">
        <f t="shared" ca="1" si="0"/>
        <v>37.299999999999997</v>
      </c>
      <c r="I31" s="2011">
        <f t="shared" ca="1" si="1"/>
        <v>37.299999999999997</v>
      </c>
      <c r="J31" s="2011">
        <f t="shared" ca="1" si="2"/>
        <v>37.299999999999997</v>
      </c>
      <c r="K31" s="2011">
        <f t="shared" ca="1" si="3"/>
        <v>37.299999999999997</v>
      </c>
      <c r="L31" s="2012">
        <f t="shared" ca="1" si="4"/>
        <v>0</v>
      </c>
      <c r="M31" s="2012">
        <f t="shared" ca="1" si="5"/>
        <v>0</v>
      </c>
      <c r="N31" s="2012">
        <f t="shared" ca="1" si="6"/>
        <v>0</v>
      </c>
      <c r="O31" s="2012">
        <f t="shared" ca="1" si="7"/>
        <v>0</v>
      </c>
      <c r="P31" s="2013">
        <f ca="1">SUM(SUMIFS(OFFSET(貼付け_2024実績,$A31,9,1,199),OFFSET(貼付け_2024実績,4,9,1,199),{"横浜*","川崎*"}))</f>
        <v>0</v>
      </c>
      <c r="Q31" s="2013">
        <f ca="1">SUM(SUMIFS(OFFSET(貼付け_2025実績,$A31,9,1,199),OFFSET(貼付け_2025実績,4,9,1,199),{"横浜*","川崎*"}))</f>
        <v>0</v>
      </c>
      <c r="R31" s="2013">
        <f ca="1">SUM(SUMIFS(OFFSET(貼付け_2026実績,$A31,9,1,199),OFFSET(貼付け_2026実績,4,9,1,199),{"横浜*","川崎*"}))</f>
        <v>0</v>
      </c>
      <c r="S31" s="2013">
        <f ca="1">SUM(SUMIFS(OFFSET(貼付け_2027実績,$A31,9,1,199),OFFSET(貼付け_2027実績,4,9,1,199),{"横浜*","川崎*"}))</f>
        <v>0</v>
      </c>
      <c r="T31" s="2012">
        <f t="shared" ca="1" si="8"/>
        <v>0</v>
      </c>
      <c r="U31" s="2012">
        <f t="shared" ca="1" si="9"/>
        <v>0</v>
      </c>
      <c r="V31" s="2012">
        <f t="shared" ca="1" si="10"/>
        <v>0</v>
      </c>
      <c r="W31" s="2012">
        <f t="shared" ca="1" si="11"/>
        <v>0</v>
      </c>
      <c r="X31" s="2014">
        <f t="shared" ca="1" si="12"/>
        <v>0</v>
      </c>
      <c r="Y31" s="2014">
        <f t="shared" ca="1" si="13"/>
        <v>0</v>
      </c>
      <c r="Z31" s="2014">
        <f t="shared" ca="1" si="14"/>
        <v>0</v>
      </c>
      <c r="AA31" s="2014">
        <f t="shared" ca="1" si="15"/>
        <v>0</v>
      </c>
      <c r="AB31" s="2014"/>
      <c r="AC31" s="2014"/>
      <c r="AD31" s="2014"/>
      <c r="AE31" s="2014"/>
      <c r="AF31" s="2014"/>
      <c r="AG31" s="2014"/>
      <c r="AH31" s="2014"/>
      <c r="AI31" s="2014"/>
      <c r="AJ31" s="2014"/>
      <c r="AK31" s="2014"/>
      <c r="AL31" s="2014"/>
      <c r="AM31" s="2014"/>
      <c r="AN31" s="2014"/>
      <c r="AO31" s="2014"/>
      <c r="AP31" s="2014"/>
      <c r="AQ31" s="2014"/>
      <c r="AR31" s="2014"/>
      <c r="AS31" s="2014"/>
      <c r="AT31" s="2014"/>
      <c r="AU31" s="2014"/>
      <c r="AV31" s="2014"/>
      <c r="AW31" s="2014"/>
      <c r="AX31" s="2014"/>
      <c r="AY31" s="2014"/>
      <c r="AZ31" s="2014"/>
      <c r="BA31" s="2014"/>
      <c r="BB31" s="2014"/>
      <c r="BC31" s="2014"/>
      <c r="BD31" s="2014"/>
      <c r="BE31" s="2014"/>
      <c r="BF31" s="2014"/>
      <c r="BG31" s="2014"/>
      <c r="BH31" s="2014"/>
      <c r="BI31" s="2014"/>
      <c r="BJ31" s="2014"/>
      <c r="BK31" s="2014"/>
      <c r="BL31" s="2014"/>
      <c r="BM31" s="2014"/>
      <c r="BN31" s="2014"/>
      <c r="BO31" s="2014"/>
    </row>
    <row r="32" spans="1:67" ht="20.100000000000001" customHeight="1">
      <c r="A32" s="1845">
        <v>31</v>
      </c>
      <c r="B32" s="1854"/>
      <c r="C32" s="1847"/>
      <c r="D32" s="1848" t="s">
        <v>560</v>
      </c>
      <c r="E32" s="1848"/>
      <c r="F32" s="1849"/>
      <c r="G32" s="2010" t="s">
        <v>553</v>
      </c>
      <c r="H32" s="2011">
        <f t="shared" ca="1" si="0"/>
        <v>18.399999999999999</v>
      </c>
      <c r="I32" s="2011">
        <f t="shared" ca="1" si="1"/>
        <v>18.399999999999999</v>
      </c>
      <c r="J32" s="2011">
        <f t="shared" ca="1" si="2"/>
        <v>18.399999999999999</v>
      </c>
      <c r="K32" s="2011">
        <f t="shared" ca="1" si="3"/>
        <v>18.399999999999999</v>
      </c>
      <c r="L32" s="2012">
        <f t="shared" ca="1" si="4"/>
        <v>0</v>
      </c>
      <c r="M32" s="2012">
        <f t="shared" ca="1" si="5"/>
        <v>0</v>
      </c>
      <c r="N32" s="2012">
        <f t="shared" ca="1" si="6"/>
        <v>0</v>
      </c>
      <c r="O32" s="2012">
        <f t="shared" ca="1" si="7"/>
        <v>0</v>
      </c>
      <c r="P32" s="2013">
        <f ca="1">SUM(SUMIFS(OFFSET(貼付け_2024実績,$A32,9,1,199),OFFSET(貼付け_2024実績,4,9,1,199),{"横浜*","川崎*"}))</f>
        <v>0</v>
      </c>
      <c r="Q32" s="2013">
        <f ca="1">SUM(SUMIFS(OFFSET(貼付け_2025実績,$A32,9,1,199),OFFSET(貼付け_2025実績,4,9,1,199),{"横浜*","川崎*"}))</f>
        <v>0</v>
      </c>
      <c r="R32" s="2013">
        <f ca="1">SUM(SUMIFS(OFFSET(貼付け_2026実績,$A32,9,1,199),OFFSET(貼付け_2026実績,4,9,1,199),{"横浜*","川崎*"}))</f>
        <v>0</v>
      </c>
      <c r="S32" s="2013">
        <f ca="1">SUM(SUMIFS(OFFSET(貼付け_2027実績,$A32,9,1,199),OFFSET(貼付け_2027実績,4,9,1,199),{"横浜*","川崎*"}))</f>
        <v>0</v>
      </c>
      <c r="T32" s="2012">
        <f t="shared" ca="1" si="8"/>
        <v>0</v>
      </c>
      <c r="U32" s="2012">
        <f t="shared" ca="1" si="9"/>
        <v>0</v>
      </c>
      <c r="V32" s="2012">
        <f t="shared" ca="1" si="10"/>
        <v>0</v>
      </c>
      <c r="W32" s="2012">
        <f t="shared" ca="1" si="11"/>
        <v>0</v>
      </c>
      <c r="X32" s="2014">
        <f t="shared" ca="1" si="12"/>
        <v>0</v>
      </c>
      <c r="Y32" s="2014">
        <f t="shared" ca="1" si="13"/>
        <v>0</v>
      </c>
      <c r="Z32" s="2014">
        <f t="shared" ca="1" si="14"/>
        <v>0</v>
      </c>
      <c r="AA32" s="2014">
        <f t="shared" ca="1" si="15"/>
        <v>0</v>
      </c>
      <c r="AB32" s="2014"/>
      <c r="AC32" s="2014"/>
      <c r="AD32" s="2014"/>
      <c r="AE32" s="2014"/>
      <c r="AF32" s="2014"/>
      <c r="AG32" s="2014"/>
      <c r="AH32" s="2014"/>
      <c r="AI32" s="2014"/>
      <c r="AJ32" s="2014"/>
      <c r="AK32" s="2014"/>
      <c r="AL32" s="2014"/>
      <c r="AM32" s="2014"/>
      <c r="AN32" s="2014"/>
      <c r="AO32" s="2014"/>
      <c r="AP32" s="2014"/>
      <c r="AQ32" s="2014"/>
      <c r="AR32" s="2014"/>
      <c r="AS32" s="2014"/>
      <c r="AT32" s="2014"/>
      <c r="AU32" s="2014"/>
      <c r="AV32" s="2014"/>
      <c r="AW32" s="2014"/>
      <c r="AX32" s="2014"/>
      <c r="AY32" s="2014"/>
      <c r="AZ32" s="2014"/>
      <c r="BA32" s="2014"/>
      <c r="BB32" s="2014"/>
      <c r="BC32" s="2014"/>
      <c r="BD32" s="2014"/>
      <c r="BE32" s="2014"/>
      <c r="BF32" s="2014"/>
      <c r="BG32" s="2014"/>
      <c r="BH32" s="2014"/>
      <c r="BI32" s="2014"/>
      <c r="BJ32" s="2014"/>
      <c r="BK32" s="2014"/>
      <c r="BL32" s="2014"/>
      <c r="BM32" s="2014"/>
      <c r="BN32" s="2014"/>
      <c r="BO32" s="2014"/>
    </row>
    <row r="33" spans="1:67" ht="20.100000000000001" customHeight="1">
      <c r="A33" s="1845">
        <v>32</v>
      </c>
      <c r="B33" s="1854"/>
      <c r="C33" s="1847"/>
      <c r="D33" s="1848" t="s">
        <v>561</v>
      </c>
      <c r="E33" s="1848"/>
      <c r="F33" s="1849"/>
      <c r="G33" s="2010" t="s">
        <v>553</v>
      </c>
      <c r="H33" s="2011">
        <f t="shared" ca="1" si="0"/>
        <v>3.23</v>
      </c>
      <c r="I33" s="2011">
        <f t="shared" ca="1" si="1"/>
        <v>3.23</v>
      </c>
      <c r="J33" s="2011">
        <f t="shared" ca="1" si="2"/>
        <v>3.23</v>
      </c>
      <c r="K33" s="2011">
        <f t="shared" ca="1" si="3"/>
        <v>3.23</v>
      </c>
      <c r="L33" s="2012">
        <f t="shared" ca="1" si="4"/>
        <v>0</v>
      </c>
      <c r="M33" s="2012">
        <f t="shared" ca="1" si="5"/>
        <v>0</v>
      </c>
      <c r="N33" s="2012">
        <f t="shared" ca="1" si="6"/>
        <v>0</v>
      </c>
      <c r="O33" s="2012">
        <f t="shared" ca="1" si="7"/>
        <v>0</v>
      </c>
      <c r="P33" s="2013">
        <f ca="1">SUM(SUMIFS(OFFSET(貼付け_2024実績,$A33,9,1,199),OFFSET(貼付け_2024実績,4,9,1,199),{"横浜*","川崎*"}))</f>
        <v>0</v>
      </c>
      <c r="Q33" s="2013">
        <f ca="1">SUM(SUMIFS(OFFSET(貼付け_2025実績,$A33,9,1,199),OFFSET(貼付け_2025実績,4,9,1,199),{"横浜*","川崎*"}))</f>
        <v>0</v>
      </c>
      <c r="R33" s="2013">
        <f ca="1">SUM(SUMIFS(OFFSET(貼付け_2026実績,$A33,9,1,199),OFFSET(貼付け_2026実績,4,9,1,199),{"横浜*","川崎*"}))</f>
        <v>0</v>
      </c>
      <c r="S33" s="2013">
        <f ca="1">SUM(SUMIFS(OFFSET(貼付け_2027実績,$A33,9,1,199),OFFSET(貼付け_2027実績,4,9,1,199),{"横浜*","川崎*"}))</f>
        <v>0</v>
      </c>
      <c r="T33" s="2012">
        <f t="shared" ca="1" si="8"/>
        <v>0</v>
      </c>
      <c r="U33" s="2012">
        <f t="shared" ca="1" si="9"/>
        <v>0</v>
      </c>
      <c r="V33" s="2012">
        <f t="shared" ca="1" si="10"/>
        <v>0</v>
      </c>
      <c r="W33" s="2012">
        <f t="shared" ca="1" si="11"/>
        <v>0</v>
      </c>
      <c r="X33" s="2014">
        <f t="shared" ca="1" si="12"/>
        <v>0</v>
      </c>
      <c r="Y33" s="2014">
        <f t="shared" ca="1" si="13"/>
        <v>0</v>
      </c>
      <c r="Z33" s="2014">
        <f t="shared" ca="1" si="14"/>
        <v>0</v>
      </c>
      <c r="AA33" s="2014">
        <f t="shared" ca="1" si="15"/>
        <v>0</v>
      </c>
      <c r="AB33" s="2014"/>
      <c r="AC33" s="2014"/>
      <c r="AD33" s="2014"/>
      <c r="AE33" s="2014"/>
      <c r="AF33" s="2014"/>
      <c r="AG33" s="2014"/>
      <c r="AH33" s="2014"/>
      <c r="AI33" s="2014"/>
      <c r="AJ33" s="2014"/>
      <c r="AK33" s="2014"/>
      <c r="AL33" s="2014"/>
      <c r="AM33" s="2014"/>
      <c r="AN33" s="2014"/>
      <c r="AO33" s="2014"/>
      <c r="AP33" s="2014"/>
      <c r="AQ33" s="2014"/>
      <c r="AR33" s="2014"/>
      <c r="AS33" s="2014"/>
      <c r="AT33" s="2014"/>
      <c r="AU33" s="2014"/>
      <c r="AV33" s="2014"/>
      <c r="AW33" s="2014"/>
      <c r="AX33" s="2014"/>
      <c r="AY33" s="2014"/>
      <c r="AZ33" s="2014"/>
      <c r="BA33" s="2014"/>
      <c r="BB33" s="2014"/>
      <c r="BC33" s="2014"/>
      <c r="BD33" s="2014"/>
      <c r="BE33" s="2014"/>
      <c r="BF33" s="2014"/>
      <c r="BG33" s="2014"/>
      <c r="BH33" s="2014"/>
      <c r="BI33" s="2014"/>
      <c r="BJ33" s="2014"/>
      <c r="BK33" s="2014"/>
      <c r="BL33" s="2014"/>
      <c r="BM33" s="2014"/>
      <c r="BN33" s="2014"/>
      <c r="BO33" s="2014"/>
    </row>
    <row r="34" spans="1:67" ht="20.100000000000001" customHeight="1">
      <c r="A34" s="1845">
        <v>33</v>
      </c>
      <c r="B34" s="1854"/>
      <c r="C34" s="1847"/>
      <c r="D34" s="1848" t="s">
        <v>933</v>
      </c>
      <c r="E34" s="1848"/>
      <c r="F34" s="1849"/>
      <c r="G34" s="2010" t="s">
        <v>553</v>
      </c>
      <c r="H34" s="2011">
        <f t="shared" ca="1" si="0"/>
        <v>3.45</v>
      </c>
      <c r="I34" s="2011">
        <f t="shared" ca="1" si="1"/>
        <v>3.45</v>
      </c>
      <c r="J34" s="2011">
        <f t="shared" ca="1" si="2"/>
        <v>3.45</v>
      </c>
      <c r="K34" s="2011">
        <f t="shared" ca="1" si="3"/>
        <v>3.45</v>
      </c>
      <c r="L34" s="2012">
        <f t="shared" ca="1" si="4"/>
        <v>0</v>
      </c>
      <c r="M34" s="2012">
        <f t="shared" ca="1" si="5"/>
        <v>0</v>
      </c>
      <c r="N34" s="2012">
        <f t="shared" ca="1" si="6"/>
        <v>0</v>
      </c>
      <c r="O34" s="2012">
        <f t="shared" ca="1" si="7"/>
        <v>0</v>
      </c>
      <c r="P34" s="2013">
        <f ca="1">SUM(SUMIFS(OFFSET(貼付け_2024実績,$A34,9,1,199),OFFSET(貼付け_2024実績,4,9,1,199),{"横浜*","川崎*"}))</f>
        <v>0</v>
      </c>
      <c r="Q34" s="2013">
        <f ca="1">SUM(SUMIFS(OFFSET(貼付け_2025実績,$A34,9,1,199),OFFSET(貼付け_2025実績,4,9,1,199),{"横浜*","川崎*"}))</f>
        <v>0</v>
      </c>
      <c r="R34" s="2013">
        <f ca="1">SUM(SUMIFS(OFFSET(貼付け_2026実績,$A34,9,1,199),OFFSET(貼付け_2026実績,4,9,1,199),{"横浜*","川崎*"}))</f>
        <v>0</v>
      </c>
      <c r="S34" s="2013">
        <f ca="1">SUM(SUMIFS(OFFSET(貼付け_2027実績,$A34,9,1,199),OFFSET(貼付け_2027実績,4,9,1,199),{"横浜*","川崎*"}))</f>
        <v>0</v>
      </c>
      <c r="T34" s="2012">
        <f t="shared" ca="1" si="8"/>
        <v>0</v>
      </c>
      <c r="U34" s="2012">
        <f t="shared" ca="1" si="9"/>
        <v>0</v>
      </c>
      <c r="V34" s="2012">
        <f t="shared" ca="1" si="10"/>
        <v>0</v>
      </c>
      <c r="W34" s="2012">
        <f t="shared" ca="1" si="11"/>
        <v>0</v>
      </c>
      <c r="X34" s="2014">
        <f t="shared" ca="1" si="12"/>
        <v>0</v>
      </c>
      <c r="Y34" s="2014">
        <f t="shared" ca="1" si="13"/>
        <v>0</v>
      </c>
      <c r="Z34" s="2014">
        <f t="shared" ca="1" si="14"/>
        <v>0</v>
      </c>
      <c r="AA34" s="2014">
        <f t="shared" ca="1" si="15"/>
        <v>0</v>
      </c>
      <c r="AB34" s="2014"/>
      <c r="AC34" s="2014"/>
      <c r="AD34" s="2014"/>
      <c r="AE34" s="2014"/>
      <c r="AF34" s="2014"/>
      <c r="AG34" s="2014"/>
      <c r="AH34" s="2014"/>
      <c r="AI34" s="2014"/>
      <c r="AJ34" s="2014"/>
      <c r="AK34" s="2014"/>
      <c r="AL34" s="2014"/>
      <c r="AM34" s="2014"/>
      <c r="AN34" s="2014"/>
      <c r="AO34" s="2014"/>
      <c r="AP34" s="2014"/>
      <c r="AQ34" s="2014"/>
      <c r="AR34" s="2014"/>
      <c r="AS34" s="2014"/>
      <c r="AT34" s="2014"/>
      <c r="AU34" s="2014"/>
      <c r="AV34" s="2014"/>
      <c r="AW34" s="2014"/>
      <c r="AX34" s="2014"/>
      <c r="AY34" s="2014"/>
      <c r="AZ34" s="2014"/>
      <c r="BA34" s="2014"/>
      <c r="BB34" s="2014"/>
      <c r="BC34" s="2014"/>
      <c r="BD34" s="2014"/>
      <c r="BE34" s="2014"/>
      <c r="BF34" s="2014"/>
      <c r="BG34" s="2014"/>
      <c r="BH34" s="2014"/>
      <c r="BI34" s="2014"/>
      <c r="BJ34" s="2014"/>
      <c r="BK34" s="2014"/>
      <c r="BL34" s="2014"/>
      <c r="BM34" s="2014"/>
      <c r="BN34" s="2014"/>
      <c r="BO34" s="2014"/>
    </row>
    <row r="35" spans="1:67" ht="20.100000000000001" customHeight="1">
      <c r="A35" s="1845">
        <v>34</v>
      </c>
      <c r="B35" s="1854"/>
      <c r="C35" s="1847"/>
      <c r="D35" s="1848" t="s">
        <v>562</v>
      </c>
      <c r="E35" s="1848"/>
      <c r="F35" s="1849"/>
      <c r="G35" s="2010" t="s">
        <v>553</v>
      </c>
      <c r="H35" s="2011">
        <f t="shared" ca="1" si="0"/>
        <v>7.53</v>
      </c>
      <c r="I35" s="2011">
        <f t="shared" ca="1" si="1"/>
        <v>7.53</v>
      </c>
      <c r="J35" s="2011">
        <f t="shared" ca="1" si="2"/>
        <v>7.53</v>
      </c>
      <c r="K35" s="2011">
        <f t="shared" ca="1" si="3"/>
        <v>7.53</v>
      </c>
      <c r="L35" s="2012">
        <f t="shared" ca="1" si="4"/>
        <v>0</v>
      </c>
      <c r="M35" s="2012">
        <f t="shared" ca="1" si="5"/>
        <v>0</v>
      </c>
      <c r="N35" s="2012">
        <f t="shared" ca="1" si="6"/>
        <v>0</v>
      </c>
      <c r="O35" s="2012">
        <f t="shared" ca="1" si="7"/>
        <v>0</v>
      </c>
      <c r="P35" s="2013">
        <f ca="1">SUM(SUMIFS(OFFSET(貼付け_2024実績,$A35,9,1,199),OFFSET(貼付け_2024実績,4,9,1,199),{"横浜*","川崎*"}))</f>
        <v>0</v>
      </c>
      <c r="Q35" s="2013">
        <f ca="1">SUM(SUMIFS(OFFSET(貼付け_2025実績,$A35,9,1,199),OFFSET(貼付け_2025実績,4,9,1,199),{"横浜*","川崎*"}))</f>
        <v>0</v>
      </c>
      <c r="R35" s="2013">
        <f ca="1">SUM(SUMIFS(OFFSET(貼付け_2026実績,$A35,9,1,199),OFFSET(貼付け_2026実績,4,9,1,199),{"横浜*","川崎*"}))</f>
        <v>0</v>
      </c>
      <c r="S35" s="2013">
        <f ca="1">SUM(SUMIFS(OFFSET(貼付け_2027実績,$A35,9,1,199),OFFSET(貼付け_2027実績,4,9,1,199),{"横浜*","川崎*"}))</f>
        <v>0</v>
      </c>
      <c r="T35" s="2012">
        <f t="shared" ca="1" si="8"/>
        <v>0</v>
      </c>
      <c r="U35" s="2012">
        <f t="shared" ca="1" si="9"/>
        <v>0</v>
      </c>
      <c r="V35" s="2012">
        <f t="shared" ca="1" si="10"/>
        <v>0</v>
      </c>
      <c r="W35" s="2012">
        <f t="shared" ca="1" si="11"/>
        <v>0</v>
      </c>
      <c r="X35" s="2014">
        <f t="shared" ca="1" si="12"/>
        <v>0</v>
      </c>
      <c r="Y35" s="2014">
        <f t="shared" ca="1" si="13"/>
        <v>0</v>
      </c>
      <c r="Z35" s="2014">
        <f t="shared" ca="1" si="14"/>
        <v>0</v>
      </c>
      <c r="AA35" s="2014">
        <f t="shared" ca="1" si="15"/>
        <v>0</v>
      </c>
      <c r="AB35" s="2014"/>
      <c r="AC35" s="2014"/>
      <c r="AD35" s="2014"/>
      <c r="AE35" s="2014"/>
      <c r="AF35" s="2014"/>
      <c r="AG35" s="2014"/>
      <c r="AH35" s="2014"/>
      <c r="AI35" s="2014"/>
      <c r="AJ35" s="2014"/>
      <c r="AK35" s="2014"/>
      <c r="AL35" s="2014"/>
      <c r="AM35" s="2014"/>
      <c r="AN35" s="2014"/>
      <c r="AO35" s="2014"/>
      <c r="AP35" s="2014"/>
      <c r="AQ35" s="2014"/>
      <c r="AR35" s="2014"/>
      <c r="AS35" s="2014"/>
      <c r="AT35" s="2014"/>
      <c r="AU35" s="2014"/>
      <c r="AV35" s="2014"/>
      <c r="AW35" s="2014"/>
      <c r="AX35" s="2014"/>
      <c r="AY35" s="2014"/>
      <c r="AZ35" s="2014"/>
      <c r="BA35" s="2014"/>
      <c r="BB35" s="2014"/>
      <c r="BC35" s="2014"/>
      <c r="BD35" s="2014"/>
      <c r="BE35" s="2014"/>
      <c r="BF35" s="2014"/>
      <c r="BG35" s="2014"/>
      <c r="BH35" s="2014"/>
      <c r="BI35" s="2014"/>
      <c r="BJ35" s="2014"/>
      <c r="BK35" s="2014"/>
      <c r="BL35" s="2014"/>
      <c r="BM35" s="2014"/>
      <c r="BN35" s="2014"/>
      <c r="BO35" s="2014"/>
    </row>
    <row r="36" spans="1:67" ht="20.100000000000001" customHeight="1">
      <c r="A36" s="1845">
        <v>35</v>
      </c>
      <c r="B36" s="1855"/>
      <c r="C36" s="1847"/>
      <c r="D36" s="1848" t="s">
        <v>934</v>
      </c>
      <c r="E36" s="1856"/>
      <c r="F36" s="1849"/>
      <c r="G36" s="2010" t="s">
        <v>553</v>
      </c>
      <c r="H36" s="2015"/>
      <c r="I36" s="2015"/>
      <c r="J36" s="2015"/>
      <c r="K36" s="2015"/>
      <c r="L36" s="2012">
        <f t="shared" ca="1" si="4"/>
        <v>0</v>
      </c>
      <c r="M36" s="2012">
        <f t="shared" ca="1" si="5"/>
        <v>0</v>
      </c>
      <c r="N36" s="2012">
        <f t="shared" ca="1" si="6"/>
        <v>0</v>
      </c>
      <c r="O36" s="2012">
        <f t="shared" ca="1" si="7"/>
        <v>0</v>
      </c>
      <c r="P36" s="2013">
        <f ca="1">SUM(SUMIFS(OFFSET(貼付け_2024実績,$A36,9,1,199),OFFSET(貼付け_2024実績,4,9,1,199),{"横浜*","川崎*"}))</f>
        <v>0</v>
      </c>
      <c r="Q36" s="2013">
        <f ca="1">SUM(SUMIFS(OFFSET(貼付け_2025実績,$A36,9,1,199),OFFSET(貼付け_2025実績,4,9,1,199),{"横浜*","川崎*"}))</f>
        <v>0</v>
      </c>
      <c r="R36" s="2013">
        <f ca="1">SUM(SUMIFS(OFFSET(貼付け_2026実績,$A36,9,1,199),OFFSET(貼付け_2026実績,4,9,1,199),{"横浜*","川崎*"}))</f>
        <v>0</v>
      </c>
      <c r="S36" s="2013">
        <f ca="1">SUM(SUMIFS(OFFSET(貼付け_2027実績,$A36,9,1,199),OFFSET(貼付け_2027実績,4,9,1,199),{"横浜*","川崎*"}))</f>
        <v>0</v>
      </c>
      <c r="T36" s="2012">
        <f t="shared" ca="1" si="8"/>
        <v>0</v>
      </c>
      <c r="U36" s="2012">
        <f t="shared" ca="1" si="9"/>
        <v>0</v>
      </c>
      <c r="V36" s="2012">
        <f t="shared" ca="1" si="10"/>
        <v>0</v>
      </c>
      <c r="W36" s="2012">
        <f t="shared" ca="1" si="11"/>
        <v>0</v>
      </c>
      <c r="X36" s="2014">
        <f t="shared" ca="1" si="12"/>
        <v>0</v>
      </c>
      <c r="Y36" s="2014">
        <f t="shared" ca="1" si="13"/>
        <v>0</v>
      </c>
      <c r="Z36" s="2014">
        <f t="shared" ca="1" si="14"/>
        <v>0</v>
      </c>
      <c r="AA36" s="2014">
        <f t="shared" ca="1" si="15"/>
        <v>0</v>
      </c>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c r="AV36" s="2014"/>
      <c r="AW36" s="2014"/>
      <c r="AX36" s="2014"/>
      <c r="AY36" s="2014"/>
      <c r="AZ36" s="2014"/>
      <c r="BA36" s="2014"/>
      <c r="BB36" s="2014"/>
      <c r="BC36" s="2014"/>
      <c r="BD36" s="2014"/>
      <c r="BE36" s="2014"/>
      <c r="BF36" s="2014"/>
      <c r="BG36" s="2014"/>
      <c r="BH36" s="2014"/>
      <c r="BI36" s="2014"/>
      <c r="BJ36" s="2014"/>
      <c r="BK36" s="2014"/>
      <c r="BL36" s="2014"/>
      <c r="BM36" s="2014"/>
      <c r="BN36" s="2014"/>
      <c r="BO36" s="2014"/>
    </row>
    <row r="37" spans="1:67" ht="20.100000000000001" customHeight="1">
      <c r="A37" s="1845">
        <v>36</v>
      </c>
      <c r="B37" s="1854"/>
      <c r="C37" s="1847"/>
      <c r="D37" s="1848" t="s">
        <v>935</v>
      </c>
      <c r="E37" s="1858" t="str">
        <f ca="1">OFFSET(A1_その他欄集計,2,7)</f>
        <v/>
      </c>
      <c r="F37" s="1849"/>
      <c r="G37" s="2010" t="str">
        <f ca="1">OFFSET(A1_その他欄集計,3,7)</f>
        <v/>
      </c>
      <c r="H37" s="2011">
        <f t="shared" ref="H37:H75" ca="1" si="16">IFERROR(OFFSET(貼付け_2024実績,$A37,5),"")</f>
        <v>0</v>
      </c>
      <c r="I37" s="2011">
        <f t="shared" ref="I37:I75" ca="1" si="17">IFERROR(OFFSET(貼付け_2025実績,$A37,5),"")</f>
        <v>0</v>
      </c>
      <c r="J37" s="2011">
        <f t="shared" ref="J37:J75" ca="1" si="18">IFERROR(OFFSET(貼付け_2026実績,$A37,5),"")</f>
        <v>0</v>
      </c>
      <c r="K37" s="2011">
        <f t="shared" ref="K37:K75" ca="1" si="19">IFERROR(OFFSET(貼付け_2027実績,$A37,5),"")</f>
        <v>0</v>
      </c>
      <c r="L37" s="2012">
        <f t="shared" ca="1" si="4"/>
        <v>0</v>
      </c>
      <c r="M37" s="2012">
        <f t="shared" ca="1" si="5"/>
        <v>0</v>
      </c>
      <c r="N37" s="2012">
        <f t="shared" ca="1" si="6"/>
        <v>0</v>
      </c>
      <c r="O37" s="2012">
        <f t="shared" ca="1" si="7"/>
        <v>0</v>
      </c>
      <c r="P37" s="2013">
        <f ca="1">SUM(SUMIFS(OFFSET(貼付け_2024実績,$A37,9,1,199),OFFSET(貼付け_2024実績,4,9,1,199),{"横浜*","川崎*"}))</f>
        <v>0</v>
      </c>
      <c r="Q37" s="2013">
        <f ca="1">SUM(SUMIFS(OFFSET(貼付け_2025実績,$A37,9,1,199),OFFSET(貼付け_2025実績,4,9,1,199),{"横浜*","川崎*"}))</f>
        <v>0</v>
      </c>
      <c r="R37" s="2013">
        <f ca="1">SUM(SUMIFS(OFFSET(貼付け_2026実績,$A37,9,1,199),OFFSET(貼付け_2026実績,4,9,1,199),{"横浜*","川崎*"}))</f>
        <v>0</v>
      </c>
      <c r="S37" s="2013">
        <f ca="1">SUM(SUMIFS(OFFSET(貼付け_2027実績,$A37,9,1,199),OFFSET(貼付け_2027実績,4,9,1,199),{"横浜*","川崎*"}))</f>
        <v>0</v>
      </c>
      <c r="T37" s="2012">
        <f t="shared" ca="1" si="8"/>
        <v>0</v>
      </c>
      <c r="U37" s="2012">
        <f t="shared" ca="1" si="9"/>
        <v>0</v>
      </c>
      <c r="V37" s="2012">
        <f t="shared" ca="1" si="10"/>
        <v>0</v>
      </c>
      <c r="W37" s="2012">
        <f t="shared" ca="1" si="11"/>
        <v>0</v>
      </c>
      <c r="X37" s="2014">
        <f t="shared" ca="1" si="12"/>
        <v>0</v>
      </c>
      <c r="Y37" s="2014">
        <f t="shared" ca="1" si="13"/>
        <v>0</v>
      </c>
      <c r="Z37" s="2014">
        <f t="shared" ca="1" si="14"/>
        <v>0</v>
      </c>
      <c r="AA37" s="2014">
        <f t="shared" ca="1" si="15"/>
        <v>0</v>
      </c>
      <c r="AB37" s="2014"/>
      <c r="AC37" s="2014"/>
      <c r="AD37" s="2014"/>
      <c r="AE37" s="2014"/>
      <c r="AF37" s="2014"/>
      <c r="AG37" s="2014"/>
      <c r="AH37" s="2014"/>
      <c r="AI37" s="2014"/>
      <c r="AJ37" s="2014"/>
      <c r="AK37" s="2014"/>
      <c r="AL37" s="2014"/>
      <c r="AM37" s="2014"/>
      <c r="AN37" s="2014"/>
      <c r="AO37" s="2014"/>
      <c r="AP37" s="2014"/>
      <c r="AQ37" s="2014"/>
      <c r="AR37" s="2014"/>
      <c r="AS37" s="2014"/>
      <c r="AT37" s="2014"/>
      <c r="AU37" s="2014"/>
      <c r="AV37" s="2014"/>
      <c r="AW37" s="2014"/>
      <c r="AX37" s="2014"/>
      <c r="AY37" s="2014"/>
      <c r="AZ37" s="2014"/>
      <c r="BA37" s="2014"/>
      <c r="BB37" s="2014"/>
      <c r="BC37" s="2014"/>
      <c r="BD37" s="2014"/>
      <c r="BE37" s="2014"/>
      <c r="BF37" s="2014"/>
      <c r="BG37" s="2014"/>
      <c r="BH37" s="2014"/>
      <c r="BI37" s="2014"/>
      <c r="BJ37" s="2014"/>
      <c r="BK37" s="2014"/>
      <c r="BL37" s="2014"/>
      <c r="BM37" s="2014"/>
      <c r="BN37" s="2014"/>
      <c r="BO37" s="2014"/>
    </row>
    <row r="38" spans="1:67" ht="20.100000000000001" customHeight="1">
      <c r="A38" s="1845">
        <v>37</v>
      </c>
      <c r="B38" s="1854"/>
      <c r="C38" s="1847" t="s">
        <v>936</v>
      </c>
      <c r="D38" s="1859" t="s">
        <v>937</v>
      </c>
      <c r="E38" s="1848"/>
      <c r="F38" s="1849"/>
      <c r="G38" s="2010" t="s">
        <v>548</v>
      </c>
      <c r="H38" s="2011">
        <f t="shared" ca="1" si="16"/>
        <v>13.6</v>
      </c>
      <c r="I38" s="2011">
        <f t="shared" ca="1" si="17"/>
        <v>13.6</v>
      </c>
      <c r="J38" s="2011">
        <f t="shared" ca="1" si="18"/>
        <v>13.6</v>
      </c>
      <c r="K38" s="2011">
        <f t="shared" ca="1" si="19"/>
        <v>13.6</v>
      </c>
      <c r="L38" s="2012">
        <f t="shared" ca="1" si="4"/>
        <v>0</v>
      </c>
      <c r="M38" s="2012">
        <f t="shared" ca="1" si="5"/>
        <v>0</v>
      </c>
      <c r="N38" s="2012">
        <f t="shared" ca="1" si="6"/>
        <v>0</v>
      </c>
      <c r="O38" s="2012">
        <f t="shared" ca="1" si="7"/>
        <v>0</v>
      </c>
      <c r="P38" s="2013">
        <f ca="1">SUM(SUMIFS(OFFSET(貼付け_2024実績,$A38,9,1,199),OFFSET(貼付け_2024実績,4,9,1,199),{"横浜*","川崎*"}))</f>
        <v>0</v>
      </c>
      <c r="Q38" s="2013">
        <f ca="1">SUM(SUMIFS(OFFSET(貼付け_2025実績,$A38,9,1,199),OFFSET(貼付け_2025実績,4,9,1,199),{"横浜*","川崎*"}))</f>
        <v>0</v>
      </c>
      <c r="R38" s="2013">
        <f ca="1">SUM(SUMIFS(OFFSET(貼付け_2026実績,$A38,9,1,199),OFFSET(貼付け_2026実績,4,9,1,199),{"横浜*","川崎*"}))</f>
        <v>0</v>
      </c>
      <c r="S38" s="2013">
        <f ca="1">SUM(SUMIFS(OFFSET(貼付け_2027実績,$A38,9,1,199),OFFSET(貼付け_2027実績,4,9,1,199),{"横浜*","川崎*"}))</f>
        <v>0</v>
      </c>
      <c r="T38" s="2012">
        <f t="shared" ca="1" si="8"/>
        <v>0</v>
      </c>
      <c r="U38" s="2012">
        <f t="shared" ca="1" si="9"/>
        <v>0</v>
      </c>
      <c r="V38" s="2012">
        <f t="shared" ca="1" si="10"/>
        <v>0</v>
      </c>
      <c r="W38" s="2012">
        <f t="shared" ca="1" si="11"/>
        <v>0</v>
      </c>
      <c r="X38" s="2014">
        <f t="shared" ca="1" si="12"/>
        <v>0</v>
      </c>
      <c r="Y38" s="2014">
        <f t="shared" ca="1" si="13"/>
        <v>0</v>
      </c>
      <c r="Z38" s="2014">
        <f t="shared" ca="1" si="14"/>
        <v>0</v>
      </c>
      <c r="AA38" s="2014">
        <f t="shared" ca="1" si="15"/>
        <v>0</v>
      </c>
      <c r="AB38" s="2014"/>
      <c r="AC38" s="2014"/>
      <c r="AD38" s="2014"/>
      <c r="AE38" s="2014"/>
      <c r="AF38" s="2014"/>
      <c r="AG38" s="2014"/>
      <c r="AH38" s="2014"/>
      <c r="AI38" s="2014"/>
      <c r="AJ38" s="2014"/>
      <c r="AK38" s="2014"/>
      <c r="AL38" s="2014"/>
      <c r="AM38" s="2014"/>
      <c r="AN38" s="2014"/>
      <c r="AO38" s="2014"/>
      <c r="AP38" s="2014"/>
      <c r="AQ38" s="2014"/>
      <c r="AR38" s="2014"/>
      <c r="AS38" s="2014"/>
      <c r="AT38" s="2014"/>
      <c r="AU38" s="2014"/>
      <c r="AV38" s="2014"/>
      <c r="AW38" s="2014"/>
      <c r="AX38" s="2014"/>
      <c r="AY38" s="2014"/>
      <c r="AZ38" s="2014"/>
      <c r="BA38" s="2014"/>
      <c r="BB38" s="2014"/>
      <c r="BC38" s="2014"/>
      <c r="BD38" s="2014"/>
      <c r="BE38" s="2014"/>
      <c r="BF38" s="2014"/>
      <c r="BG38" s="2014"/>
      <c r="BH38" s="2014"/>
      <c r="BI38" s="2014"/>
      <c r="BJ38" s="2014"/>
      <c r="BK38" s="2014"/>
      <c r="BL38" s="2014"/>
      <c r="BM38" s="2014"/>
      <c r="BN38" s="2014"/>
      <c r="BO38" s="2014"/>
    </row>
    <row r="39" spans="1:67" ht="20.100000000000001" customHeight="1">
      <c r="A39" s="1845">
        <v>38</v>
      </c>
      <c r="B39" s="1854"/>
      <c r="C39" s="1847"/>
      <c r="D39" s="1859" t="s">
        <v>938</v>
      </c>
      <c r="E39" s="1848"/>
      <c r="F39" s="1849"/>
      <c r="G39" s="2010" t="s">
        <v>548</v>
      </c>
      <c r="H39" s="2011">
        <f t="shared" ca="1" si="16"/>
        <v>13.2</v>
      </c>
      <c r="I39" s="2011">
        <f t="shared" ca="1" si="17"/>
        <v>13.2</v>
      </c>
      <c r="J39" s="2011">
        <f t="shared" ca="1" si="18"/>
        <v>13.2</v>
      </c>
      <c r="K39" s="2011">
        <f t="shared" ca="1" si="19"/>
        <v>13.2</v>
      </c>
      <c r="L39" s="2012">
        <f t="shared" ca="1" si="4"/>
        <v>0</v>
      </c>
      <c r="M39" s="2012">
        <f t="shared" ca="1" si="5"/>
        <v>0</v>
      </c>
      <c r="N39" s="2012">
        <f t="shared" ca="1" si="6"/>
        <v>0</v>
      </c>
      <c r="O39" s="2012">
        <f t="shared" ca="1" si="7"/>
        <v>0</v>
      </c>
      <c r="P39" s="2013">
        <f ca="1">SUM(SUMIFS(OFFSET(貼付け_2024実績,$A39,9,1,199),OFFSET(貼付け_2024実績,4,9,1,199),{"横浜*","川崎*"}))</f>
        <v>0</v>
      </c>
      <c r="Q39" s="2013">
        <f ca="1">SUM(SUMIFS(OFFSET(貼付け_2025実績,$A39,9,1,199),OFFSET(貼付け_2025実績,4,9,1,199),{"横浜*","川崎*"}))</f>
        <v>0</v>
      </c>
      <c r="R39" s="2013">
        <f ca="1">SUM(SUMIFS(OFFSET(貼付け_2026実績,$A39,9,1,199),OFFSET(貼付け_2026実績,4,9,1,199),{"横浜*","川崎*"}))</f>
        <v>0</v>
      </c>
      <c r="S39" s="2013">
        <f ca="1">SUM(SUMIFS(OFFSET(貼付け_2027実績,$A39,9,1,199),OFFSET(貼付け_2027実績,4,9,1,199),{"横浜*","川崎*"}))</f>
        <v>0</v>
      </c>
      <c r="T39" s="2012">
        <f t="shared" ca="1" si="8"/>
        <v>0</v>
      </c>
      <c r="U39" s="2012">
        <f t="shared" ca="1" si="9"/>
        <v>0</v>
      </c>
      <c r="V39" s="2012">
        <f t="shared" ca="1" si="10"/>
        <v>0</v>
      </c>
      <c r="W39" s="2012">
        <f t="shared" ca="1" si="11"/>
        <v>0</v>
      </c>
      <c r="X39" s="2014">
        <f t="shared" ca="1" si="12"/>
        <v>0</v>
      </c>
      <c r="Y39" s="2014">
        <f t="shared" ca="1" si="13"/>
        <v>0</v>
      </c>
      <c r="Z39" s="2014">
        <f t="shared" ca="1" si="14"/>
        <v>0</v>
      </c>
      <c r="AA39" s="2014">
        <f t="shared" ca="1" si="15"/>
        <v>0</v>
      </c>
      <c r="AB39" s="2014"/>
      <c r="AC39" s="2014"/>
      <c r="AD39" s="2014"/>
      <c r="AE39" s="2014"/>
      <c r="AF39" s="2014"/>
      <c r="AG39" s="2014"/>
      <c r="AH39" s="2014"/>
      <c r="AI39" s="2014"/>
      <c r="AJ39" s="2014"/>
      <c r="AK39" s="2014"/>
      <c r="AL39" s="2014"/>
      <c r="AM39" s="2014"/>
      <c r="AN39" s="2014"/>
      <c r="AO39" s="2014"/>
      <c r="AP39" s="2014"/>
      <c r="AQ39" s="2014"/>
      <c r="AR39" s="2014"/>
      <c r="AS39" s="2014"/>
      <c r="AT39" s="2014"/>
      <c r="AU39" s="2014"/>
      <c r="AV39" s="2014"/>
      <c r="AW39" s="2014"/>
      <c r="AX39" s="2014"/>
      <c r="AY39" s="2014"/>
      <c r="AZ39" s="2014"/>
      <c r="BA39" s="2014"/>
      <c r="BB39" s="2014"/>
      <c r="BC39" s="2014"/>
      <c r="BD39" s="2014"/>
      <c r="BE39" s="2014"/>
      <c r="BF39" s="2014"/>
      <c r="BG39" s="2014"/>
      <c r="BH39" s="2014"/>
      <c r="BI39" s="2014"/>
      <c r="BJ39" s="2014"/>
      <c r="BK39" s="2014"/>
      <c r="BL39" s="2014"/>
      <c r="BM39" s="2014"/>
      <c r="BN39" s="2014"/>
      <c r="BO39" s="2014"/>
    </row>
    <row r="40" spans="1:67" ht="20.100000000000001" customHeight="1">
      <c r="A40" s="1845">
        <v>39</v>
      </c>
      <c r="B40" s="1854"/>
      <c r="C40" s="1847"/>
      <c r="D40" s="1859" t="s">
        <v>939</v>
      </c>
      <c r="E40" s="1837"/>
      <c r="F40" s="1849"/>
      <c r="G40" s="2010" t="s">
        <v>548</v>
      </c>
      <c r="H40" s="2011">
        <f t="shared" ca="1" si="16"/>
        <v>17.100000000000001</v>
      </c>
      <c r="I40" s="2011">
        <f t="shared" ca="1" si="17"/>
        <v>17.100000000000001</v>
      </c>
      <c r="J40" s="2011">
        <f t="shared" ca="1" si="18"/>
        <v>17.100000000000001</v>
      </c>
      <c r="K40" s="2011">
        <f t="shared" ca="1" si="19"/>
        <v>17.100000000000001</v>
      </c>
      <c r="L40" s="2012">
        <f t="shared" ca="1" si="4"/>
        <v>0</v>
      </c>
      <c r="M40" s="2012">
        <f t="shared" ca="1" si="5"/>
        <v>0</v>
      </c>
      <c r="N40" s="2012">
        <f t="shared" ca="1" si="6"/>
        <v>0</v>
      </c>
      <c r="O40" s="2012">
        <f t="shared" ca="1" si="7"/>
        <v>0</v>
      </c>
      <c r="P40" s="2013">
        <f ca="1">SUM(SUMIFS(OFFSET(貼付け_2024実績,$A40,9,1,199),OFFSET(貼付け_2024実績,4,9,1,199),{"横浜*","川崎*"}))</f>
        <v>0</v>
      </c>
      <c r="Q40" s="2013">
        <f ca="1">SUM(SUMIFS(OFFSET(貼付け_2025実績,$A40,9,1,199),OFFSET(貼付け_2025実績,4,9,1,199),{"横浜*","川崎*"}))</f>
        <v>0</v>
      </c>
      <c r="R40" s="2013">
        <f ca="1">SUM(SUMIFS(OFFSET(貼付け_2026実績,$A40,9,1,199),OFFSET(貼付け_2026実績,4,9,1,199),{"横浜*","川崎*"}))</f>
        <v>0</v>
      </c>
      <c r="S40" s="2013">
        <f ca="1">SUM(SUMIFS(OFFSET(貼付け_2027実績,$A40,9,1,199),OFFSET(貼付け_2027実績,4,9,1,199),{"横浜*","川崎*"}))</f>
        <v>0</v>
      </c>
      <c r="T40" s="2012">
        <f t="shared" ca="1" si="8"/>
        <v>0</v>
      </c>
      <c r="U40" s="2012">
        <f t="shared" ca="1" si="9"/>
        <v>0</v>
      </c>
      <c r="V40" s="2012">
        <f t="shared" ca="1" si="10"/>
        <v>0</v>
      </c>
      <c r="W40" s="2012">
        <f t="shared" ca="1" si="11"/>
        <v>0</v>
      </c>
      <c r="X40" s="2014">
        <f t="shared" ca="1" si="12"/>
        <v>0</v>
      </c>
      <c r="Y40" s="2014">
        <f t="shared" ca="1" si="13"/>
        <v>0</v>
      </c>
      <c r="Z40" s="2014">
        <f t="shared" ca="1" si="14"/>
        <v>0</v>
      </c>
      <c r="AA40" s="2014">
        <f t="shared" ca="1" si="15"/>
        <v>0</v>
      </c>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c r="BD40" s="2014"/>
      <c r="BE40" s="2014"/>
      <c r="BF40" s="2014"/>
      <c r="BG40" s="2014"/>
      <c r="BH40" s="2014"/>
      <c r="BI40" s="2014"/>
      <c r="BJ40" s="2014"/>
      <c r="BK40" s="2014"/>
      <c r="BL40" s="2014"/>
      <c r="BM40" s="2014"/>
      <c r="BN40" s="2014"/>
      <c r="BO40" s="2014"/>
    </row>
    <row r="41" spans="1:67" ht="20.100000000000001" customHeight="1">
      <c r="A41" s="1845">
        <v>40</v>
      </c>
      <c r="B41" s="1854"/>
      <c r="C41" s="1847"/>
      <c r="D41" s="1848" t="s">
        <v>564</v>
      </c>
      <c r="E41" s="1848"/>
      <c r="F41" s="1849"/>
      <c r="G41" s="2010" t="s">
        <v>540</v>
      </c>
      <c r="H41" s="2011">
        <f t="shared" ca="1" si="16"/>
        <v>23.4</v>
      </c>
      <c r="I41" s="2011">
        <f t="shared" ca="1" si="17"/>
        <v>23.4</v>
      </c>
      <c r="J41" s="2011">
        <f t="shared" ca="1" si="18"/>
        <v>23.4</v>
      </c>
      <c r="K41" s="2011">
        <f t="shared" ca="1" si="19"/>
        <v>23.4</v>
      </c>
      <c r="L41" s="2012">
        <f t="shared" ref="L41:L72" ca="1" si="20">P41+T41</f>
        <v>0</v>
      </c>
      <c r="M41" s="2012">
        <f t="shared" ref="M41:M72" ca="1" si="21">Q41+U41</f>
        <v>0</v>
      </c>
      <c r="N41" s="2012">
        <f t="shared" ref="N41:N72" ca="1" si="22">R41+V41</f>
        <v>0</v>
      </c>
      <c r="O41" s="2012">
        <f t="shared" ref="O41:O72" ca="1" si="23">S41+W41</f>
        <v>0</v>
      </c>
      <c r="P41" s="2013">
        <f ca="1">SUM(SUMIFS(OFFSET(貼付け_2024実績,$A41,9,1,199),OFFSET(貼付け_2024実績,4,9,1,199),{"横浜*","川崎*"}))</f>
        <v>0</v>
      </c>
      <c r="Q41" s="2013">
        <f ca="1">SUM(SUMIFS(OFFSET(貼付け_2025実績,$A41,9,1,199),OFFSET(貼付け_2025実績,4,9,1,199),{"横浜*","川崎*"}))</f>
        <v>0</v>
      </c>
      <c r="R41" s="2013">
        <f ca="1">SUM(SUMIFS(OFFSET(貼付け_2026実績,$A41,9,1,199),OFFSET(貼付け_2026実績,4,9,1,199),{"横浜*","川崎*"}))</f>
        <v>0</v>
      </c>
      <c r="S41" s="2013">
        <f ca="1">SUM(SUMIFS(OFFSET(貼付け_2027実績,$A41,9,1,199),OFFSET(貼付け_2027実績,4,9,1,199),{"横浜*","川崎*"}))</f>
        <v>0</v>
      </c>
      <c r="T41" s="2012">
        <f t="shared" ref="T41:T72" ca="1" si="24">SUM(X41,AB41,AF41,AJ41,AN41,AR41,AV41,AZ41,BD41,BH41,BL41)</f>
        <v>0</v>
      </c>
      <c r="U41" s="2012">
        <f t="shared" ref="U41:U72" ca="1" si="25">SUM(Y41,AC41,AG41,AK41,AO41,AS41,AW41,BA41,BE41,BI41,BM41)</f>
        <v>0</v>
      </c>
      <c r="V41" s="2012">
        <f t="shared" ref="V41:V72" ca="1" si="26">SUM(Z41,AD41,AH41,AL41,AP41,AT41,AX41,BB41,BF41,BJ41,BN41)</f>
        <v>0</v>
      </c>
      <c r="W41" s="2012">
        <f t="shared" ref="W41:W72" ca="1" si="27">SUM(AA41,AE41,AI41,AM41,AQ41,AU41,AY41,BC41,BG41,BK41,BO41)</f>
        <v>0</v>
      </c>
      <c r="X41" s="2014">
        <f t="shared" ref="X41:X72" ca="1" si="28">SUMIFS(OFFSET(貼付け_2024実績,$A41,9,1,199),OFFSET(貼付け_2024実績,4,9,1,199),"県域*")</f>
        <v>0</v>
      </c>
      <c r="Y41" s="2014">
        <f t="shared" ref="Y41:Y72" ca="1" si="29">SUMIFS(OFFSET(貼付け_2025実績,$A41,9,1,199),OFFSET(貼付け_2025実績,4,9,1,199),"県域*")</f>
        <v>0</v>
      </c>
      <c r="Z41" s="2014">
        <f t="shared" ref="Z41:Z72" ca="1" si="30">SUMIFS(OFFSET(貼付け_2026実績,$A41,9,1,199),OFFSET(貼付け_2026実績,4,9,1,199),"県域*")</f>
        <v>0</v>
      </c>
      <c r="AA41" s="2014">
        <f t="shared" ref="AA41:AA72" ca="1" si="31">SUMIFS(OFFSET(貼付け_2027実績,$A41,9,1,199),OFFSET(貼付け_2027実績,4,9,1,199),"県域*")</f>
        <v>0</v>
      </c>
      <c r="AB41" s="2014"/>
      <c r="AC41" s="2014"/>
      <c r="AD41" s="2014"/>
      <c r="AE41" s="2014"/>
      <c r="AF41" s="2014"/>
      <c r="AG41" s="2014"/>
      <c r="AH41" s="2014"/>
      <c r="AI41" s="2014"/>
      <c r="AJ41" s="2014"/>
      <c r="AK41" s="2014"/>
      <c r="AL41" s="2014"/>
      <c r="AM41" s="2014"/>
      <c r="AN41" s="2014"/>
      <c r="AO41" s="2014"/>
      <c r="AP41" s="2014"/>
      <c r="AQ41" s="2014"/>
      <c r="AR41" s="2014"/>
      <c r="AS41" s="2014"/>
      <c r="AT41" s="2014"/>
      <c r="AU41" s="2014"/>
      <c r="AV41" s="2014"/>
      <c r="AW41" s="2014"/>
      <c r="AX41" s="2014"/>
      <c r="AY41" s="2014"/>
      <c r="AZ41" s="2014"/>
      <c r="BA41" s="2014"/>
      <c r="BB41" s="2014"/>
      <c r="BC41" s="2014"/>
      <c r="BD41" s="2014"/>
      <c r="BE41" s="2014"/>
      <c r="BF41" s="2014"/>
      <c r="BG41" s="2014"/>
      <c r="BH41" s="2014"/>
      <c r="BI41" s="2014"/>
      <c r="BJ41" s="2014"/>
      <c r="BK41" s="2014"/>
      <c r="BL41" s="2014"/>
      <c r="BM41" s="2014"/>
      <c r="BN41" s="2014"/>
      <c r="BO41" s="2014"/>
    </row>
    <row r="42" spans="1:67" ht="20.100000000000001" customHeight="1">
      <c r="A42" s="1845">
        <v>41</v>
      </c>
      <c r="B42" s="1854"/>
      <c r="C42" s="1847"/>
      <c r="D42" s="1848" t="s">
        <v>565</v>
      </c>
      <c r="E42" s="1848"/>
      <c r="F42" s="1849"/>
      <c r="G42" s="2010" t="s">
        <v>540</v>
      </c>
      <c r="H42" s="2011">
        <f t="shared" ca="1" si="16"/>
        <v>35.6</v>
      </c>
      <c r="I42" s="2011">
        <f t="shared" ca="1" si="17"/>
        <v>35.6</v>
      </c>
      <c r="J42" s="2011">
        <f t="shared" ca="1" si="18"/>
        <v>35.6</v>
      </c>
      <c r="K42" s="2011">
        <f t="shared" ca="1" si="19"/>
        <v>35.6</v>
      </c>
      <c r="L42" s="2012">
        <f t="shared" ca="1" si="20"/>
        <v>0</v>
      </c>
      <c r="M42" s="2012">
        <f t="shared" ca="1" si="21"/>
        <v>0</v>
      </c>
      <c r="N42" s="2012">
        <f t="shared" ca="1" si="22"/>
        <v>0</v>
      </c>
      <c r="O42" s="2012">
        <f t="shared" ca="1" si="23"/>
        <v>0</v>
      </c>
      <c r="P42" s="2013">
        <f ca="1">SUM(SUMIFS(OFFSET(貼付け_2024実績,$A42,9,1,199),OFFSET(貼付け_2024実績,4,9,1,199),{"横浜*","川崎*"}))</f>
        <v>0</v>
      </c>
      <c r="Q42" s="2013">
        <f ca="1">SUM(SUMIFS(OFFSET(貼付け_2025実績,$A42,9,1,199),OFFSET(貼付け_2025実績,4,9,1,199),{"横浜*","川崎*"}))</f>
        <v>0</v>
      </c>
      <c r="R42" s="2013">
        <f ca="1">SUM(SUMIFS(OFFSET(貼付け_2026実績,$A42,9,1,199),OFFSET(貼付け_2026実績,4,9,1,199),{"横浜*","川崎*"}))</f>
        <v>0</v>
      </c>
      <c r="S42" s="2013">
        <f ca="1">SUM(SUMIFS(OFFSET(貼付け_2027実績,$A42,9,1,199),OFFSET(貼付け_2027実績,4,9,1,199),{"横浜*","川崎*"}))</f>
        <v>0</v>
      </c>
      <c r="T42" s="2012">
        <f t="shared" ca="1" si="24"/>
        <v>0</v>
      </c>
      <c r="U42" s="2012">
        <f t="shared" ca="1" si="25"/>
        <v>0</v>
      </c>
      <c r="V42" s="2012">
        <f t="shared" ca="1" si="26"/>
        <v>0</v>
      </c>
      <c r="W42" s="2012">
        <f t="shared" ca="1" si="27"/>
        <v>0</v>
      </c>
      <c r="X42" s="2014">
        <f t="shared" ca="1" si="28"/>
        <v>0</v>
      </c>
      <c r="Y42" s="2014">
        <f t="shared" ca="1" si="29"/>
        <v>0</v>
      </c>
      <c r="Z42" s="2014">
        <f t="shared" ca="1" si="30"/>
        <v>0</v>
      </c>
      <c r="AA42" s="2014">
        <f t="shared" ca="1" si="31"/>
        <v>0</v>
      </c>
      <c r="AB42" s="2014"/>
      <c r="AC42" s="2014"/>
      <c r="AD42" s="2014"/>
      <c r="AE42" s="2014"/>
      <c r="AF42" s="2014"/>
      <c r="AG42" s="2014"/>
      <c r="AH42" s="2014"/>
      <c r="AI42" s="2014"/>
      <c r="AJ42" s="2014"/>
      <c r="AK42" s="2014"/>
      <c r="AL42" s="2014"/>
      <c r="AM42" s="2014"/>
      <c r="AN42" s="2014"/>
      <c r="AO42" s="2014"/>
      <c r="AP42" s="2014"/>
      <c r="AQ42" s="2014"/>
      <c r="AR42" s="2014"/>
      <c r="AS42" s="2014"/>
      <c r="AT42" s="2014"/>
      <c r="AU42" s="2014"/>
      <c r="AV42" s="2014"/>
      <c r="AW42" s="2014"/>
      <c r="AX42" s="2014"/>
      <c r="AY42" s="2014"/>
      <c r="AZ42" s="2014"/>
      <c r="BA42" s="2014"/>
      <c r="BB42" s="2014"/>
      <c r="BC42" s="2014"/>
      <c r="BD42" s="2014"/>
      <c r="BE42" s="2014"/>
      <c r="BF42" s="2014"/>
      <c r="BG42" s="2014"/>
      <c r="BH42" s="2014"/>
      <c r="BI42" s="2014"/>
      <c r="BJ42" s="2014"/>
      <c r="BK42" s="2014"/>
      <c r="BL42" s="2014"/>
      <c r="BM42" s="2014"/>
      <c r="BN42" s="2014"/>
      <c r="BO42" s="2014"/>
    </row>
    <row r="43" spans="1:67" ht="20.100000000000001" customHeight="1">
      <c r="A43" s="1845">
        <v>42</v>
      </c>
      <c r="B43" s="1854"/>
      <c r="C43" s="1847"/>
      <c r="D43" s="1848" t="s">
        <v>566</v>
      </c>
      <c r="E43" s="1848"/>
      <c r="F43" s="1849"/>
      <c r="G43" s="2010" t="s">
        <v>553</v>
      </c>
      <c r="H43" s="2011">
        <f t="shared" ca="1" si="16"/>
        <v>21.2</v>
      </c>
      <c r="I43" s="2011">
        <f t="shared" ca="1" si="17"/>
        <v>21.2</v>
      </c>
      <c r="J43" s="2011">
        <f t="shared" ca="1" si="18"/>
        <v>21.2</v>
      </c>
      <c r="K43" s="2011">
        <f t="shared" ca="1" si="19"/>
        <v>21.2</v>
      </c>
      <c r="L43" s="2012">
        <f t="shared" ca="1" si="20"/>
        <v>0</v>
      </c>
      <c r="M43" s="2012">
        <f t="shared" ca="1" si="21"/>
        <v>0</v>
      </c>
      <c r="N43" s="2012">
        <f t="shared" ca="1" si="22"/>
        <v>0</v>
      </c>
      <c r="O43" s="2012">
        <f t="shared" ca="1" si="23"/>
        <v>0</v>
      </c>
      <c r="P43" s="2013">
        <f ca="1">SUM(SUMIFS(OFFSET(貼付け_2024実績,$A43,9,1,199),OFFSET(貼付け_2024実績,4,9,1,199),{"横浜*","川崎*"}))</f>
        <v>0</v>
      </c>
      <c r="Q43" s="2013">
        <f ca="1">SUM(SUMIFS(OFFSET(貼付け_2025実績,$A43,9,1,199),OFFSET(貼付け_2025実績,4,9,1,199),{"横浜*","川崎*"}))</f>
        <v>0</v>
      </c>
      <c r="R43" s="2013">
        <f ca="1">SUM(SUMIFS(OFFSET(貼付け_2026実績,$A43,9,1,199),OFFSET(貼付け_2026実績,4,9,1,199),{"横浜*","川崎*"}))</f>
        <v>0</v>
      </c>
      <c r="S43" s="2013">
        <f ca="1">SUM(SUMIFS(OFFSET(貼付け_2027実績,$A43,9,1,199),OFFSET(貼付け_2027実績,4,9,1,199),{"横浜*","川崎*"}))</f>
        <v>0</v>
      </c>
      <c r="T43" s="2012">
        <f t="shared" ca="1" si="24"/>
        <v>0</v>
      </c>
      <c r="U43" s="2012">
        <f t="shared" ca="1" si="25"/>
        <v>0</v>
      </c>
      <c r="V43" s="2012">
        <f t="shared" ca="1" si="26"/>
        <v>0</v>
      </c>
      <c r="W43" s="2012">
        <f t="shared" ca="1" si="27"/>
        <v>0</v>
      </c>
      <c r="X43" s="2014">
        <f t="shared" ca="1" si="28"/>
        <v>0</v>
      </c>
      <c r="Y43" s="2014">
        <f t="shared" ca="1" si="29"/>
        <v>0</v>
      </c>
      <c r="Z43" s="2014">
        <f t="shared" ca="1" si="30"/>
        <v>0</v>
      </c>
      <c r="AA43" s="2014">
        <f t="shared" ca="1" si="31"/>
        <v>0</v>
      </c>
      <c r="AB43" s="2014"/>
      <c r="AC43" s="2014"/>
      <c r="AD43" s="2014"/>
      <c r="AE43" s="2014"/>
      <c r="AF43" s="2014"/>
      <c r="AG43" s="2014"/>
      <c r="AH43" s="2014"/>
      <c r="AI43" s="2014"/>
      <c r="AJ43" s="2014"/>
      <c r="AK43" s="2014"/>
      <c r="AL43" s="2014"/>
      <c r="AM43" s="2014"/>
      <c r="AN43" s="2014"/>
      <c r="AO43" s="2014"/>
      <c r="AP43" s="2014"/>
      <c r="AQ43" s="2014"/>
      <c r="AR43" s="2014"/>
      <c r="AS43" s="2014"/>
      <c r="AT43" s="2014"/>
      <c r="AU43" s="2014"/>
      <c r="AV43" s="2014"/>
      <c r="AW43" s="2014"/>
      <c r="AX43" s="2014"/>
      <c r="AY43" s="2014"/>
      <c r="AZ43" s="2014"/>
      <c r="BA43" s="2014"/>
      <c r="BB43" s="2014"/>
      <c r="BC43" s="2014"/>
      <c r="BD43" s="2014"/>
      <c r="BE43" s="2014"/>
      <c r="BF43" s="2014"/>
      <c r="BG43" s="2014"/>
      <c r="BH43" s="2014"/>
      <c r="BI43" s="2014"/>
      <c r="BJ43" s="2014"/>
      <c r="BK43" s="2014"/>
      <c r="BL43" s="2014"/>
      <c r="BM43" s="2014"/>
      <c r="BN43" s="2014"/>
      <c r="BO43" s="2014"/>
    </row>
    <row r="44" spans="1:67" ht="20.100000000000001" customHeight="1">
      <c r="A44" s="1845">
        <v>43</v>
      </c>
      <c r="B44" s="1854"/>
      <c r="C44" s="1847"/>
      <c r="D44" s="1848" t="s">
        <v>940</v>
      </c>
      <c r="E44" s="1858" t="str">
        <f ca="1">OFFSET(A1_その他欄集計,4,7)</f>
        <v/>
      </c>
      <c r="F44" s="1860"/>
      <c r="G44" s="2010" t="s">
        <v>548</v>
      </c>
      <c r="H44" s="2011">
        <f t="shared" ca="1" si="16"/>
        <v>13.2</v>
      </c>
      <c r="I44" s="2011">
        <f t="shared" ca="1" si="17"/>
        <v>13.2</v>
      </c>
      <c r="J44" s="2011">
        <f t="shared" ca="1" si="18"/>
        <v>13.2</v>
      </c>
      <c r="K44" s="2011">
        <f t="shared" ca="1" si="19"/>
        <v>13.2</v>
      </c>
      <c r="L44" s="2012">
        <f t="shared" ca="1" si="20"/>
        <v>0</v>
      </c>
      <c r="M44" s="2012">
        <f t="shared" ca="1" si="21"/>
        <v>0</v>
      </c>
      <c r="N44" s="2012">
        <f t="shared" ca="1" si="22"/>
        <v>0</v>
      </c>
      <c r="O44" s="2012">
        <f t="shared" ca="1" si="23"/>
        <v>0</v>
      </c>
      <c r="P44" s="2013">
        <f ca="1">SUM(SUMIFS(OFFSET(貼付け_2024実績,$A44,9,1,199),OFFSET(貼付け_2024実績,4,9,1,199),{"横浜*","川崎*"}))</f>
        <v>0</v>
      </c>
      <c r="Q44" s="2013">
        <f ca="1">SUM(SUMIFS(OFFSET(貼付け_2025実績,$A44,9,1,199),OFFSET(貼付け_2025実績,4,9,1,199),{"横浜*","川崎*"}))</f>
        <v>0</v>
      </c>
      <c r="R44" s="2013">
        <f ca="1">SUM(SUMIFS(OFFSET(貼付け_2026実績,$A44,9,1,199),OFFSET(貼付け_2026実績,4,9,1,199),{"横浜*","川崎*"}))</f>
        <v>0</v>
      </c>
      <c r="S44" s="2013">
        <f ca="1">SUM(SUMIFS(OFFSET(貼付け_2027実績,$A44,9,1,199),OFFSET(貼付け_2027実績,4,9,1,199),{"横浜*","川崎*"}))</f>
        <v>0</v>
      </c>
      <c r="T44" s="2012">
        <f t="shared" ca="1" si="24"/>
        <v>0</v>
      </c>
      <c r="U44" s="2012">
        <f t="shared" ca="1" si="25"/>
        <v>0</v>
      </c>
      <c r="V44" s="2012">
        <f t="shared" ca="1" si="26"/>
        <v>0</v>
      </c>
      <c r="W44" s="2012">
        <f t="shared" ca="1" si="27"/>
        <v>0</v>
      </c>
      <c r="X44" s="2014">
        <f t="shared" ca="1" si="28"/>
        <v>0</v>
      </c>
      <c r="Y44" s="2014">
        <f t="shared" ca="1" si="29"/>
        <v>0</v>
      </c>
      <c r="Z44" s="2014">
        <f t="shared" ca="1" si="30"/>
        <v>0</v>
      </c>
      <c r="AA44" s="2014">
        <f t="shared" ca="1" si="31"/>
        <v>0</v>
      </c>
      <c r="AB44" s="2014"/>
      <c r="AC44" s="2014"/>
      <c r="AD44" s="2014"/>
      <c r="AE44" s="2014"/>
      <c r="AF44" s="2014"/>
      <c r="AG44" s="2014"/>
      <c r="AH44" s="2014"/>
      <c r="AI44" s="2014"/>
      <c r="AJ44" s="2014"/>
      <c r="AK44" s="2014"/>
      <c r="AL44" s="2014"/>
      <c r="AM44" s="2014"/>
      <c r="AN44" s="2014"/>
      <c r="AO44" s="2014"/>
      <c r="AP44" s="2014"/>
      <c r="AQ44" s="2014"/>
      <c r="AR44" s="2014"/>
      <c r="AS44" s="2014"/>
      <c r="AT44" s="2014"/>
      <c r="AU44" s="2014"/>
      <c r="AV44" s="2014"/>
      <c r="AW44" s="2014"/>
      <c r="AX44" s="2014"/>
      <c r="AY44" s="2014"/>
      <c r="AZ44" s="2014"/>
      <c r="BA44" s="2014"/>
      <c r="BB44" s="2014"/>
      <c r="BC44" s="2014"/>
      <c r="BD44" s="2014"/>
      <c r="BE44" s="2014"/>
      <c r="BF44" s="2014"/>
      <c r="BG44" s="2014"/>
      <c r="BH44" s="2014"/>
      <c r="BI44" s="2014"/>
      <c r="BJ44" s="2014"/>
      <c r="BK44" s="2014"/>
      <c r="BL44" s="2014"/>
      <c r="BM44" s="2014"/>
      <c r="BN44" s="2014"/>
      <c r="BO44" s="2014"/>
    </row>
    <row r="45" spans="1:67" ht="20.100000000000001" customHeight="1">
      <c r="A45" s="1845">
        <v>44</v>
      </c>
      <c r="B45" s="1854"/>
      <c r="C45" s="1847"/>
      <c r="D45" s="1859" t="s">
        <v>567</v>
      </c>
      <c r="E45" s="1848"/>
      <c r="F45" s="1849"/>
      <c r="G45" s="2010" t="s">
        <v>548</v>
      </c>
      <c r="H45" s="2011">
        <f t="shared" ca="1" si="16"/>
        <v>18</v>
      </c>
      <c r="I45" s="2011">
        <f t="shared" ca="1" si="17"/>
        <v>18</v>
      </c>
      <c r="J45" s="2011">
        <f t="shared" ca="1" si="18"/>
        <v>18</v>
      </c>
      <c r="K45" s="2011">
        <f t="shared" ca="1" si="19"/>
        <v>18</v>
      </c>
      <c r="L45" s="2012">
        <f t="shared" ca="1" si="20"/>
        <v>0</v>
      </c>
      <c r="M45" s="2012">
        <f t="shared" ca="1" si="21"/>
        <v>0</v>
      </c>
      <c r="N45" s="2012">
        <f t="shared" ca="1" si="22"/>
        <v>0</v>
      </c>
      <c r="O45" s="2012">
        <f t="shared" ca="1" si="23"/>
        <v>0</v>
      </c>
      <c r="P45" s="2013">
        <f ca="1">SUM(SUMIFS(OFFSET(貼付け_2024実績,$A45,9,1,199),OFFSET(貼付け_2024実績,4,9,1,199),{"横浜*","川崎*"}))</f>
        <v>0</v>
      </c>
      <c r="Q45" s="2013">
        <f ca="1">SUM(SUMIFS(OFFSET(貼付け_2025実績,$A45,9,1,199),OFFSET(貼付け_2025実績,4,9,1,199),{"横浜*","川崎*"}))</f>
        <v>0</v>
      </c>
      <c r="R45" s="2013">
        <f ca="1">SUM(SUMIFS(OFFSET(貼付け_2026実績,$A45,9,1,199),OFFSET(貼付け_2026実績,4,9,1,199),{"横浜*","川崎*"}))</f>
        <v>0</v>
      </c>
      <c r="S45" s="2013">
        <f ca="1">SUM(SUMIFS(OFFSET(貼付け_2027実績,$A45,9,1,199),OFFSET(貼付け_2027実績,4,9,1,199),{"横浜*","川崎*"}))</f>
        <v>0</v>
      </c>
      <c r="T45" s="2012">
        <f t="shared" ca="1" si="24"/>
        <v>0</v>
      </c>
      <c r="U45" s="2012">
        <f t="shared" ca="1" si="25"/>
        <v>0</v>
      </c>
      <c r="V45" s="2012">
        <f t="shared" ca="1" si="26"/>
        <v>0</v>
      </c>
      <c r="W45" s="2012">
        <f t="shared" ca="1" si="27"/>
        <v>0</v>
      </c>
      <c r="X45" s="2014">
        <f t="shared" ca="1" si="28"/>
        <v>0</v>
      </c>
      <c r="Y45" s="2014">
        <f t="shared" ca="1" si="29"/>
        <v>0</v>
      </c>
      <c r="Z45" s="2014">
        <f t="shared" ca="1" si="30"/>
        <v>0</v>
      </c>
      <c r="AA45" s="2014">
        <f t="shared" ca="1" si="31"/>
        <v>0</v>
      </c>
      <c r="AB45" s="2014"/>
      <c r="AC45" s="2014"/>
      <c r="AD45" s="2014"/>
      <c r="AE45" s="2014"/>
      <c r="AF45" s="2014"/>
      <c r="AG45" s="2014"/>
      <c r="AH45" s="2014"/>
      <c r="AI45" s="2014"/>
      <c r="AJ45" s="2014"/>
      <c r="AK45" s="2014"/>
      <c r="AL45" s="2014"/>
      <c r="AM45" s="2014"/>
      <c r="AN45" s="2014"/>
      <c r="AO45" s="2014"/>
      <c r="AP45" s="2014"/>
      <c r="AQ45" s="2014"/>
      <c r="AR45" s="2014"/>
      <c r="AS45" s="2014"/>
      <c r="AT45" s="2014"/>
      <c r="AU45" s="2014"/>
      <c r="AV45" s="2014"/>
      <c r="AW45" s="2014"/>
      <c r="AX45" s="2014"/>
      <c r="AY45" s="2014"/>
      <c r="AZ45" s="2014"/>
      <c r="BA45" s="2014"/>
      <c r="BB45" s="2014"/>
      <c r="BC45" s="2014"/>
      <c r="BD45" s="2014"/>
      <c r="BE45" s="2014"/>
      <c r="BF45" s="2014"/>
      <c r="BG45" s="2014"/>
      <c r="BH45" s="2014"/>
      <c r="BI45" s="2014"/>
      <c r="BJ45" s="2014"/>
      <c r="BK45" s="2014"/>
      <c r="BL45" s="2014"/>
      <c r="BM45" s="2014"/>
      <c r="BN45" s="2014"/>
      <c r="BO45" s="2014"/>
    </row>
    <row r="46" spans="1:67" ht="20.100000000000001" customHeight="1">
      <c r="A46" s="1845">
        <v>45</v>
      </c>
      <c r="B46" s="1854"/>
      <c r="C46" s="1847"/>
      <c r="D46" s="1859" t="s">
        <v>568</v>
      </c>
      <c r="E46" s="1861"/>
      <c r="F46" s="1849"/>
      <c r="G46" s="2010" t="s">
        <v>548</v>
      </c>
      <c r="H46" s="2011">
        <f t="shared" ca="1" si="16"/>
        <v>26.9</v>
      </c>
      <c r="I46" s="2011">
        <f t="shared" ca="1" si="17"/>
        <v>26.9</v>
      </c>
      <c r="J46" s="2011">
        <f t="shared" ca="1" si="18"/>
        <v>26.9</v>
      </c>
      <c r="K46" s="2011">
        <f t="shared" ca="1" si="19"/>
        <v>26.9</v>
      </c>
      <c r="L46" s="2012">
        <f t="shared" ca="1" si="20"/>
        <v>0</v>
      </c>
      <c r="M46" s="2012">
        <f t="shared" ca="1" si="21"/>
        <v>0</v>
      </c>
      <c r="N46" s="2012">
        <f t="shared" ca="1" si="22"/>
        <v>0</v>
      </c>
      <c r="O46" s="2012">
        <f t="shared" ca="1" si="23"/>
        <v>0</v>
      </c>
      <c r="P46" s="2013">
        <f ca="1">SUM(SUMIFS(OFFSET(貼付け_2024実績,$A46,9,1,199),OFFSET(貼付け_2024実績,4,9,1,199),{"横浜*","川崎*"}))</f>
        <v>0</v>
      </c>
      <c r="Q46" s="2013">
        <f ca="1">SUM(SUMIFS(OFFSET(貼付け_2025実績,$A46,9,1,199),OFFSET(貼付け_2025実績,4,9,1,199),{"横浜*","川崎*"}))</f>
        <v>0</v>
      </c>
      <c r="R46" s="2013">
        <f ca="1">SUM(SUMIFS(OFFSET(貼付け_2026実績,$A46,9,1,199),OFFSET(貼付け_2026実績,4,9,1,199),{"横浜*","川崎*"}))</f>
        <v>0</v>
      </c>
      <c r="S46" s="2013">
        <f ca="1">SUM(SUMIFS(OFFSET(貼付け_2027実績,$A46,9,1,199),OFFSET(貼付け_2027実績,4,9,1,199),{"横浜*","川崎*"}))</f>
        <v>0</v>
      </c>
      <c r="T46" s="2012">
        <f t="shared" ca="1" si="24"/>
        <v>0</v>
      </c>
      <c r="U46" s="2012">
        <f t="shared" ca="1" si="25"/>
        <v>0</v>
      </c>
      <c r="V46" s="2012">
        <f t="shared" ca="1" si="26"/>
        <v>0</v>
      </c>
      <c r="W46" s="2012">
        <f t="shared" ca="1" si="27"/>
        <v>0</v>
      </c>
      <c r="X46" s="2014">
        <f t="shared" ca="1" si="28"/>
        <v>0</v>
      </c>
      <c r="Y46" s="2014">
        <f t="shared" ca="1" si="29"/>
        <v>0</v>
      </c>
      <c r="Z46" s="2014">
        <f t="shared" ca="1" si="30"/>
        <v>0</v>
      </c>
      <c r="AA46" s="2014">
        <f t="shared" ca="1" si="31"/>
        <v>0</v>
      </c>
      <c r="AB46" s="2014"/>
      <c r="AC46" s="2014"/>
      <c r="AD46" s="2014"/>
      <c r="AE46" s="2014"/>
      <c r="AF46" s="2014"/>
      <c r="AG46" s="2014"/>
      <c r="AH46" s="2014"/>
      <c r="AI46" s="2014"/>
      <c r="AJ46" s="2014"/>
      <c r="AK46" s="2014"/>
      <c r="AL46" s="2014"/>
      <c r="AM46" s="2014"/>
      <c r="AN46" s="2014"/>
      <c r="AO46" s="2014"/>
      <c r="AP46" s="2014"/>
      <c r="AQ46" s="2014"/>
      <c r="AR46" s="2014"/>
      <c r="AS46" s="2014"/>
      <c r="AT46" s="2014"/>
      <c r="AU46" s="2014"/>
      <c r="AV46" s="2014"/>
      <c r="AW46" s="2014"/>
      <c r="AX46" s="2014"/>
      <c r="AY46" s="2014"/>
      <c r="AZ46" s="2014"/>
      <c r="BA46" s="2014"/>
      <c r="BB46" s="2014"/>
      <c r="BC46" s="2014"/>
      <c r="BD46" s="2014"/>
      <c r="BE46" s="2014"/>
      <c r="BF46" s="2014"/>
      <c r="BG46" s="2014"/>
      <c r="BH46" s="2014"/>
      <c r="BI46" s="2014"/>
      <c r="BJ46" s="2014"/>
      <c r="BK46" s="2014"/>
      <c r="BL46" s="2014"/>
      <c r="BM46" s="2014"/>
      <c r="BN46" s="2014"/>
      <c r="BO46" s="2014"/>
    </row>
    <row r="47" spans="1:67" ht="20.100000000000001" customHeight="1">
      <c r="A47" s="1845">
        <v>46</v>
      </c>
      <c r="B47" s="1854"/>
      <c r="C47" s="1847"/>
      <c r="D47" s="1859" t="s">
        <v>941</v>
      </c>
      <c r="E47" s="1837"/>
      <c r="F47" s="1849"/>
      <c r="G47" s="2010" t="s">
        <v>548</v>
      </c>
      <c r="H47" s="2011">
        <f t="shared" ca="1" si="16"/>
        <v>33.200000000000003</v>
      </c>
      <c r="I47" s="2011">
        <f t="shared" ca="1" si="17"/>
        <v>33.200000000000003</v>
      </c>
      <c r="J47" s="2011">
        <f t="shared" ca="1" si="18"/>
        <v>33.200000000000003</v>
      </c>
      <c r="K47" s="2011">
        <f t="shared" ca="1" si="19"/>
        <v>33.200000000000003</v>
      </c>
      <c r="L47" s="2012">
        <f t="shared" ca="1" si="20"/>
        <v>0</v>
      </c>
      <c r="M47" s="2012">
        <f t="shared" ca="1" si="21"/>
        <v>0</v>
      </c>
      <c r="N47" s="2012">
        <f t="shared" ca="1" si="22"/>
        <v>0</v>
      </c>
      <c r="O47" s="2012">
        <f t="shared" ca="1" si="23"/>
        <v>0</v>
      </c>
      <c r="P47" s="2013">
        <f ca="1">SUM(SUMIFS(OFFSET(貼付け_2024実績,$A47,9,1,199),OFFSET(貼付け_2024実績,4,9,1,199),{"横浜*","川崎*"}))</f>
        <v>0</v>
      </c>
      <c r="Q47" s="2013">
        <f ca="1">SUM(SUMIFS(OFFSET(貼付け_2025実績,$A47,9,1,199),OFFSET(貼付け_2025実績,4,9,1,199),{"横浜*","川崎*"}))</f>
        <v>0</v>
      </c>
      <c r="R47" s="2013">
        <f ca="1">SUM(SUMIFS(OFFSET(貼付け_2026実績,$A47,9,1,199),OFFSET(貼付け_2026実績,4,9,1,199),{"横浜*","川崎*"}))</f>
        <v>0</v>
      </c>
      <c r="S47" s="2013">
        <f ca="1">SUM(SUMIFS(OFFSET(貼付け_2027実績,$A47,9,1,199),OFFSET(貼付け_2027実績,4,9,1,199),{"横浜*","川崎*"}))</f>
        <v>0</v>
      </c>
      <c r="T47" s="2012">
        <f t="shared" ca="1" si="24"/>
        <v>0</v>
      </c>
      <c r="U47" s="2012">
        <f t="shared" ca="1" si="25"/>
        <v>0</v>
      </c>
      <c r="V47" s="2012">
        <f t="shared" ca="1" si="26"/>
        <v>0</v>
      </c>
      <c r="W47" s="2012">
        <f t="shared" ca="1" si="27"/>
        <v>0</v>
      </c>
      <c r="X47" s="2014">
        <f t="shared" ca="1" si="28"/>
        <v>0</v>
      </c>
      <c r="Y47" s="2014">
        <f t="shared" ca="1" si="29"/>
        <v>0</v>
      </c>
      <c r="Z47" s="2014">
        <f t="shared" ca="1" si="30"/>
        <v>0</v>
      </c>
      <c r="AA47" s="2014">
        <f t="shared" ca="1" si="31"/>
        <v>0</v>
      </c>
      <c r="AB47" s="2014"/>
      <c r="AC47" s="2014"/>
      <c r="AD47" s="2014"/>
      <c r="AE47" s="2014"/>
      <c r="AF47" s="2014"/>
      <c r="AG47" s="2014"/>
      <c r="AH47" s="2014"/>
      <c r="AI47" s="2014"/>
      <c r="AJ47" s="2014"/>
      <c r="AK47" s="2014"/>
      <c r="AL47" s="2014"/>
      <c r="AM47" s="2014"/>
      <c r="AN47" s="2014"/>
      <c r="AO47" s="2014"/>
      <c r="AP47" s="2014"/>
      <c r="AQ47" s="2014"/>
      <c r="AR47" s="2014"/>
      <c r="AS47" s="2014"/>
      <c r="AT47" s="2014"/>
      <c r="AU47" s="2014"/>
      <c r="AV47" s="2014"/>
      <c r="AW47" s="2014"/>
      <c r="AX47" s="2014"/>
      <c r="AY47" s="2014"/>
      <c r="AZ47" s="2014"/>
      <c r="BA47" s="2014"/>
      <c r="BB47" s="2014"/>
      <c r="BC47" s="2014"/>
      <c r="BD47" s="2014"/>
      <c r="BE47" s="2014"/>
      <c r="BF47" s="2014"/>
      <c r="BG47" s="2014"/>
      <c r="BH47" s="2014"/>
      <c r="BI47" s="2014"/>
      <c r="BJ47" s="2014"/>
      <c r="BK47" s="2014"/>
      <c r="BL47" s="2014"/>
      <c r="BM47" s="2014"/>
      <c r="BN47" s="2014"/>
      <c r="BO47" s="2014"/>
    </row>
    <row r="48" spans="1:67" ht="20.100000000000001" customHeight="1">
      <c r="A48" s="1845">
        <v>47</v>
      </c>
      <c r="B48" s="1855"/>
      <c r="C48" s="1847"/>
      <c r="D48" s="1859" t="s">
        <v>942</v>
      </c>
      <c r="E48" s="1848"/>
      <c r="F48" s="1849"/>
      <c r="G48" s="2010" t="s">
        <v>548</v>
      </c>
      <c r="H48" s="2011">
        <f t="shared" ca="1" si="16"/>
        <v>29.3</v>
      </c>
      <c r="I48" s="2011">
        <f t="shared" ca="1" si="17"/>
        <v>29.3</v>
      </c>
      <c r="J48" s="2011">
        <f t="shared" ca="1" si="18"/>
        <v>29.3</v>
      </c>
      <c r="K48" s="2011">
        <f t="shared" ca="1" si="19"/>
        <v>29.3</v>
      </c>
      <c r="L48" s="2012">
        <f t="shared" ca="1" si="20"/>
        <v>0</v>
      </c>
      <c r="M48" s="2012">
        <f t="shared" ca="1" si="21"/>
        <v>0</v>
      </c>
      <c r="N48" s="2012">
        <f t="shared" ca="1" si="22"/>
        <v>0</v>
      </c>
      <c r="O48" s="2012">
        <f t="shared" ca="1" si="23"/>
        <v>0</v>
      </c>
      <c r="P48" s="2013">
        <f ca="1">SUM(SUMIFS(OFFSET(貼付け_2024実績,$A48,9,1,199),OFFSET(貼付け_2024実績,4,9,1,199),{"横浜*","川崎*"}))</f>
        <v>0</v>
      </c>
      <c r="Q48" s="2013">
        <f ca="1">SUM(SUMIFS(OFFSET(貼付け_2025実績,$A48,9,1,199),OFFSET(貼付け_2025実績,4,9,1,199),{"横浜*","川崎*"}))</f>
        <v>0</v>
      </c>
      <c r="R48" s="2013">
        <f ca="1">SUM(SUMIFS(OFFSET(貼付け_2026実績,$A48,9,1,199),OFFSET(貼付け_2026実績,4,9,1,199),{"横浜*","川崎*"}))</f>
        <v>0</v>
      </c>
      <c r="S48" s="2013">
        <f ca="1">SUM(SUMIFS(OFFSET(貼付け_2027実績,$A48,9,1,199),OFFSET(貼付け_2027実績,4,9,1,199),{"横浜*","川崎*"}))</f>
        <v>0</v>
      </c>
      <c r="T48" s="2012">
        <f t="shared" ca="1" si="24"/>
        <v>0</v>
      </c>
      <c r="U48" s="2012">
        <f t="shared" ca="1" si="25"/>
        <v>0</v>
      </c>
      <c r="V48" s="2012">
        <f t="shared" ca="1" si="26"/>
        <v>0</v>
      </c>
      <c r="W48" s="2012">
        <f t="shared" ca="1" si="27"/>
        <v>0</v>
      </c>
      <c r="X48" s="2014">
        <f t="shared" ca="1" si="28"/>
        <v>0</v>
      </c>
      <c r="Y48" s="2014">
        <f t="shared" ca="1" si="29"/>
        <v>0</v>
      </c>
      <c r="Z48" s="2014">
        <f t="shared" ca="1" si="30"/>
        <v>0</v>
      </c>
      <c r="AA48" s="2014">
        <f t="shared" ca="1" si="31"/>
        <v>0</v>
      </c>
      <c r="AB48" s="2014"/>
      <c r="AC48" s="2014"/>
      <c r="AD48" s="2014"/>
      <c r="AE48" s="2014"/>
      <c r="AF48" s="2014"/>
      <c r="AG48" s="2014"/>
      <c r="AH48" s="2014"/>
      <c r="AI48" s="2014"/>
      <c r="AJ48" s="2014"/>
      <c r="AK48" s="2014"/>
      <c r="AL48" s="2014"/>
      <c r="AM48" s="2014"/>
      <c r="AN48" s="2014"/>
      <c r="AO48" s="2014"/>
      <c r="AP48" s="2014"/>
      <c r="AQ48" s="2014"/>
      <c r="AR48" s="2014"/>
      <c r="AS48" s="2014"/>
      <c r="AT48" s="2014"/>
      <c r="AU48" s="2014"/>
      <c r="AV48" s="2014"/>
      <c r="AW48" s="2014"/>
      <c r="AX48" s="2014"/>
      <c r="AY48" s="2014"/>
      <c r="AZ48" s="2014"/>
      <c r="BA48" s="2014"/>
      <c r="BB48" s="2014"/>
      <c r="BC48" s="2014"/>
      <c r="BD48" s="2014"/>
      <c r="BE48" s="2014"/>
      <c r="BF48" s="2014"/>
      <c r="BG48" s="2014"/>
      <c r="BH48" s="2014"/>
      <c r="BI48" s="2014"/>
      <c r="BJ48" s="2014"/>
      <c r="BK48" s="2014"/>
      <c r="BL48" s="2014"/>
      <c r="BM48" s="2014"/>
      <c r="BN48" s="2014"/>
      <c r="BO48" s="2014"/>
    </row>
    <row r="49" spans="1:68" ht="20.100000000000001" customHeight="1">
      <c r="A49" s="1845">
        <v>48</v>
      </c>
      <c r="B49" s="1855"/>
      <c r="C49" s="1847"/>
      <c r="D49" s="1859" t="s">
        <v>943</v>
      </c>
      <c r="E49" s="1848"/>
      <c r="F49" s="1849"/>
      <c r="G49" s="2010" t="s">
        <v>548</v>
      </c>
      <c r="H49" s="2011">
        <f t="shared" ca="1" si="16"/>
        <v>29.3</v>
      </c>
      <c r="I49" s="2011">
        <f t="shared" ca="1" si="17"/>
        <v>29.3</v>
      </c>
      <c r="J49" s="2011">
        <f t="shared" ca="1" si="18"/>
        <v>29.3</v>
      </c>
      <c r="K49" s="2011">
        <f t="shared" ca="1" si="19"/>
        <v>29.3</v>
      </c>
      <c r="L49" s="2012">
        <f t="shared" ca="1" si="20"/>
        <v>0</v>
      </c>
      <c r="M49" s="2012">
        <f t="shared" ca="1" si="21"/>
        <v>0</v>
      </c>
      <c r="N49" s="2012">
        <f t="shared" ca="1" si="22"/>
        <v>0</v>
      </c>
      <c r="O49" s="2012">
        <f t="shared" ca="1" si="23"/>
        <v>0</v>
      </c>
      <c r="P49" s="2013">
        <f ca="1">SUM(SUMIFS(OFFSET(貼付け_2024実績,$A49,9,1,199),OFFSET(貼付け_2024実績,4,9,1,199),{"横浜*","川崎*"}))</f>
        <v>0</v>
      </c>
      <c r="Q49" s="2013">
        <f ca="1">SUM(SUMIFS(OFFSET(貼付け_2025実績,$A49,9,1,199),OFFSET(貼付け_2025実績,4,9,1,199),{"横浜*","川崎*"}))</f>
        <v>0</v>
      </c>
      <c r="R49" s="2013">
        <f ca="1">SUM(SUMIFS(OFFSET(貼付け_2026実績,$A49,9,1,199),OFFSET(貼付け_2026実績,4,9,1,199),{"横浜*","川崎*"}))</f>
        <v>0</v>
      </c>
      <c r="S49" s="2013">
        <f ca="1">SUM(SUMIFS(OFFSET(貼付け_2027実績,$A49,9,1,199),OFFSET(貼付け_2027実績,4,9,1,199),{"横浜*","川崎*"}))</f>
        <v>0</v>
      </c>
      <c r="T49" s="2012">
        <f t="shared" ca="1" si="24"/>
        <v>0</v>
      </c>
      <c r="U49" s="2012">
        <f t="shared" ca="1" si="25"/>
        <v>0</v>
      </c>
      <c r="V49" s="2012">
        <f t="shared" ca="1" si="26"/>
        <v>0</v>
      </c>
      <c r="W49" s="2012">
        <f t="shared" ca="1" si="27"/>
        <v>0</v>
      </c>
      <c r="X49" s="2014">
        <f t="shared" ca="1" si="28"/>
        <v>0</v>
      </c>
      <c r="Y49" s="2014">
        <f t="shared" ca="1" si="29"/>
        <v>0</v>
      </c>
      <c r="Z49" s="2014">
        <f t="shared" ca="1" si="30"/>
        <v>0</v>
      </c>
      <c r="AA49" s="2014">
        <f t="shared" ca="1" si="31"/>
        <v>0</v>
      </c>
      <c r="AB49" s="2014"/>
      <c r="AC49" s="2014"/>
      <c r="AD49" s="2014"/>
      <c r="AE49" s="2014"/>
      <c r="AF49" s="2014"/>
      <c r="AG49" s="2014"/>
      <c r="AH49" s="2014"/>
      <c r="AI49" s="2014"/>
      <c r="AJ49" s="2014"/>
      <c r="AK49" s="2014"/>
      <c r="AL49" s="2014"/>
      <c r="AM49" s="2014"/>
      <c r="AN49" s="2014"/>
      <c r="AO49" s="2014"/>
      <c r="AP49" s="2014"/>
      <c r="AQ49" s="2014"/>
      <c r="AR49" s="2014"/>
      <c r="AS49" s="2014"/>
      <c r="AT49" s="2014"/>
      <c r="AU49" s="2014"/>
      <c r="AV49" s="2014"/>
      <c r="AW49" s="2014"/>
      <c r="AX49" s="2014"/>
      <c r="AY49" s="2014"/>
      <c r="AZ49" s="2014"/>
      <c r="BA49" s="2014"/>
      <c r="BB49" s="2014"/>
      <c r="BC49" s="2014"/>
      <c r="BD49" s="2014"/>
      <c r="BE49" s="2014"/>
      <c r="BF49" s="2014"/>
      <c r="BG49" s="2014"/>
      <c r="BH49" s="2014"/>
      <c r="BI49" s="2014"/>
      <c r="BJ49" s="2014"/>
      <c r="BK49" s="2014"/>
      <c r="BL49" s="2014"/>
      <c r="BM49" s="2014"/>
      <c r="BN49" s="2014"/>
      <c r="BO49" s="2014"/>
    </row>
    <row r="50" spans="1:68" ht="20.100000000000001" customHeight="1">
      <c r="A50" s="1845">
        <v>49</v>
      </c>
      <c r="B50" s="1855"/>
      <c r="C50" s="1847"/>
      <c r="D50" s="1859" t="s">
        <v>944</v>
      </c>
      <c r="E50" s="1848"/>
      <c r="F50" s="1849"/>
      <c r="G50" s="2010" t="s">
        <v>540</v>
      </c>
      <c r="H50" s="2011">
        <f t="shared" ca="1" si="16"/>
        <v>40.200000000000003</v>
      </c>
      <c r="I50" s="2011">
        <f t="shared" ca="1" si="17"/>
        <v>40.200000000000003</v>
      </c>
      <c r="J50" s="2011">
        <f t="shared" ca="1" si="18"/>
        <v>40.200000000000003</v>
      </c>
      <c r="K50" s="2011">
        <f t="shared" ca="1" si="19"/>
        <v>40.200000000000003</v>
      </c>
      <c r="L50" s="2012">
        <f t="shared" ca="1" si="20"/>
        <v>0</v>
      </c>
      <c r="M50" s="2012">
        <f t="shared" ca="1" si="21"/>
        <v>0</v>
      </c>
      <c r="N50" s="2012">
        <f t="shared" ca="1" si="22"/>
        <v>0</v>
      </c>
      <c r="O50" s="2012">
        <f t="shared" ca="1" si="23"/>
        <v>0</v>
      </c>
      <c r="P50" s="2013">
        <f ca="1">SUM(SUMIFS(OFFSET(貼付け_2024実績,$A50,9,1,199),OFFSET(貼付け_2024実績,4,9,1,199),{"横浜*","川崎*"}))</f>
        <v>0</v>
      </c>
      <c r="Q50" s="2013">
        <f ca="1">SUM(SUMIFS(OFFSET(貼付け_2025実績,$A50,9,1,199),OFFSET(貼付け_2025実績,4,9,1,199),{"横浜*","川崎*"}))</f>
        <v>0</v>
      </c>
      <c r="R50" s="2013">
        <f ca="1">SUM(SUMIFS(OFFSET(貼付け_2026実績,$A50,9,1,199),OFFSET(貼付け_2026実績,4,9,1,199),{"横浜*","川崎*"}))</f>
        <v>0</v>
      </c>
      <c r="S50" s="2013">
        <f ca="1">SUM(SUMIFS(OFFSET(貼付け_2027実績,$A50,9,1,199),OFFSET(貼付け_2027実績,4,9,1,199),{"横浜*","川崎*"}))</f>
        <v>0</v>
      </c>
      <c r="T50" s="2012">
        <f t="shared" ca="1" si="24"/>
        <v>0</v>
      </c>
      <c r="U50" s="2012">
        <f t="shared" ca="1" si="25"/>
        <v>0</v>
      </c>
      <c r="V50" s="2012">
        <f t="shared" ca="1" si="26"/>
        <v>0</v>
      </c>
      <c r="W50" s="2012">
        <f t="shared" ca="1" si="27"/>
        <v>0</v>
      </c>
      <c r="X50" s="2014">
        <f t="shared" ca="1" si="28"/>
        <v>0</v>
      </c>
      <c r="Y50" s="2014">
        <f t="shared" ca="1" si="29"/>
        <v>0</v>
      </c>
      <c r="Z50" s="2014">
        <f t="shared" ca="1" si="30"/>
        <v>0</v>
      </c>
      <c r="AA50" s="2014">
        <f t="shared" ca="1" si="31"/>
        <v>0</v>
      </c>
      <c r="AB50" s="2014"/>
      <c r="AC50" s="2014"/>
      <c r="AD50" s="2014"/>
      <c r="AE50" s="2014"/>
      <c r="AF50" s="2014"/>
      <c r="AG50" s="2014"/>
      <c r="AH50" s="2014"/>
      <c r="AI50" s="2014"/>
      <c r="AJ50" s="2014"/>
      <c r="AK50" s="2014"/>
      <c r="AL50" s="2014"/>
      <c r="AM50" s="2014"/>
      <c r="AN50" s="2014"/>
      <c r="AO50" s="2014"/>
      <c r="AP50" s="2014"/>
      <c r="AQ50" s="2014"/>
      <c r="AR50" s="2014"/>
      <c r="AS50" s="2014"/>
      <c r="AT50" s="2014"/>
      <c r="AU50" s="2014"/>
      <c r="AV50" s="2014"/>
      <c r="AW50" s="2014"/>
      <c r="AX50" s="2014"/>
      <c r="AY50" s="2014"/>
      <c r="AZ50" s="2014"/>
      <c r="BA50" s="2014"/>
      <c r="BB50" s="2014"/>
      <c r="BC50" s="2014"/>
      <c r="BD50" s="2014"/>
      <c r="BE50" s="2014"/>
      <c r="BF50" s="2014"/>
      <c r="BG50" s="2014"/>
      <c r="BH50" s="2014"/>
      <c r="BI50" s="2014"/>
      <c r="BJ50" s="2014"/>
      <c r="BK50" s="2014"/>
      <c r="BL50" s="2014"/>
      <c r="BM50" s="2014"/>
      <c r="BN50" s="2014"/>
      <c r="BO50" s="2014"/>
    </row>
    <row r="51" spans="1:68" ht="20.100000000000001" customHeight="1">
      <c r="A51" s="1845">
        <v>50</v>
      </c>
      <c r="B51" s="1854"/>
      <c r="C51" s="1847"/>
      <c r="D51" s="1848" t="s">
        <v>945</v>
      </c>
      <c r="E51" s="1848"/>
      <c r="F51" s="1849"/>
      <c r="G51" s="2010" t="s">
        <v>553</v>
      </c>
      <c r="H51" s="2011">
        <f t="shared" ca="1" si="16"/>
        <v>21.2</v>
      </c>
      <c r="I51" s="2011">
        <f t="shared" ca="1" si="17"/>
        <v>21.2</v>
      </c>
      <c r="J51" s="2011">
        <f t="shared" ca="1" si="18"/>
        <v>21.2</v>
      </c>
      <c r="K51" s="2011">
        <f t="shared" ca="1" si="19"/>
        <v>21.2</v>
      </c>
      <c r="L51" s="2012">
        <f t="shared" ca="1" si="20"/>
        <v>0</v>
      </c>
      <c r="M51" s="2012">
        <f t="shared" ca="1" si="21"/>
        <v>0</v>
      </c>
      <c r="N51" s="2012">
        <f t="shared" ca="1" si="22"/>
        <v>0</v>
      </c>
      <c r="O51" s="2012">
        <f t="shared" ca="1" si="23"/>
        <v>0</v>
      </c>
      <c r="P51" s="2013">
        <f ca="1">SUM(SUMIFS(OFFSET(貼付け_2024実績,$A51,9,1,199),OFFSET(貼付け_2024実績,4,9,1,199),{"横浜*","川崎*"}))</f>
        <v>0</v>
      </c>
      <c r="Q51" s="2013">
        <f ca="1">SUM(SUMIFS(OFFSET(貼付け_2025実績,$A51,9,1,199),OFFSET(貼付け_2025実績,4,9,1,199),{"横浜*","川崎*"}))</f>
        <v>0</v>
      </c>
      <c r="R51" s="2013">
        <f ca="1">SUM(SUMIFS(OFFSET(貼付け_2026実績,$A51,9,1,199),OFFSET(貼付け_2026実績,4,9,1,199),{"横浜*","川崎*"}))</f>
        <v>0</v>
      </c>
      <c r="S51" s="2013">
        <f ca="1">SUM(SUMIFS(OFFSET(貼付け_2027実績,$A51,9,1,199),OFFSET(貼付け_2027実績,4,9,1,199),{"横浜*","川崎*"}))</f>
        <v>0</v>
      </c>
      <c r="T51" s="2012">
        <f t="shared" ca="1" si="24"/>
        <v>0</v>
      </c>
      <c r="U51" s="2012">
        <f t="shared" ca="1" si="25"/>
        <v>0</v>
      </c>
      <c r="V51" s="2012">
        <f t="shared" ca="1" si="26"/>
        <v>0</v>
      </c>
      <c r="W51" s="2012">
        <f t="shared" ca="1" si="27"/>
        <v>0</v>
      </c>
      <c r="X51" s="2014">
        <f t="shared" ca="1" si="28"/>
        <v>0</v>
      </c>
      <c r="Y51" s="2014">
        <f t="shared" ca="1" si="29"/>
        <v>0</v>
      </c>
      <c r="Z51" s="2014">
        <f t="shared" ca="1" si="30"/>
        <v>0</v>
      </c>
      <c r="AA51" s="2014">
        <f t="shared" ca="1" si="31"/>
        <v>0</v>
      </c>
      <c r="AB51" s="2014"/>
      <c r="AC51" s="2014"/>
      <c r="AD51" s="2014"/>
      <c r="AE51" s="2014"/>
      <c r="AF51" s="2014"/>
      <c r="AG51" s="2014"/>
      <c r="AH51" s="2014"/>
      <c r="AI51" s="2014"/>
      <c r="AJ51" s="2014"/>
      <c r="AK51" s="2014"/>
      <c r="AL51" s="2014"/>
      <c r="AM51" s="2014"/>
      <c r="AN51" s="2014"/>
      <c r="AO51" s="2014"/>
      <c r="AP51" s="2014"/>
      <c r="AQ51" s="2014"/>
      <c r="AR51" s="2014"/>
      <c r="AS51" s="2014"/>
      <c r="AT51" s="2014"/>
      <c r="AU51" s="2014"/>
      <c r="AV51" s="2014"/>
      <c r="AW51" s="2014"/>
      <c r="AX51" s="2014"/>
      <c r="AY51" s="2014"/>
      <c r="AZ51" s="2014"/>
      <c r="BA51" s="2014"/>
      <c r="BB51" s="2014"/>
      <c r="BC51" s="2014"/>
      <c r="BD51" s="2014"/>
      <c r="BE51" s="2014"/>
      <c r="BF51" s="2014"/>
      <c r="BG51" s="2014"/>
      <c r="BH51" s="2014"/>
      <c r="BI51" s="2014"/>
      <c r="BJ51" s="2014"/>
      <c r="BK51" s="2014"/>
      <c r="BL51" s="2014"/>
      <c r="BM51" s="2014"/>
      <c r="BN51" s="2014"/>
      <c r="BO51" s="2014"/>
    </row>
    <row r="52" spans="1:68" ht="20.100000000000001" customHeight="1">
      <c r="A52" s="1845">
        <v>51</v>
      </c>
      <c r="B52" s="1854"/>
      <c r="C52" s="1847"/>
      <c r="D52" s="1848" t="s">
        <v>946</v>
      </c>
      <c r="E52" s="1848"/>
      <c r="F52" s="1849"/>
      <c r="G52" s="2010" t="s">
        <v>548</v>
      </c>
      <c r="H52" s="2011">
        <f t="shared" ca="1" si="16"/>
        <v>17.100000000000001</v>
      </c>
      <c r="I52" s="2011">
        <f t="shared" ca="1" si="17"/>
        <v>17.100000000000001</v>
      </c>
      <c r="J52" s="2011">
        <f t="shared" ca="1" si="18"/>
        <v>17.100000000000001</v>
      </c>
      <c r="K52" s="2011">
        <f t="shared" ca="1" si="19"/>
        <v>17.100000000000001</v>
      </c>
      <c r="L52" s="2012">
        <f t="shared" ca="1" si="20"/>
        <v>0</v>
      </c>
      <c r="M52" s="2012">
        <f t="shared" ca="1" si="21"/>
        <v>0</v>
      </c>
      <c r="N52" s="2012">
        <f t="shared" ca="1" si="22"/>
        <v>0</v>
      </c>
      <c r="O52" s="2012">
        <f t="shared" ca="1" si="23"/>
        <v>0</v>
      </c>
      <c r="P52" s="2013">
        <f ca="1">SUM(SUMIFS(OFFSET(貼付け_2024実績,$A52,9,1,199),OFFSET(貼付け_2024実績,4,9,1,199),{"横浜*","川崎*"}))</f>
        <v>0</v>
      </c>
      <c r="Q52" s="2013">
        <f ca="1">SUM(SUMIFS(OFFSET(貼付け_2025実績,$A52,9,1,199),OFFSET(貼付け_2025実績,4,9,1,199),{"横浜*","川崎*"}))</f>
        <v>0</v>
      </c>
      <c r="R52" s="2013">
        <f ca="1">SUM(SUMIFS(OFFSET(貼付け_2026実績,$A52,9,1,199),OFFSET(貼付け_2026実績,4,9,1,199),{"横浜*","川崎*"}))</f>
        <v>0</v>
      </c>
      <c r="S52" s="2013">
        <f ca="1">SUM(SUMIFS(OFFSET(貼付け_2027実績,$A52,9,1,199),OFFSET(貼付け_2027実績,4,9,1,199),{"横浜*","川崎*"}))</f>
        <v>0</v>
      </c>
      <c r="T52" s="2012">
        <f t="shared" ca="1" si="24"/>
        <v>0</v>
      </c>
      <c r="U52" s="2012">
        <f t="shared" ca="1" si="25"/>
        <v>0</v>
      </c>
      <c r="V52" s="2012">
        <f t="shared" ca="1" si="26"/>
        <v>0</v>
      </c>
      <c r="W52" s="2012">
        <f t="shared" ca="1" si="27"/>
        <v>0</v>
      </c>
      <c r="X52" s="2014">
        <f t="shared" ca="1" si="28"/>
        <v>0</v>
      </c>
      <c r="Y52" s="2014">
        <f t="shared" ca="1" si="29"/>
        <v>0</v>
      </c>
      <c r="Z52" s="2014">
        <f t="shared" ca="1" si="30"/>
        <v>0</v>
      </c>
      <c r="AA52" s="2014">
        <f t="shared" ca="1" si="31"/>
        <v>0</v>
      </c>
      <c r="AB52" s="2014"/>
      <c r="AC52" s="2014"/>
      <c r="AD52" s="2014"/>
      <c r="AE52" s="2014"/>
      <c r="AF52" s="2014"/>
      <c r="AG52" s="2014"/>
      <c r="AH52" s="2014"/>
      <c r="AI52" s="2014"/>
      <c r="AJ52" s="2014"/>
      <c r="AK52" s="2014"/>
      <c r="AL52" s="2014"/>
      <c r="AM52" s="2014"/>
      <c r="AN52" s="2014"/>
      <c r="AO52" s="2014"/>
      <c r="AP52" s="2014"/>
      <c r="AQ52" s="2014"/>
      <c r="AR52" s="2014"/>
      <c r="AS52" s="2014"/>
      <c r="AT52" s="2014"/>
      <c r="AU52" s="2014"/>
      <c r="AV52" s="2014"/>
      <c r="AW52" s="2014"/>
      <c r="AX52" s="2014"/>
      <c r="AY52" s="2014"/>
      <c r="AZ52" s="2014"/>
      <c r="BA52" s="2014"/>
      <c r="BB52" s="2014"/>
      <c r="BC52" s="2014"/>
      <c r="BD52" s="2014"/>
      <c r="BE52" s="2014"/>
      <c r="BF52" s="2014"/>
      <c r="BG52" s="2014"/>
      <c r="BH52" s="2014"/>
      <c r="BI52" s="2014"/>
      <c r="BJ52" s="2014"/>
      <c r="BK52" s="2014"/>
      <c r="BL52" s="2014"/>
      <c r="BM52" s="2014"/>
      <c r="BN52" s="2014"/>
      <c r="BO52" s="2014"/>
    </row>
    <row r="53" spans="1:68" ht="20.100000000000001" customHeight="1">
      <c r="A53" s="1845">
        <v>52</v>
      </c>
      <c r="B53" s="1854"/>
      <c r="C53" s="1847"/>
      <c r="D53" s="1848" t="s">
        <v>947</v>
      </c>
      <c r="E53" s="1848"/>
      <c r="F53" s="1849"/>
      <c r="G53" s="2010" t="s">
        <v>548</v>
      </c>
      <c r="H53" s="2011">
        <f t="shared" ca="1" si="16"/>
        <v>142</v>
      </c>
      <c r="I53" s="2011">
        <f t="shared" ca="1" si="17"/>
        <v>142</v>
      </c>
      <c r="J53" s="2011">
        <f t="shared" ca="1" si="18"/>
        <v>142</v>
      </c>
      <c r="K53" s="2011">
        <f t="shared" ca="1" si="19"/>
        <v>142</v>
      </c>
      <c r="L53" s="2012">
        <f t="shared" ca="1" si="20"/>
        <v>0</v>
      </c>
      <c r="M53" s="2012">
        <f t="shared" ca="1" si="21"/>
        <v>0</v>
      </c>
      <c r="N53" s="2012">
        <f t="shared" ca="1" si="22"/>
        <v>0</v>
      </c>
      <c r="O53" s="2012">
        <f t="shared" ca="1" si="23"/>
        <v>0</v>
      </c>
      <c r="P53" s="2013">
        <f ca="1">SUM(SUMIFS(OFFSET(貼付け_2024実績,$A53,9,1,199),OFFSET(貼付け_2024実績,4,9,1,199),{"横浜*","川崎*"}))</f>
        <v>0</v>
      </c>
      <c r="Q53" s="2013">
        <f ca="1">SUM(SUMIFS(OFFSET(貼付け_2025実績,$A53,9,1,199),OFFSET(貼付け_2025実績,4,9,1,199),{"横浜*","川崎*"}))</f>
        <v>0</v>
      </c>
      <c r="R53" s="2013">
        <f ca="1">SUM(SUMIFS(OFFSET(貼付け_2026実績,$A53,9,1,199),OFFSET(貼付け_2026実績,4,9,1,199),{"横浜*","川崎*"}))</f>
        <v>0</v>
      </c>
      <c r="S53" s="2013">
        <f ca="1">SUM(SUMIFS(OFFSET(貼付け_2027実績,$A53,9,1,199),OFFSET(貼付け_2027実績,4,9,1,199),{"横浜*","川崎*"}))</f>
        <v>0</v>
      </c>
      <c r="T53" s="2012">
        <f t="shared" ca="1" si="24"/>
        <v>0</v>
      </c>
      <c r="U53" s="2012">
        <f t="shared" ca="1" si="25"/>
        <v>0</v>
      </c>
      <c r="V53" s="2012">
        <f t="shared" ca="1" si="26"/>
        <v>0</v>
      </c>
      <c r="W53" s="2012">
        <f t="shared" ca="1" si="27"/>
        <v>0</v>
      </c>
      <c r="X53" s="2014">
        <f t="shared" ca="1" si="28"/>
        <v>0</v>
      </c>
      <c r="Y53" s="2014">
        <f t="shared" ca="1" si="29"/>
        <v>0</v>
      </c>
      <c r="Z53" s="2014">
        <f t="shared" ca="1" si="30"/>
        <v>0</v>
      </c>
      <c r="AA53" s="2014">
        <f t="shared" ca="1" si="31"/>
        <v>0</v>
      </c>
      <c r="AB53" s="2014"/>
      <c r="AC53" s="2014"/>
      <c r="AD53" s="2014"/>
      <c r="AE53" s="2014"/>
      <c r="AF53" s="2014"/>
      <c r="AG53" s="2014"/>
      <c r="AH53" s="2014"/>
      <c r="AI53" s="2014"/>
      <c r="AJ53" s="2014"/>
      <c r="AK53" s="2014"/>
      <c r="AL53" s="2014"/>
      <c r="AM53" s="2014"/>
      <c r="AN53" s="2014"/>
      <c r="AO53" s="2014"/>
      <c r="AP53" s="2014"/>
      <c r="AQ53" s="2014"/>
      <c r="AR53" s="2014"/>
      <c r="AS53" s="2014"/>
      <c r="AT53" s="2014"/>
      <c r="AU53" s="2014"/>
      <c r="AV53" s="2014"/>
      <c r="AW53" s="2014"/>
      <c r="AX53" s="2014"/>
      <c r="AY53" s="2014"/>
      <c r="AZ53" s="2014"/>
      <c r="BA53" s="2014"/>
      <c r="BB53" s="2014"/>
      <c r="BC53" s="2014"/>
      <c r="BD53" s="2014"/>
      <c r="BE53" s="2014"/>
      <c r="BF53" s="2014"/>
      <c r="BG53" s="2014"/>
      <c r="BH53" s="2014"/>
      <c r="BI53" s="2014"/>
      <c r="BJ53" s="2014"/>
      <c r="BK53" s="2014"/>
      <c r="BL53" s="2014"/>
      <c r="BM53" s="2014"/>
      <c r="BN53" s="2014"/>
      <c r="BO53" s="2014"/>
    </row>
    <row r="54" spans="1:68" ht="20.100000000000001" customHeight="1">
      <c r="A54" s="1845">
        <v>53</v>
      </c>
      <c r="B54" s="1854"/>
      <c r="C54" s="1847"/>
      <c r="D54" s="1848" t="s">
        <v>569</v>
      </c>
      <c r="E54" s="1848"/>
      <c r="F54" s="1849"/>
      <c r="G54" s="2010" t="s">
        <v>548</v>
      </c>
      <c r="H54" s="2011">
        <f t="shared" ca="1" si="16"/>
        <v>22.5</v>
      </c>
      <c r="I54" s="2011">
        <f t="shared" ca="1" si="17"/>
        <v>22.5</v>
      </c>
      <c r="J54" s="2011">
        <f t="shared" ca="1" si="18"/>
        <v>22.5</v>
      </c>
      <c r="K54" s="2011">
        <f t="shared" ca="1" si="19"/>
        <v>22.5</v>
      </c>
      <c r="L54" s="2012">
        <f t="shared" ca="1" si="20"/>
        <v>0</v>
      </c>
      <c r="M54" s="2012">
        <f t="shared" ca="1" si="21"/>
        <v>0</v>
      </c>
      <c r="N54" s="2012">
        <f t="shared" ca="1" si="22"/>
        <v>0</v>
      </c>
      <c r="O54" s="2012">
        <f t="shared" ca="1" si="23"/>
        <v>0</v>
      </c>
      <c r="P54" s="2013">
        <f ca="1">SUM(SUMIFS(OFFSET(貼付け_2024実績,$A54,9,1,199),OFFSET(貼付け_2024実績,4,9,1,199),{"横浜*","川崎*"}))</f>
        <v>0</v>
      </c>
      <c r="Q54" s="2013">
        <f ca="1">SUM(SUMIFS(OFFSET(貼付け_2025実績,$A54,9,1,199),OFFSET(貼付け_2025実績,4,9,1,199),{"横浜*","川崎*"}))</f>
        <v>0</v>
      </c>
      <c r="R54" s="2013">
        <f ca="1">SUM(SUMIFS(OFFSET(貼付け_2026実績,$A54,9,1,199),OFFSET(貼付け_2026実績,4,9,1,199),{"横浜*","川崎*"}))</f>
        <v>0</v>
      </c>
      <c r="S54" s="2013">
        <f ca="1">SUM(SUMIFS(OFFSET(貼付け_2027実績,$A54,9,1,199),OFFSET(貼付け_2027実績,4,9,1,199),{"横浜*","川崎*"}))</f>
        <v>0</v>
      </c>
      <c r="T54" s="2012">
        <f t="shared" ca="1" si="24"/>
        <v>0</v>
      </c>
      <c r="U54" s="2012">
        <f t="shared" ca="1" si="25"/>
        <v>0</v>
      </c>
      <c r="V54" s="2012">
        <f t="shared" ca="1" si="26"/>
        <v>0</v>
      </c>
      <c r="W54" s="2012">
        <f t="shared" ca="1" si="27"/>
        <v>0</v>
      </c>
      <c r="X54" s="2014">
        <f t="shared" ca="1" si="28"/>
        <v>0</v>
      </c>
      <c r="Y54" s="2014">
        <f t="shared" ca="1" si="29"/>
        <v>0</v>
      </c>
      <c r="Z54" s="2014">
        <f t="shared" ca="1" si="30"/>
        <v>0</v>
      </c>
      <c r="AA54" s="2014">
        <f t="shared" ca="1" si="31"/>
        <v>0</v>
      </c>
      <c r="AB54" s="2014"/>
      <c r="AC54" s="2014"/>
      <c r="AD54" s="2014"/>
      <c r="AE54" s="2014"/>
      <c r="AF54" s="2014"/>
      <c r="AG54" s="2014"/>
      <c r="AH54" s="2014"/>
      <c r="AI54" s="2014"/>
      <c r="AJ54" s="2014"/>
      <c r="AK54" s="2014"/>
      <c r="AL54" s="2014"/>
      <c r="AM54" s="2014"/>
      <c r="AN54" s="2014"/>
      <c r="AO54" s="2014"/>
      <c r="AP54" s="2014"/>
      <c r="AQ54" s="2014"/>
      <c r="AR54" s="2014"/>
      <c r="AS54" s="2014"/>
      <c r="AT54" s="2014"/>
      <c r="AU54" s="2014"/>
      <c r="AV54" s="2014"/>
      <c r="AW54" s="2014"/>
      <c r="AX54" s="2014"/>
      <c r="AY54" s="2014"/>
      <c r="AZ54" s="2014"/>
      <c r="BA54" s="2014"/>
      <c r="BB54" s="2014"/>
      <c r="BC54" s="2014"/>
      <c r="BD54" s="2014"/>
      <c r="BE54" s="2014"/>
      <c r="BF54" s="2014"/>
      <c r="BG54" s="2014"/>
      <c r="BH54" s="2014"/>
      <c r="BI54" s="2014"/>
      <c r="BJ54" s="2014"/>
      <c r="BK54" s="2014"/>
      <c r="BL54" s="2014"/>
      <c r="BM54" s="2014"/>
      <c r="BN54" s="2014"/>
      <c r="BO54" s="2014"/>
    </row>
    <row r="55" spans="1:68" ht="20.100000000000001" customHeight="1">
      <c r="A55" s="1845">
        <v>54</v>
      </c>
      <c r="B55" s="1854"/>
      <c r="C55" s="1847"/>
      <c r="D55" s="1848" t="s">
        <v>948</v>
      </c>
      <c r="E55" s="1858" t="str">
        <f ca="1">OFFSET(A1_その他欄集計,5,7)</f>
        <v/>
      </c>
      <c r="F55" s="1860"/>
      <c r="G55" s="2010" t="str">
        <f ca="1">OFFSET(A1_その他欄集計,6,7)</f>
        <v/>
      </c>
      <c r="H55" s="2011">
        <f t="shared" ca="1" si="16"/>
        <v>0</v>
      </c>
      <c r="I55" s="2011">
        <f t="shared" ca="1" si="17"/>
        <v>0</v>
      </c>
      <c r="J55" s="2011">
        <f t="shared" ca="1" si="18"/>
        <v>0</v>
      </c>
      <c r="K55" s="2011">
        <f t="shared" ca="1" si="19"/>
        <v>0</v>
      </c>
      <c r="L55" s="2012">
        <f t="shared" ca="1" si="20"/>
        <v>0</v>
      </c>
      <c r="M55" s="2012">
        <f t="shared" ca="1" si="21"/>
        <v>0</v>
      </c>
      <c r="N55" s="2012">
        <f t="shared" ca="1" si="22"/>
        <v>0</v>
      </c>
      <c r="O55" s="2012">
        <f t="shared" ca="1" si="23"/>
        <v>0</v>
      </c>
      <c r="P55" s="2013">
        <f ca="1">SUM(SUMIFS(OFFSET(貼付け_2024実績,$A55,9,1,199),OFFSET(貼付け_2024実績,4,9,1,199),{"横浜*","川崎*"}))</f>
        <v>0</v>
      </c>
      <c r="Q55" s="2013">
        <f ca="1">SUM(SUMIFS(OFFSET(貼付け_2025実績,$A55,9,1,199),OFFSET(貼付け_2025実績,4,9,1,199),{"横浜*","川崎*"}))</f>
        <v>0</v>
      </c>
      <c r="R55" s="2013">
        <f ca="1">SUM(SUMIFS(OFFSET(貼付け_2026実績,$A55,9,1,199),OFFSET(貼付け_2026実績,4,9,1,199),{"横浜*","川崎*"}))</f>
        <v>0</v>
      </c>
      <c r="S55" s="2013">
        <f ca="1">SUM(SUMIFS(OFFSET(貼付け_2027実績,$A55,9,1,199),OFFSET(貼付け_2027実績,4,9,1,199),{"横浜*","川崎*"}))</f>
        <v>0</v>
      </c>
      <c r="T55" s="2012">
        <f t="shared" ca="1" si="24"/>
        <v>0</v>
      </c>
      <c r="U55" s="2012">
        <f t="shared" ca="1" si="25"/>
        <v>0</v>
      </c>
      <c r="V55" s="2012">
        <f t="shared" ca="1" si="26"/>
        <v>0</v>
      </c>
      <c r="W55" s="2012">
        <f t="shared" ca="1" si="27"/>
        <v>0</v>
      </c>
      <c r="X55" s="2014">
        <f t="shared" ca="1" si="28"/>
        <v>0</v>
      </c>
      <c r="Y55" s="2014">
        <f t="shared" ca="1" si="29"/>
        <v>0</v>
      </c>
      <c r="Z55" s="2014">
        <f t="shared" ca="1" si="30"/>
        <v>0</v>
      </c>
      <c r="AA55" s="2014">
        <f t="shared" ca="1" si="31"/>
        <v>0</v>
      </c>
      <c r="AB55" s="2014"/>
      <c r="AC55" s="2014"/>
      <c r="AD55" s="2014"/>
      <c r="AE55" s="2014"/>
      <c r="AF55" s="2014"/>
      <c r="AG55" s="2014"/>
      <c r="AH55" s="2014"/>
      <c r="AI55" s="2014"/>
      <c r="AJ55" s="2014"/>
      <c r="AK55" s="2014"/>
      <c r="AL55" s="2014"/>
      <c r="AM55" s="2014"/>
      <c r="AN55" s="2014"/>
      <c r="AO55" s="2014"/>
      <c r="AP55" s="2014"/>
      <c r="AQ55" s="2014"/>
      <c r="AR55" s="2014"/>
      <c r="AS55" s="2014"/>
      <c r="AT55" s="2014"/>
      <c r="AU55" s="2014"/>
      <c r="AV55" s="2014"/>
      <c r="AW55" s="2014"/>
      <c r="AX55" s="2014"/>
      <c r="AY55" s="2014"/>
      <c r="AZ55" s="2014"/>
      <c r="BA55" s="2014"/>
      <c r="BB55" s="2014"/>
      <c r="BC55" s="2014"/>
      <c r="BD55" s="2014"/>
      <c r="BE55" s="2014"/>
      <c r="BF55" s="2014"/>
      <c r="BG55" s="2014"/>
      <c r="BH55" s="2014"/>
      <c r="BI55" s="2014"/>
      <c r="BJ55" s="2014"/>
      <c r="BK55" s="2014"/>
      <c r="BL55" s="2014"/>
      <c r="BM55" s="2014"/>
      <c r="BN55" s="2014"/>
      <c r="BO55" s="2014"/>
    </row>
    <row r="56" spans="1:68" ht="20.100000000000001" customHeight="1" thickBot="1">
      <c r="A56" s="1845">
        <v>55</v>
      </c>
      <c r="B56" s="1854"/>
      <c r="C56" s="2016"/>
      <c r="D56" s="2017" t="s">
        <v>949</v>
      </c>
      <c r="E56" s="2018" t="str">
        <f ca="1">OFFSET(A1_その他欄集計,7,7)</f>
        <v/>
      </c>
      <c r="F56" s="2019"/>
      <c r="G56" s="2020" t="str">
        <f ca="1">OFFSET(A1_その他欄集計,8,7)</f>
        <v/>
      </c>
      <c r="H56" s="2021">
        <f t="shared" ca="1" si="16"/>
        <v>0</v>
      </c>
      <c r="I56" s="2021">
        <f t="shared" ca="1" si="17"/>
        <v>0</v>
      </c>
      <c r="J56" s="2021">
        <f t="shared" ca="1" si="18"/>
        <v>0</v>
      </c>
      <c r="K56" s="2021">
        <f t="shared" ca="1" si="19"/>
        <v>0</v>
      </c>
      <c r="L56" s="2022">
        <f t="shared" ca="1" si="20"/>
        <v>0</v>
      </c>
      <c r="M56" s="2022">
        <f t="shared" ca="1" si="21"/>
        <v>0</v>
      </c>
      <c r="N56" s="2022">
        <f t="shared" ca="1" si="22"/>
        <v>0</v>
      </c>
      <c r="O56" s="2022">
        <f t="shared" ca="1" si="23"/>
        <v>0</v>
      </c>
      <c r="P56" s="2023">
        <f ca="1">SUM(SUMIFS(OFFSET(貼付け_2024実績,$A56,9,1,199),OFFSET(貼付け_2024実績,4,9,1,199),{"横浜*","川崎*"}))</f>
        <v>0</v>
      </c>
      <c r="Q56" s="2023">
        <f ca="1">SUM(SUMIFS(OFFSET(貼付け_2025実績,$A56,9,1,199),OFFSET(貼付け_2025実績,4,9,1,199),{"横浜*","川崎*"}))</f>
        <v>0</v>
      </c>
      <c r="R56" s="2023">
        <f ca="1">SUM(SUMIFS(OFFSET(貼付け_2026実績,$A56,9,1,199),OFFSET(貼付け_2026実績,4,9,1,199),{"横浜*","川崎*"}))</f>
        <v>0</v>
      </c>
      <c r="S56" s="2023">
        <f ca="1">SUM(SUMIFS(OFFSET(貼付け_2027実績,$A56,9,1,199),OFFSET(貼付け_2027実績,4,9,1,199),{"横浜*","川崎*"}))</f>
        <v>0</v>
      </c>
      <c r="T56" s="2022">
        <f t="shared" ca="1" si="24"/>
        <v>0</v>
      </c>
      <c r="U56" s="2022">
        <f t="shared" ca="1" si="25"/>
        <v>0</v>
      </c>
      <c r="V56" s="2022">
        <f t="shared" ca="1" si="26"/>
        <v>0</v>
      </c>
      <c r="W56" s="2022">
        <f t="shared" ca="1" si="27"/>
        <v>0</v>
      </c>
      <c r="X56" s="2024">
        <f t="shared" ca="1" si="28"/>
        <v>0</v>
      </c>
      <c r="Y56" s="2024">
        <f t="shared" ca="1" si="29"/>
        <v>0</v>
      </c>
      <c r="Z56" s="2024">
        <f t="shared" ca="1" si="30"/>
        <v>0</v>
      </c>
      <c r="AA56" s="2024">
        <f t="shared" ca="1" si="31"/>
        <v>0</v>
      </c>
      <c r="AB56" s="2024"/>
      <c r="AC56" s="2024"/>
      <c r="AD56" s="2024"/>
      <c r="AE56" s="2024"/>
      <c r="AF56" s="2024"/>
      <c r="AG56" s="2024"/>
      <c r="AH56" s="2024"/>
      <c r="AI56" s="2024"/>
      <c r="AJ56" s="2024"/>
      <c r="AK56" s="2024"/>
      <c r="AL56" s="2024"/>
      <c r="AM56" s="2024"/>
      <c r="AN56" s="2024"/>
      <c r="AO56" s="2024"/>
      <c r="AP56" s="2024"/>
      <c r="AQ56" s="2024"/>
      <c r="AR56" s="2024"/>
      <c r="AS56" s="2024"/>
      <c r="AT56" s="2024"/>
      <c r="AU56" s="2024"/>
      <c r="AV56" s="2024"/>
      <c r="AW56" s="2024"/>
      <c r="AX56" s="2024"/>
      <c r="AY56" s="2024"/>
      <c r="AZ56" s="2024"/>
      <c r="BA56" s="2024"/>
      <c r="BB56" s="2024"/>
      <c r="BC56" s="2024"/>
      <c r="BD56" s="2024"/>
      <c r="BE56" s="2024"/>
      <c r="BF56" s="2024"/>
      <c r="BG56" s="2024"/>
      <c r="BH56" s="2024"/>
      <c r="BI56" s="2024"/>
      <c r="BJ56" s="2024"/>
      <c r="BK56" s="2024"/>
      <c r="BL56" s="2024"/>
      <c r="BM56" s="2024"/>
      <c r="BN56" s="2024"/>
      <c r="BO56" s="2024"/>
      <c r="BP56" s="1862"/>
    </row>
    <row r="57" spans="1:68" ht="20.100000000000001" customHeight="1">
      <c r="A57" s="1845">
        <v>56</v>
      </c>
      <c r="B57" s="2025" t="s">
        <v>950</v>
      </c>
      <c r="C57" s="2026" t="s">
        <v>951</v>
      </c>
      <c r="D57" s="2027" t="s">
        <v>952</v>
      </c>
      <c r="E57" s="2028"/>
      <c r="F57" s="2029"/>
      <c r="G57" s="2030" t="s">
        <v>0</v>
      </c>
      <c r="H57" s="2031">
        <f t="shared" ca="1" si="16"/>
        <v>1.17</v>
      </c>
      <c r="I57" s="2031">
        <f t="shared" ca="1" si="17"/>
        <v>1.17</v>
      </c>
      <c r="J57" s="2031">
        <f t="shared" ca="1" si="18"/>
        <v>1.17</v>
      </c>
      <c r="K57" s="2031">
        <f t="shared" ca="1" si="19"/>
        <v>1.17</v>
      </c>
      <c r="L57" s="2032">
        <f t="shared" ca="1" si="20"/>
        <v>0</v>
      </c>
      <c r="M57" s="2032">
        <f t="shared" ca="1" si="21"/>
        <v>0</v>
      </c>
      <c r="N57" s="2032">
        <f t="shared" ca="1" si="22"/>
        <v>0</v>
      </c>
      <c r="O57" s="2032">
        <f t="shared" ca="1" si="23"/>
        <v>0</v>
      </c>
      <c r="P57" s="2033">
        <f ca="1">SUM(SUMIFS(OFFSET(貼付け_2024実績,$A57,9,1,199),OFFSET(貼付け_2024実績,4,9,1,199),{"横浜*","川崎*"}))</f>
        <v>0</v>
      </c>
      <c r="Q57" s="2033">
        <f ca="1">SUM(SUMIFS(OFFSET(貼付け_2025実績,$A57,9,1,199),OFFSET(貼付け_2025実績,4,9,1,199),{"横浜*","川崎*"}))</f>
        <v>0</v>
      </c>
      <c r="R57" s="2033">
        <f ca="1">SUM(SUMIFS(OFFSET(貼付け_2026実績,$A57,9,1,199),OFFSET(貼付け_2026実績,4,9,1,199),{"横浜*","川崎*"}))</f>
        <v>0</v>
      </c>
      <c r="S57" s="2033">
        <f ca="1">SUM(SUMIFS(OFFSET(貼付け_2027実績,$A57,9,1,199),OFFSET(貼付け_2027実績,4,9,1,199),{"横浜*","川崎*"}))</f>
        <v>0</v>
      </c>
      <c r="T57" s="2032">
        <f t="shared" ca="1" si="24"/>
        <v>0</v>
      </c>
      <c r="U57" s="2032">
        <f t="shared" ca="1" si="25"/>
        <v>0</v>
      </c>
      <c r="V57" s="2032">
        <f t="shared" ca="1" si="26"/>
        <v>0</v>
      </c>
      <c r="W57" s="2032">
        <f t="shared" ca="1" si="27"/>
        <v>0</v>
      </c>
      <c r="X57" s="2034">
        <f t="shared" ca="1" si="28"/>
        <v>0</v>
      </c>
      <c r="Y57" s="2034">
        <f t="shared" ca="1" si="29"/>
        <v>0</v>
      </c>
      <c r="Z57" s="2034">
        <f t="shared" ca="1" si="30"/>
        <v>0</v>
      </c>
      <c r="AA57" s="2034">
        <f t="shared" ca="1" si="31"/>
        <v>0</v>
      </c>
      <c r="AB57" s="2034"/>
      <c r="AC57" s="2034"/>
      <c r="AD57" s="2034"/>
      <c r="AE57" s="2034"/>
      <c r="AF57" s="2034"/>
      <c r="AG57" s="2034"/>
      <c r="AH57" s="2034"/>
      <c r="AI57" s="2034"/>
      <c r="AJ57" s="2034"/>
      <c r="AK57" s="2034"/>
      <c r="AL57" s="2034"/>
      <c r="AM57" s="2034"/>
      <c r="AN57" s="2034"/>
      <c r="AO57" s="2034"/>
      <c r="AP57" s="2034"/>
      <c r="AQ57" s="2034"/>
      <c r="AR57" s="2034"/>
      <c r="AS57" s="2034"/>
      <c r="AT57" s="2034"/>
      <c r="AU57" s="2034"/>
      <c r="AV57" s="2034"/>
      <c r="AW57" s="2034"/>
      <c r="AX57" s="2034"/>
      <c r="AY57" s="2034"/>
      <c r="AZ57" s="2034"/>
      <c r="BA57" s="2034"/>
      <c r="BB57" s="2034"/>
      <c r="BC57" s="2034"/>
      <c r="BD57" s="2034"/>
      <c r="BE57" s="2034"/>
      <c r="BF57" s="2034"/>
      <c r="BG57" s="2034"/>
      <c r="BH57" s="2034"/>
      <c r="BI57" s="2034"/>
      <c r="BJ57" s="2034"/>
      <c r="BK57" s="2034"/>
      <c r="BL57" s="2034"/>
      <c r="BM57" s="2034"/>
      <c r="BN57" s="2034"/>
      <c r="BO57" s="2035"/>
      <c r="BP57" s="1862"/>
    </row>
    <row r="58" spans="1:68" ht="20.100000000000001" customHeight="1">
      <c r="A58" s="1845">
        <v>58</v>
      </c>
      <c r="B58" s="2036"/>
      <c r="C58" s="1847"/>
      <c r="D58" s="1848" t="s">
        <v>953</v>
      </c>
      <c r="E58" s="1856"/>
      <c r="F58" s="1863"/>
      <c r="G58" s="2010" t="s">
        <v>0</v>
      </c>
      <c r="H58" s="2011">
        <f t="shared" ca="1" si="16"/>
        <v>1.19</v>
      </c>
      <c r="I58" s="2011">
        <f t="shared" ca="1" si="17"/>
        <v>1.19</v>
      </c>
      <c r="J58" s="2011">
        <f t="shared" ca="1" si="18"/>
        <v>1.19</v>
      </c>
      <c r="K58" s="2011">
        <f t="shared" ca="1" si="19"/>
        <v>1.19</v>
      </c>
      <c r="L58" s="2012">
        <f t="shared" ca="1" si="20"/>
        <v>0</v>
      </c>
      <c r="M58" s="2012">
        <f t="shared" ca="1" si="21"/>
        <v>0</v>
      </c>
      <c r="N58" s="2012">
        <f t="shared" ca="1" si="22"/>
        <v>0</v>
      </c>
      <c r="O58" s="2012">
        <f t="shared" ca="1" si="23"/>
        <v>0</v>
      </c>
      <c r="P58" s="2013">
        <f ca="1">SUM(SUMIFS(OFFSET(貼付け_2024実績,$A58,9,1,199),OFFSET(貼付け_2024実績,4,9,1,199),{"横浜*","川崎*"}))</f>
        <v>0</v>
      </c>
      <c r="Q58" s="2013">
        <f ca="1">SUM(SUMIFS(OFFSET(貼付け_2025実績,$A58,9,1,199),OFFSET(貼付け_2025実績,4,9,1,199),{"横浜*","川崎*"}))</f>
        <v>0</v>
      </c>
      <c r="R58" s="2013">
        <f ca="1">SUM(SUMIFS(OFFSET(貼付け_2026実績,$A58,9,1,199),OFFSET(貼付け_2026実績,4,9,1,199),{"横浜*","川崎*"}))</f>
        <v>0</v>
      </c>
      <c r="S58" s="2013">
        <f ca="1">SUM(SUMIFS(OFFSET(貼付け_2027実績,$A58,9,1,199),OFFSET(貼付け_2027実績,4,9,1,199),{"横浜*","川崎*"}))</f>
        <v>0</v>
      </c>
      <c r="T58" s="2012">
        <f t="shared" ca="1" si="24"/>
        <v>0</v>
      </c>
      <c r="U58" s="2012">
        <f t="shared" ca="1" si="25"/>
        <v>0</v>
      </c>
      <c r="V58" s="2012">
        <f t="shared" ca="1" si="26"/>
        <v>0</v>
      </c>
      <c r="W58" s="2012">
        <f t="shared" ca="1" si="27"/>
        <v>0</v>
      </c>
      <c r="X58" s="2014">
        <f t="shared" ca="1" si="28"/>
        <v>0</v>
      </c>
      <c r="Y58" s="2014">
        <f t="shared" ca="1" si="29"/>
        <v>0</v>
      </c>
      <c r="Z58" s="2014">
        <f t="shared" ca="1" si="30"/>
        <v>0</v>
      </c>
      <c r="AA58" s="2014">
        <f t="shared" ca="1" si="31"/>
        <v>0</v>
      </c>
      <c r="AB58" s="2014"/>
      <c r="AC58" s="2014"/>
      <c r="AD58" s="2014"/>
      <c r="AE58" s="2014"/>
      <c r="AF58" s="2014"/>
      <c r="AG58" s="2014"/>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4"/>
      <c r="BD58" s="2014"/>
      <c r="BE58" s="2014"/>
      <c r="BF58" s="2014"/>
      <c r="BG58" s="2014"/>
      <c r="BH58" s="2014"/>
      <c r="BI58" s="2014"/>
      <c r="BJ58" s="2014"/>
      <c r="BK58" s="2014"/>
      <c r="BL58" s="2014"/>
      <c r="BM58" s="2014"/>
      <c r="BN58" s="2014"/>
      <c r="BO58" s="2037"/>
      <c r="BP58" s="1862"/>
    </row>
    <row r="59" spans="1:68" ht="20.100000000000001" customHeight="1">
      <c r="A59" s="1845">
        <v>60</v>
      </c>
      <c r="B59" s="2036"/>
      <c r="C59" s="1847"/>
      <c r="D59" s="1848" t="s">
        <v>954</v>
      </c>
      <c r="E59" s="1856"/>
      <c r="F59" s="1863"/>
      <c r="G59" s="2010" t="s">
        <v>0</v>
      </c>
      <c r="H59" s="2011">
        <f t="shared" ca="1" si="16"/>
        <v>1.19</v>
      </c>
      <c r="I59" s="2011">
        <f t="shared" ca="1" si="17"/>
        <v>1.19</v>
      </c>
      <c r="J59" s="2011">
        <f t="shared" ca="1" si="18"/>
        <v>1.19</v>
      </c>
      <c r="K59" s="2011">
        <f t="shared" ca="1" si="19"/>
        <v>1.19</v>
      </c>
      <c r="L59" s="2012">
        <f t="shared" ca="1" si="20"/>
        <v>0</v>
      </c>
      <c r="M59" s="2012">
        <f t="shared" ca="1" si="21"/>
        <v>0</v>
      </c>
      <c r="N59" s="2012">
        <f t="shared" ca="1" si="22"/>
        <v>0</v>
      </c>
      <c r="O59" s="2012">
        <f t="shared" ca="1" si="23"/>
        <v>0</v>
      </c>
      <c r="P59" s="2013">
        <f ca="1">SUM(SUMIFS(OFFSET(貼付け_2024実績,$A59,9,1,199),OFFSET(貼付け_2024実績,4,9,1,199),{"横浜*","川崎*"}))</f>
        <v>0</v>
      </c>
      <c r="Q59" s="2013">
        <f ca="1">SUM(SUMIFS(OFFSET(貼付け_2025実績,$A59,9,1,199),OFFSET(貼付け_2025実績,4,9,1,199),{"横浜*","川崎*"}))</f>
        <v>0</v>
      </c>
      <c r="R59" s="2013">
        <f ca="1">SUM(SUMIFS(OFFSET(貼付け_2026実績,$A59,9,1,199),OFFSET(貼付け_2026実績,4,9,1,199),{"横浜*","川崎*"}))</f>
        <v>0</v>
      </c>
      <c r="S59" s="2013">
        <f ca="1">SUM(SUMIFS(OFFSET(貼付け_2027実績,$A59,9,1,199),OFFSET(貼付け_2027実績,4,9,1,199),{"横浜*","川崎*"}))</f>
        <v>0</v>
      </c>
      <c r="T59" s="2012">
        <f t="shared" ca="1" si="24"/>
        <v>0</v>
      </c>
      <c r="U59" s="2012">
        <f t="shared" ca="1" si="25"/>
        <v>0</v>
      </c>
      <c r="V59" s="2012">
        <f t="shared" ca="1" si="26"/>
        <v>0</v>
      </c>
      <c r="W59" s="2012">
        <f t="shared" ca="1" si="27"/>
        <v>0</v>
      </c>
      <c r="X59" s="2014">
        <f t="shared" ca="1" si="28"/>
        <v>0</v>
      </c>
      <c r="Y59" s="2014">
        <f t="shared" ca="1" si="29"/>
        <v>0</v>
      </c>
      <c r="Z59" s="2014">
        <f t="shared" ca="1" si="30"/>
        <v>0</v>
      </c>
      <c r="AA59" s="2014">
        <f t="shared" ca="1" si="31"/>
        <v>0</v>
      </c>
      <c r="AB59" s="2014"/>
      <c r="AC59" s="2014"/>
      <c r="AD59" s="2014"/>
      <c r="AE59" s="2014"/>
      <c r="AF59" s="2014"/>
      <c r="AG59" s="2014"/>
      <c r="AH59" s="2014"/>
      <c r="AI59" s="2014"/>
      <c r="AJ59" s="2014"/>
      <c r="AK59" s="2014"/>
      <c r="AL59" s="2014"/>
      <c r="AM59" s="2014"/>
      <c r="AN59" s="2014"/>
      <c r="AO59" s="2014"/>
      <c r="AP59" s="2014"/>
      <c r="AQ59" s="2014"/>
      <c r="AR59" s="2014"/>
      <c r="AS59" s="2014"/>
      <c r="AT59" s="2014"/>
      <c r="AU59" s="2014"/>
      <c r="AV59" s="2014"/>
      <c r="AW59" s="2014"/>
      <c r="AX59" s="2014"/>
      <c r="AY59" s="2014"/>
      <c r="AZ59" s="2014"/>
      <c r="BA59" s="2014"/>
      <c r="BB59" s="2014"/>
      <c r="BC59" s="2014"/>
      <c r="BD59" s="2014"/>
      <c r="BE59" s="2014"/>
      <c r="BF59" s="2014"/>
      <c r="BG59" s="2014"/>
      <c r="BH59" s="2014"/>
      <c r="BI59" s="2014"/>
      <c r="BJ59" s="2014"/>
      <c r="BK59" s="2014"/>
      <c r="BL59" s="2014"/>
      <c r="BM59" s="2014"/>
      <c r="BN59" s="2014"/>
      <c r="BO59" s="2037"/>
      <c r="BP59" s="1862"/>
    </row>
    <row r="60" spans="1:68" ht="20.100000000000001" customHeight="1">
      <c r="A60" s="1845">
        <v>62</v>
      </c>
      <c r="B60" s="2036"/>
      <c r="C60" s="1847"/>
      <c r="D60" s="1848" t="s">
        <v>955</v>
      </c>
      <c r="E60" s="1856"/>
      <c r="F60" s="1863"/>
      <c r="G60" s="2010" t="s">
        <v>0</v>
      </c>
      <c r="H60" s="2011">
        <f t="shared" ca="1" si="16"/>
        <v>1.19</v>
      </c>
      <c r="I60" s="2011">
        <f t="shared" ca="1" si="17"/>
        <v>1.19</v>
      </c>
      <c r="J60" s="2011">
        <f t="shared" ca="1" si="18"/>
        <v>1.19</v>
      </c>
      <c r="K60" s="2011">
        <f t="shared" ca="1" si="19"/>
        <v>1.19</v>
      </c>
      <c r="L60" s="2012">
        <f t="shared" ca="1" si="20"/>
        <v>0</v>
      </c>
      <c r="M60" s="2012">
        <f t="shared" ca="1" si="21"/>
        <v>0</v>
      </c>
      <c r="N60" s="2012">
        <f t="shared" ca="1" si="22"/>
        <v>0</v>
      </c>
      <c r="O60" s="2012">
        <f t="shared" ca="1" si="23"/>
        <v>0</v>
      </c>
      <c r="P60" s="2013">
        <f ca="1">SUM(SUMIFS(OFFSET(貼付け_2024実績,$A60,9,1,199),OFFSET(貼付け_2024実績,4,9,1,199),{"横浜*","川崎*"}))</f>
        <v>0</v>
      </c>
      <c r="Q60" s="2013">
        <f ca="1">SUM(SUMIFS(OFFSET(貼付け_2025実績,$A60,9,1,199),OFFSET(貼付け_2025実績,4,9,1,199),{"横浜*","川崎*"}))</f>
        <v>0</v>
      </c>
      <c r="R60" s="2013">
        <f ca="1">SUM(SUMIFS(OFFSET(貼付け_2026実績,$A60,9,1,199),OFFSET(貼付け_2026実績,4,9,1,199),{"横浜*","川崎*"}))</f>
        <v>0</v>
      </c>
      <c r="S60" s="2013">
        <f ca="1">SUM(SUMIFS(OFFSET(貼付け_2027実績,$A60,9,1,199),OFFSET(貼付け_2027実績,4,9,1,199),{"横浜*","川崎*"}))</f>
        <v>0</v>
      </c>
      <c r="T60" s="2012">
        <f t="shared" ca="1" si="24"/>
        <v>0</v>
      </c>
      <c r="U60" s="2012">
        <f t="shared" ca="1" si="25"/>
        <v>0</v>
      </c>
      <c r="V60" s="2012">
        <f t="shared" ca="1" si="26"/>
        <v>0</v>
      </c>
      <c r="W60" s="2012">
        <f t="shared" ca="1" si="27"/>
        <v>0</v>
      </c>
      <c r="X60" s="2014">
        <f t="shared" ca="1" si="28"/>
        <v>0</v>
      </c>
      <c r="Y60" s="2014">
        <f t="shared" ca="1" si="29"/>
        <v>0</v>
      </c>
      <c r="Z60" s="2014">
        <f t="shared" ca="1" si="30"/>
        <v>0</v>
      </c>
      <c r="AA60" s="2014">
        <f t="shared" ca="1" si="31"/>
        <v>0</v>
      </c>
      <c r="AB60" s="2014"/>
      <c r="AC60" s="2014"/>
      <c r="AD60" s="2014"/>
      <c r="AE60" s="2014"/>
      <c r="AF60" s="2014"/>
      <c r="AG60" s="2014"/>
      <c r="AH60" s="2014"/>
      <c r="AI60" s="2014"/>
      <c r="AJ60" s="2014"/>
      <c r="AK60" s="2014"/>
      <c r="AL60" s="2014"/>
      <c r="AM60" s="2014"/>
      <c r="AN60" s="2014"/>
      <c r="AO60" s="2014"/>
      <c r="AP60" s="2014"/>
      <c r="AQ60" s="2014"/>
      <c r="AR60" s="2014"/>
      <c r="AS60" s="2014"/>
      <c r="AT60" s="2014"/>
      <c r="AU60" s="2014"/>
      <c r="AV60" s="2014"/>
      <c r="AW60" s="2014"/>
      <c r="AX60" s="2014"/>
      <c r="AY60" s="2014"/>
      <c r="AZ60" s="2014"/>
      <c r="BA60" s="2014"/>
      <c r="BB60" s="2014"/>
      <c r="BC60" s="2014"/>
      <c r="BD60" s="2014"/>
      <c r="BE60" s="2014"/>
      <c r="BF60" s="2014"/>
      <c r="BG60" s="2014"/>
      <c r="BH60" s="2014"/>
      <c r="BI60" s="2014"/>
      <c r="BJ60" s="2014"/>
      <c r="BK60" s="2014"/>
      <c r="BL60" s="2014"/>
      <c r="BM60" s="2014"/>
      <c r="BN60" s="2014"/>
      <c r="BO60" s="2037"/>
      <c r="BP60" s="1862"/>
    </row>
    <row r="61" spans="1:68" ht="20.100000000000001" customHeight="1">
      <c r="A61" s="1845">
        <v>64</v>
      </c>
      <c r="B61" s="2036"/>
      <c r="C61" s="1847"/>
      <c r="D61" s="1864" t="s">
        <v>956</v>
      </c>
      <c r="E61" s="1858" t="str">
        <f ca="1">OFFSET(A1_その他欄集計,9,7)</f>
        <v/>
      </c>
      <c r="F61" s="1860"/>
      <c r="G61" s="2010" t="s">
        <v>0</v>
      </c>
      <c r="H61" s="2011">
        <f t="shared" ca="1" si="16"/>
        <v>0</v>
      </c>
      <c r="I61" s="2011">
        <f t="shared" ca="1" si="17"/>
        <v>0</v>
      </c>
      <c r="J61" s="2011">
        <f t="shared" ca="1" si="18"/>
        <v>0</v>
      </c>
      <c r="K61" s="2011">
        <f t="shared" ca="1" si="19"/>
        <v>0</v>
      </c>
      <c r="L61" s="2012">
        <f t="shared" ca="1" si="20"/>
        <v>0</v>
      </c>
      <c r="M61" s="2012">
        <f t="shared" ca="1" si="21"/>
        <v>0</v>
      </c>
      <c r="N61" s="2012">
        <f t="shared" ca="1" si="22"/>
        <v>0</v>
      </c>
      <c r="O61" s="2012">
        <f t="shared" ca="1" si="23"/>
        <v>0</v>
      </c>
      <c r="P61" s="2013">
        <f ca="1">SUM(SUMIFS(OFFSET(貼付け_2024実績,$A61,9,1,199),OFFSET(貼付け_2024実績,4,9,1,199),{"横浜*","川崎*"}))</f>
        <v>0</v>
      </c>
      <c r="Q61" s="2013">
        <f ca="1">SUM(SUMIFS(OFFSET(貼付け_2025実績,$A61,9,1,199),OFFSET(貼付け_2025実績,4,9,1,199),{"横浜*","川崎*"}))</f>
        <v>0</v>
      </c>
      <c r="R61" s="2013">
        <f ca="1">SUM(SUMIFS(OFFSET(貼付け_2026実績,$A61,9,1,199),OFFSET(貼付け_2026実績,4,9,1,199),{"横浜*","川崎*"}))</f>
        <v>0</v>
      </c>
      <c r="S61" s="2013">
        <f ca="1">SUM(SUMIFS(OFFSET(貼付け_2027実績,$A61,9,1,199),OFFSET(貼付け_2027実績,4,9,1,199),{"横浜*","川崎*"}))</f>
        <v>0</v>
      </c>
      <c r="T61" s="2012">
        <f t="shared" ca="1" si="24"/>
        <v>0</v>
      </c>
      <c r="U61" s="2012">
        <f t="shared" ca="1" si="25"/>
        <v>0</v>
      </c>
      <c r="V61" s="2012">
        <f t="shared" ca="1" si="26"/>
        <v>0</v>
      </c>
      <c r="W61" s="2012">
        <f t="shared" ca="1" si="27"/>
        <v>0</v>
      </c>
      <c r="X61" s="2014">
        <f t="shared" ca="1" si="28"/>
        <v>0</v>
      </c>
      <c r="Y61" s="2014">
        <f t="shared" ca="1" si="29"/>
        <v>0</v>
      </c>
      <c r="Z61" s="2014">
        <f t="shared" ca="1" si="30"/>
        <v>0</v>
      </c>
      <c r="AA61" s="2014">
        <f t="shared" ca="1" si="31"/>
        <v>0</v>
      </c>
      <c r="AB61" s="2014"/>
      <c r="AC61" s="2014"/>
      <c r="AD61" s="2014"/>
      <c r="AE61" s="2014"/>
      <c r="AF61" s="2014"/>
      <c r="AG61" s="2014"/>
      <c r="AH61" s="2014"/>
      <c r="AI61" s="2014"/>
      <c r="AJ61" s="2014"/>
      <c r="AK61" s="2014"/>
      <c r="AL61" s="2014"/>
      <c r="AM61" s="2014"/>
      <c r="AN61" s="2014"/>
      <c r="AO61" s="2014"/>
      <c r="AP61" s="2014"/>
      <c r="AQ61" s="2014"/>
      <c r="AR61" s="2014"/>
      <c r="AS61" s="2014"/>
      <c r="AT61" s="2014"/>
      <c r="AU61" s="2014"/>
      <c r="AV61" s="2014"/>
      <c r="AW61" s="2014"/>
      <c r="AX61" s="2014"/>
      <c r="AY61" s="2014"/>
      <c r="AZ61" s="2014"/>
      <c r="BA61" s="2014"/>
      <c r="BB61" s="2014"/>
      <c r="BC61" s="2014"/>
      <c r="BD61" s="2014"/>
      <c r="BE61" s="2014"/>
      <c r="BF61" s="2014"/>
      <c r="BG61" s="2014"/>
      <c r="BH61" s="2014"/>
      <c r="BI61" s="2014"/>
      <c r="BJ61" s="2014"/>
      <c r="BK61" s="2014"/>
      <c r="BL61" s="2014"/>
      <c r="BM61" s="2014"/>
      <c r="BN61" s="2014"/>
      <c r="BO61" s="2037"/>
      <c r="BP61" s="1862"/>
    </row>
    <row r="62" spans="1:68" ht="20.100000000000001" customHeight="1">
      <c r="A62" s="1845">
        <v>66</v>
      </c>
      <c r="B62" s="2036"/>
      <c r="C62" s="1847" t="s">
        <v>957</v>
      </c>
      <c r="D62" s="1975" t="s">
        <v>958</v>
      </c>
      <c r="E62" s="1848"/>
      <c r="F62" s="1863"/>
      <c r="G62" s="2010" t="s">
        <v>0</v>
      </c>
      <c r="H62" s="2011">
        <f t="shared" ca="1" si="16"/>
        <v>0</v>
      </c>
      <c r="I62" s="2011">
        <f t="shared" ca="1" si="17"/>
        <v>0</v>
      </c>
      <c r="J62" s="2011">
        <f t="shared" ca="1" si="18"/>
        <v>0</v>
      </c>
      <c r="K62" s="2011">
        <f t="shared" ca="1" si="19"/>
        <v>0</v>
      </c>
      <c r="L62" s="2012">
        <f t="shared" ca="1" si="20"/>
        <v>0</v>
      </c>
      <c r="M62" s="2012">
        <f t="shared" ca="1" si="21"/>
        <v>0</v>
      </c>
      <c r="N62" s="2012">
        <f t="shared" ca="1" si="22"/>
        <v>0</v>
      </c>
      <c r="O62" s="2012">
        <f t="shared" ca="1" si="23"/>
        <v>0</v>
      </c>
      <c r="P62" s="2013">
        <f ca="1">SUM(SUMIFS(OFFSET(貼付け_2024実績,$A62,9,1,199),OFFSET(貼付け_2024実績,4,9,1,199),{"横浜*","川崎*"}))</f>
        <v>0</v>
      </c>
      <c r="Q62" s="2013">
        <f ca="1">SUM(SUMIFS(OFFSET(貼付け_2025実績,$A62,9,1,199),OFFSET(貼付け_2025実績,4,9,1,199),{"横浜*","川崎*"}))</f>
        <v>0</v>
      </c>
      <c r="R62" s="2013">
        <f ca="1">SUM(SUMIFS(OFFSET(貼付け_2026実績,$A62,9,1,199),OFFSET(貼付け_2026実績,4,9,1,199),{"横浜*","川崎*"}))</f>
        <v>0</v>
      </c>
      <c r="S62" s="2013">
        <f ca="1">SUM(SUMIFS(OFFSET(貼付け_2027実績,$A62,9,1,199),OFFSET(貼付け_2027実績,4,9,1,199),{"横浜*","川崎*"}))</f>
        <v>0</v>
      </c>
      <c r="T62" s="2012">
        <f t="shared" ca="1" si="24"/>
        <v>0</v>
      </c>
      <c r="U62" s="2012">
        <f t="shared" ca="1" si="25"/>
        <v>0</v>
      </c>
      <c r="V62" s="2012">
        <f t="shared" ca="1" si="26"/>
        <v>0</v>
      </c>
      <c r="W62" s="2012">
        <f t="shared" ca="1" si="27"/>
        <v>0</v>
      </c>
      <c r="X62" s="2014">
        <f t="shared" ca="1" si="28"/>
        <v>0</v>
      </c>
      <c r="Y62" s="2014">
        <f t="shared" ca="1" si="29"/>
        <v>0</v>
      </c>
      <c r="Z62" s="2014">
        <f t="shared" ca="1" si="30"/>
        <v>0</v>
      </c>
      <c r="AA62" s="2014">
        <f t="shared" ca="1" si="31"/>
        <v>0</v>
      </c>
      <c r="AB62" s="2014"/>
      <c r="AC62" s="2014"/>
      <c r="AD62" s="2014"/>
      <c r="AE62" s="2014"/>
      <c r="AF62" s="2014"/>
      <c r="AG62" s="2014"/>
      <c r="AH62" s="2014"/>
      <c r="AI62" s="2014"/>
      <c r="AJ62" s="2014"/>
      <c r="AK62" s="2014"/>
      <c r="AL62" s="2014"/>
      <c r="AM62" s="2014"/>
      <c r="AN62" s="2014"/>
      <c r="AO62" s="2014"/>
      <c r="AP62" s="2014"/>
      <c r="AQ62" s="2014"/>
      <c r="AR62" s="2014"/>
      <c r="AS62" s="2014"/>
      <c r="AT62" s="2014"/>
      <c r="AU62" s="2014"/>
      <c r="AV62" s="2014"/>
      <c r="AW62" s="2014"/>
      <c r="AX62" s="2014"/>
      <c r="AY62" s="2014"/>
      <c r="AZ62" s="2014"/>
      <c r="BA62" s="2014"/>
      <c r="BB62" s="2014"/>
      <c r="BC62" s="2014"/>
      <c r="BD62" s="2014"/>
      <c r="BE62" s="2014"/>
      <c r="BF62" s="2014"/>
      <c r="BG62" s="2014"/>
      <c r="BH62" s="2014"/>
      <c r="BI62" s="2014"/>
      <c r="BJ62" s="2014"/>
      <c r="BK62" s="2014"/>
      <c r="BL62" s="2014"/>
      <c r="BM62" s="2014"/>
      <c r="BN62" s="2014"/>
      <c r="BO62" s="2037"/>
      <c r="BP62" s="1862"/>
    </row>
    <row r="63" spans="1:68" ht="20.100000000000001" customHeight="1">
      <c r="A63" s="1845">
        <v>67</v>
      </c>
      <c r="B63" s="2036"/>
      <c r="C63" s="1847"/>
      <c r="D63" s="1975" t="s">
        <v>959</v>
      </c>
      <c r="E63" s="1848"/>
      <c r="F63" s="1863"/>
      <c r="G63" s="2010" t="s">
        <v>0</v>
      </c>
      <c r="H63" s="2011">
        <f t="shared" ca="1" si="16"/>
        <v>0</v>
      </c>
      <c r="I63" s="2011">
        <f t="shared" ca="1" si="17"/>
        <v>0</v>
      </c>
      <c r="J63" s="2011">
        <f t="shared" ca="1" si="18"/>
        <v>0</v>
      </c>
      <c r="K63" s="2011">
        <f t="shared" ca="1" si="19"/>
        <v>0</v>
      </c>
      <c r="L63" s="2012">
        <f t="shared" ca="1" si="20"/>
        <v>0</v>
      </c>
      <c r="M63" s="2012">
        <f t="shared" ca="1" si="21"/>
        <v>0</v>
      </c>
      <c r="N63" s="2012">
        <f t="shared" ca="1" si="22"/>
        <v>0</v>
      </c>
      <c r="O63" s="2012">
        <f t="shared" ca="1" si="23"/>
        <v>0</v>
      </c>
      <c r="P63" s="2013">
        <f ca="1">SUM(SUMIFS(OFFSET(貼付け_2024実績,$A63,9,1,199),OFFSET(貼付け_2024実績,4,9,1,199),{"横浜*","川崎*"}))</f>
        <v>0</v>
      </c>
      <c r="Q63" s="2013">
        <f ca="1">SUM(SUMIFS(OFFSET(貼付け_2025実績,$A63,9,1,199),OFFSET(貼付け_2025実績,4,9,1,199),{"横浜*","川崎*"}))</f>
        <v>0</v>
      </c>
      <c r="R63" s="2013">
        <f ca="1">SUM(SUMIFS(OFFSET(貼付け_2026実績,$A63,9,1,199),OFFSET(貼付け_2026実績,4,9,1,199),{"横浜*","川崎*"}))</f>
        <v>0</v>
      </c>
      <c r="S63" s="2013">
        <f ca="1">SUM(SUMIFS(OFFSET(貼付け_2027実績,$A63,9,1,199),OFFSET(貼付け_2027実績,4,9,1,199),{"横浜*","川崎*"}))</f>
        <v>0</v>
      </c>
      <c r="T63" s="2012">
        <f t="shared" ca="1" si="24"/>
        <v>0</v>
      </c>
      <c r="U63" s="2012">
        <f t="shared" ca="1" si="25"/>
        <v>0</v>
      </c>
      <c r="V63" s="2012">
        <f t="shared" ca="1" si="26"/>
        <v>0</v>
      </c>
      <c r="W63" s="2012">
        <f t="shared" ca="1" si="27"/>
        <v>0</v>
      </c>
      <c r="X63" s="2014">
        <f t="shared" ca="1" si="28"/>
        <v>0</v>
      </c>
      <c r="Y63" s="2014">
        <f t="shared" ca="1" si="29"/>
        <v>0</v>
      </c>
      <c r="Z63" s="2014">
        <f t="shared" ca="1" si="30"/>
        <v>0</v>
      </c>
      <c r="AA63" s="2014">
        <f t="shared" ca="1" si="31"/>
        <v>0</v>
      </c>
      <c r="AB63" s="2014"/>
      <c r="AC63" s="2014"/>
      <c r="AD63" s="2014"/>
      <c r="AE63" s="2014"/>
      <c r="AF63" s="2014"/>
      <c r="AG63" s="2014"/>
      <c r="AH63" s="2014"/>
      <c r="AI63" s="2014"/>
      <c r="AJ63" s="2014"/>
      <c r="AK63" s="2014"/>
      <c r="AL63" s="2014"/>
      <c r="AM63" s="2014"/>
      <c r="AN63" s="2014"/>
      <c r="AO63" s="2014"/>
      <c r="AP63" s="2014"/>
      <c r="AQ63" s="2014"/>
      <c r="AR63" s="2014"/>
      <c r="AS63" s="2014"/>
      <c r="AT63" s="2014"/>
      <c r="AU63" s="2014"/>
      <c r="AV63" s="2014"/>
      <c r="AW63" s="2014"/>
      <c r="AX63" s="2014"/>
      <c r="AY63" s="2014"/>
      <c r="AZ63" s="2014"/>
      <c r="BA63" s="2014"/>
      <c r="BB63" s="2014"/>
      <c r="BC63" s="2014"/>
      <c r="BD63" s="2014"/>
      <c r="BE63" s="2014"/>
      <c r="BF63" s="2014"/>
      <c r="BG63" s="2014"/>
      <c r="BH63" s="2014"/>
      <c r="BI63" s="2014"/>
      <c r="BJ63" s="2014"/>
      <c r="BK63" s="2014"/>
      <c r="BL63" s="2014"/>
      <c r="BM63" s="2014"/>
      <c r="BN63" s="2014"/>
      <c r="BO63" s="2037"/>
      <c r="BP63" s="1862"/>
    </row>
    <row r="64" spans="1:68" ht="20.100000000000001" customHeight="1">
      <c r="A64" s="1845">
        <v>68</v>
      </c>
      <c r="B64" s="2036"/>
      <c r="C64" s="1847"/>
      <c r="D64" s="1975" t="s">
        <v>960</v>
      </c>
      <c r="E64" s="1848"/>
      <c r="F64" s="1863"/>
      <c r="G64" s="2010" t="s">
        <v>0</v>
      </c>
      <c r="H64" s="2011">
        <f t="shared" ca="1" si="16"/>
        <v>0</v>
      </c>
      <c r="I64" s="2011">
        <f t="shared" ca="1" si="17"/>
        <v>0</v>
      </c>
      <c r="J64" s="2011">
        <f t="shared" ca="1" si="18"/>
        <v>0</v>
      </c>
      <c r="K64" s="2011">
        <f t="shared" ca="1" si="19"/>
        <v>0</v>
      </c>
      <c r="L64" s="2012">
        <f t="shared" ca="1" si="20"/>
        <v>0</v>
      </c>
      <c r="M64" s="2012">
        <f t="shared" ca="1" si="21"/>
        <v>0</v>
      </c>
      <c r="N64" s="2012">
        <f t="shared" ca="1" si="22"/>
        <v>0</v>
      </c>
      <c r="O64" s="2012">
        <f t="shared" ca="1" si="23"/>
        <v>0</v>
      </c>
      <c r="P64" s="2013">
        <f ca="1">SUM(SUMIFS(OFFSET(貼付け_2024実績,$A64,9,1,199),OFFSET(貼付け_2024実績,4,9,1,199),{"横浜*","川崎*"}))</f>
        <v>0</v>
      </c>
      <c r="Q64" s="2013">
        <f ca="1">SUM(SUMIFS(OFFSET(貼付け_2025実績,$A64,9,1,199),OFFSET(貼付け_2025実績,4,9,1,199),{"横浜*","川崎*"}))</f>
        <v>0</v>
      </c>
      <c r="R64" s="2013">
        <f ca="1">SUM(SUMIFS(OFFSET(貼付け_2026実績,$A64,9,1,199),OFFSET(貼付け_2026実績,4,9,1,199),{"横浜*","川崎*"}))</f>
        <v>0</v>
      </c>
      <c r="S64" s="2013">
        <f ca="1">SUM(SUMIFS(OFFSET(貼付け_2027実績,$A64,9,1,199),OFFSET(貼付け_2027実績,4,9,1,199),{"横浜*","川崎*"}))</f>
        <v>0</v>
      </c>
      <c r="T64" s="2012">
        <f t="shared" ca="1" si="24"/>
        <v>0</v>
      </c>
      <c r="U64" s="2012">
        <f t="shared" ca="1" si="25"/>
        <v>0</v>
      </c>
      <c r="V64" s="2012">
        <f t="shared" ca="1" si="26"/>
        <v>0</v>
      </c>
      <c r="W64" s="2012">
        <f t="shared" ca="1" si="27"/>
        <v>0</v>
      </c>
      <c r="X64" s="2014">
        <f t="shared" ca="1" si="28"/>
        <v>0</v>
      </c>
      <c r="Y64" s="2014">
        <f t="shared" ca="1" si="29"/>
        <v>0</v>
      </c>
      <c r="Z64" s="2014">
        <f t="shared" ca="1" si="30"/>
        <v>0</v>
      </c>
      <c r="AA64" s="2014">
        <f t="shared" ca="1" si="31"/>
        <v>0</v>
      </c>
      <c r="AB64" s="2014"/>
      <c r="AC64" s="2014"/>
      <c r="AD64" s="2014"/>
      <c r="AE64" s="2014"/>
      <c r="AF64" s="2014"/>
      <c r="AG64" s="2014"/>
      <c r="AH64" s="2014"/>
      <c r="AI64" s="2014"/>
      <c r="AJ64" s="2014"/>
      <c r="AK64" s="2014"/>
      <c r="AL64" s="2014"/>
      <c r="AM64" s="2014"/>
      <c r="AN64" s="2014"/>
      <c r="AO64" s="2014"/>
      <c r="AP64" s="2014"/>
      <c r="AQ64" s="2014"/>
      <c r="AR64" s="2014"/>
      <c r="AS64" s="2014"/>
      <c r="AT64" s="2014"/>
      <c r="AU64" s="2014"/>
      <c r="AV64" s="2014"/>
      <c r="AW64" s="2014"/>
      <c r="AX64" s="2014"/>
      <c r="AY64" s="2014"/>
      <c r="AZ64" s="2014"/>
      <c r="BA64" s="2014"/>
      <c r="BB64" s="2014"/>
      <c r="BC64" s="2014"/>
      <c r="BD64" s="2014"/>
      <c r="BE64" s="2014"/>
      <c r="BF64" s="2014"/>
      <c r="BG64" s="2014"/>
      <c r="BH64" s="2014"/>
      <c r="BI64" s="2014"/>
      <c r="BJ64" s="2014"/>
      <c r="BK64" s="2014"/>
      <c r="BL64" s="2014"/>
      <c r="BM64" s="2014"/>
      <c r="BN64" s="2014"/>
      <c r="BO64" s="2037"/>
      <c r="BP64" s="1862"/>
    </row>
    <row r="65" spans="1:68" ht="20.100000000000001" customHeight="1">
      <c r="A65" s="1845">
        <v>69</v>
      </c>
      <c r="B65" s="2036"/>
      <c r="C65" s="1847"/>
      <c r="D65" s="1975" t="s">
        <v>961</v>
      </c>
      <c r="E65" s="1848"/>
      <c r="F65" s="1863"/>
      <c r="G65" s="2010" t="s">
        <v>0</v>
      </c>
      <c r="H65" s="2011">
        <f t="shared" ca="1" si="16"/>
        <v>0</v>
      </c>
      <c r="I65" s="2011">
        <f t="shared" ca="1" si="17"/>
        <v>0</v>
      </c>
      <c r="J65" s="2011">
        <f t="shared" ca="1" si="18"/>
        <v>0</v>
      </c>
      <c r="K65" s="2011">
        <f t="shared" ca="1" si="19"/>
        <v>0</v>
      </c>
      <c r="L65" s="2012">
        <f t="shared" ca="1" si="20"/>
        <v>0</v>
      </c>
      <c r="M65" s="2012">
        <f t="shared" ca="1" si="21"/>
        <v>0</v>
      </c>
      <c r="N65" s="2012">
        <f t="shared" ca="1" si="22"/>
        <v>0</v>
      </c>
      <c r="O65" s="2012">
        <f t="shared" ca="1" si="23"/>
        <v>0</v>
      </c>
      <c r="P65" s="2013">
        <f ca="1">SUM(SUMIFS(OFFSET(貼付け_2024実績,$A65,9,1,199),OFFSET(貼付け_2024実績,4,9,1,199),{"横浜*","川崎*"}))</f>
        <v>0</v>
      </c>
      <c r="Q65" s="2013">
        <f ca="1">SUM(SUMIFS(OFFSET(貼付け_2025実績,$A65,9,1,199),OFFSET(貼付け_2025実績,4,9,1,199),{"横浜*","川崎*"}))</f>
        <v>0</v>
      </c>
      <c r="R65" s="2013">
        <f ca="1">SUM(SUMIFS(OFFSET(貼付け_2026実績,$A65,9,1,199),OFFSET(貼付け_2026実績,4,9,1,199),{"横浜*","川崎*"}))</f>
        <v>0</v>
      </c>
      <c r="S65" s="2013">
        <f ca="1">SUM(SUMIFS(OFFSET(貼付け_2027実績,$A65,9,1,199),OFFSET(貼付け_2027実績,4,9,1,199),{"横浜*","川崎*"}))</f>
        <v>0</v>
      </c>
      <c r="T65" s="2012">
        <f t="shared" ca="1" si="24"/>
        <v>0</v>
      </c>
      <c r="U65" s="2012">
        <f t="shared" ca="1" si="25"/>
        <v>0</v>
      </c>
      <c r="V65" s="2012">
        <f t="shared" ca="1" si="26"/>
        <v>0</v>
      </c>
      <c r="W65" s="2012">
        <f t="shared" ca="1" si="27"/>
        <v>0</v>
      </c>
      <c r="X65" s="2014">
        <f t="shared" ca="1" si="28"/>
        <v>0</v>
      </c>
      <c r="Y65" s="2014">
        <f t="shared" ca="1" si="29"/>
        <v>0</v>
      </c>
      <c r="Z65" s="2014">
        <f t="shared" ca="1" si="30"/>
        <v>0</v>
      </c>
      <c r="AA65" s="2014">
        <f t="shared" ca="1" si="31"/>
        <v>0</v>
      </c>
      <c r="AB65" s="2014"/>
      <c r="AC65" s="2014"/>
      <c r="AD65" s="2014"/>
      <c r="AE65" s="2014"/>
      <c r="AF65" s="2014"/>
      <c r="AG65" s="2014"/>
      <c r="AH65" s="2014"/>
      <c r="AI65" s="2014"/>
      <c r="AJ65" s="2014"/>
      <c r="AK65" s="2014"/>
      <c r="AL65" s="2014"/>
      <c r="AM65" s="2014"/>
      <c r="AN65" s="2014"/>
      <c r="AO65" s="2014"/>
      <c r="AP65" s="2014"/>
      <c r="AQ65" s="2014"/>
      <c r="AR65" s="2014"/>
      <c r="AS65" s="2014"/>
      <c r="AT65" s="2014"/>
      <c r="AU65" s="2014"/>
      <c r="AV65" s="2014"/>
      <c r="AW65" s="2014"/>
      <c r="AX65" s="2014"/>
      <c r="AY65" s="2014"/>
      <c r="AZ65" s="2014"/>
      <c r="BA65" s="2014"/>
      <c r="BB65" s="2014"/>
      <c r="BC65" s="2014"/>
      <c r="BD65" s="2014"/>
      <c r="BE65" s="2014"/>
      <c r="BF65" s="2014"/>
      <c r="BG65" s="2014"/>
      <c r="BH65" s="2014"/>
      <c r="BI65" s="2014"/>
      <c r="BJ65" s="2014"/>
      <c r="BK65" s="2014"/>
      <c r="BL65" s="2014"/>
      <c r="BM65" s="2014"/>
      <c r="BN65" s="2014"/>
      <c r="BO65" s="2037"/>
      <c r="BP65" s="1862"/>
    </row>
    <row r="66" spans="1:68" ht="20.100000000000001" customHeight="1">
      <c r="A66" s="1845">
        <v>70</v>
      </c>
      <c r="B66" s="2036"/>
      <c r="C66" s="1847"/>
      <c r="D66" s="1869" t="s">
        <v>962</v>
      </c>
      <c r="E66" s="1858" t="str">
        <f ca="1">OFFSET(A1_その他欄集計,10,7)</f>
        <v/>
      </c>
      <c r="F66" s="1860"/>
      <c r="G66" s="2010" t="s">
        <v>0</v>
      </c>
      <c r="H66" s="2011">
        <f t="shared" ca="1" si="16"/>
        <v>0</v>
      </c>
      <c r="I66" s="2011">
        <f t="shared" ca="1" si="17"/>
        <v>0</v>
      </c>
      <c r="J66" s="2011">
        <f t="shared" ca="1" si="18"/>
        <v>0</v>
      </c>
      <c r="K66" s="2011">
        <f t="shared" ca="1" si="19"/>
        <v>0</v>
      </c>
      <c r="L66" s="2012">
        <f t="shared" ca="1" si="20"/>
        <v>0</v>
      </c>
      <c r="M66" s="2012">
        <f t="shared" ca="1" si="21"/>
        <v>0</v>
      </c>
      <c r="N66" s="2012">
        <f t="shared" ca="1" si="22"/>
        <v>0</v>
      </c>
      <c r="O66" s="2012">
        <f t="shared" ca="1" si="23"/>
        <v>0</v>
      </c>
      <c r="P66" s="2013">
        <f ca="1">SUM(SUMIFS(OFFSET(貼付け_2024実績,$A66,9,1,199),OFFSET(貼付け_2024実績,4,9,1,199),{"横浜*","川崎*"}))</f>
        <v>0</v>
      </c>
      <c r="Q66" s="2013">
        <f ca="1">SUM(SUMIFS(OFFSET(貼付け_2025実績,$A66,9,1,199),OFFSET(貼付け_2025実績,4,9,1,199),{"横浜*","川崎*"}))</f>
        <v>0</v>
      </c>
      <c r="R66" s="2013">
        <f ca="1">SUM(SUMIFS(OFFSET(貼付け_2026実績,$A66,9,1,199),OFFSET(貼付け_2026実績,4,9,1,199),{"横浜*","川崎*"}))</f>
        <v>0</v>
      </c>
      <c r="S66" s="2013">
        <f ca="1">SUM(SUMIFS(OFFSET(貼付け_2027実績,$A66,9,1,199),OFFSET(貼付け_2027実績,4,9,1,199),{"横浜*","川崎*"}))</f>
        <v>0</v>
      </c>
      <c r="T66" s="2012">
        <f t="shared" ca="1" si="24"/>
        <v>0</v>
      </c>
      <c r="U66" s="2012">
        <f t="shared" ca="1" si="25"/>
        <v>0</v>
      </c>
      <c r="V66" s="2012">
        <f t="shared" ca="1" si="26"/>
        <v>0</v>
      </c>
      <c r="W66" s="2012">
        <f t="shared" ca="1" si="27"/>
        <v>0</v>
      </c>
      <c r="X66" s="2014">
        <f t="shared" ca="1" si="28"/>
        <v>0</v>
      </c>
      <c r="Y66" s="2014">
        <f t="shared" ca="1" si="29"/>
        <v>0</v>
      </c>
      <c r="Z66" s="2014">
        <f t="shared" ca="1" si="30"/>
        <v>0</v>
      </c>
      <c r="AA66" s="2014">
        <f t="shared" ca="1" si="31"/>
        <v>0</v>
      </c>
      <c r="AB66" s="2014"/>
      <c r="AC66" s="2014"/>
      <c r="AD66" s="2014"/>
      <c r="AE66" s="2014"/>
      <c r="AF66" s="2014"/>
      <c r="AG66" s="2014"/>
      <c r="AH66" s="2014"/>
      <c r="AI66" s="2014"/>
      <c r="AJ66" s="2014"/>
      <c r="AK66" s="2014"/>
      <c r="AL66" s="2014"/>
      <c r="AM66" s="2014"/>
      <c r="AN66" s="2014"/>
      <c r="AO66" s="2014"/>
      <c r="AP66" s="2014"/>
      <c r="AQ66" s="2014"/>
      <c r="AR66" s="2014"/>
      <c r="AS66" s="2014"/>
      <c r="AT66" s="2014"/>
      <c r="AU66" s="2014"/>
      <c r="AV66" s="2014"/>
      <c r="AW66" s="2014"/>
      <c r="AX66" s="2014"/>
      <c r="AY66" s="2014"/>
      <c r="AZ66" s="2014"/>
      <c r="BA66" s="2014"/>
      <c r="BB66" s="2014"/>
      <c r="BC66" s="2014"/>
      <c r="BD66" s="2014"/>
      <c r="BE66" s="2014"/>
      <c r="BF66" s="2014"/>
      <c r="BG66" s="2014"/>
      <c r="BH66" s="2014"/>
      <c r="BI66" s="2014"/>
      <c r="BJ66" s="2014"/>
      <c r="BK66" s="2014"/>
      <c r="BL66" s="2014"/>
      <c r="BM66" s="2014"/>
      <c r="BN66" s="2014"/>
      <c r="BO66" s="2037"/>
      <c r="BP66" s="1862"/>
    </row>
    <row r="67" spans="1:68" ht="20.100000000000001" customHeight="1" thickBot="1">
      <c r="A67" s="1845">
        <v>71</v>
      </c>
      <c r="B67" s="2038"/>
      <c r="C67" s="2039"/>
      <c r="D67" s="2040" t="s">
        <v>963</v>
      </c>
      <c r="E67" s="2041" t="str">
        <f ca="1">OFFSET(A1_その他欄集計,11,7)</f>
        <v/>
      </c>
      <c r="F67" s="2042"/>
      <c r="G67" s="2043" t="s">
        <v>0</v>
      </c>
      <c r="H67" s="2044">
        <f t="shared" ca="1" si="16"/>
        <v>0</v>
      </c>
      <c r="I67" s="2044">
        <f t="shared" ca="1" si="17"/>
        <v>0</v>
      </c>
      <c r="J67" s="2044">
        <f t="shared" ca="1" si="18"/>
        <v>0</v>
      </c>
      <c r="K67" s="2044">
        <f t="shared" ca="1" si="19"/>
        <v>0</v>
      </c>
      <c r="L67" s="2045">
        <f t="shared" ca="1" si="20"/>
        <v>0</v>
      </c>
      <c r="M67" s="2045">
        <f t="shared" ca="1" si="21"/>
        <v>0</v>
      </c>
      <c r="N67" s="2045">
        <f t="shared" ca="1" si="22"/>
        <v>0</v>
      </c>
      <c r="O67" s="2045">
        <f t="shared" ca="1" si="23"/>
        <v>0</v>
      </c>
      <c r="P67" s="2046">
        <f ca="1">SUM(SUMIFS(OFFSET(貼付け_2024実績,$A67,9,1,199),OFFSET(貼付け_2024実績,4,9,1,199),{"横浜*","川崎*"}))</f>
        <v>0</v>
      </c>
      <c r="Q67" s="2046">
        <f ca="1">SUM(SUMIFS(OFFSET(貼付け_2025実績,$A67,9,1,199),OFFSET(貼付け_2025実績,4,9,1,199),{"横浜*","川崎*"}))</f>
        <v>0</v>
      </c>
      <c r="R67" s="2046">
        <f ca="1">SUM(SUMIFS(OFFSET(貼付け_2026実績,$A67,9,1,199),OFFSET(貼付け_2026実績,4,9,1,199),{"横浜*","川崎*"}))</f>
        <v>0</v>
      </c>
      <c r="S67" s="2046">
        <f ca="1">SUM(SUMIFS(OFFSET(貼付け_2027実績,$A67,9,1,199),OFFSET(貼付け_2027実績,4,9,1,199),{"横浜*","川崎*"}))</f>
        <v>0</v>
      </c>
      <c r="T67" s="2045">
        <f t="shared" ca="1" si="24"/>
        <v>0</v>
      </c>
      <c r="U67" s="2045">
        <f t="shared" ca="1" si="25"/>
        <v>0</v>
      </c>
      <c r="V67" s="2045">
        <f t="shared" ca="1" si="26"/>
        <v>0</v>
      </c>
      <c r="W67" s="2045">
        <f t="shared" ca="1" si="27"/>
        <v>0</v>
      </c>
      <c r="X67" s="2047">
        <f t="shared" ca="1" si="28"/>
        <v>0</v>
      </c>
      <c r="Y67" s="2047">
        <f t="shared" ca="1" si="29"/>
        <v>0</v>
      </c>
      <c r="Z67" s="2047">
        <f t="shared" ca="1" si="30"/>
        <v>0</v>
      </c>
      <c r="AA67" s="2047">
        <f t="shared" ca="1" si="31"/>
        <v>0</v>
      </c>
      <c r="AB67" s="2047"/>
      <c r="AC67" s="2047"/>
      <c r="AD67" s="2047"/>
      <c r="AE67" s="2047"/>
      <c r="AF67" s="2047"/>
      <c r="AG67" s="2047"/>
      <c r="AH67" s="2047"/>
      <c r="AI67" s="2047"/>
      <c r="AJ67" s="2047"/>
      <c r="AK67" s="2047"/>
      <c r="AL67" s="2047"/>
      <c r="AM67" s="2047"/>
      <c r="AN67" s="2047"/>
      <c r="AO67" s="2047"/>
      <c r="AP67" s="2047"/>
      <c r="AQ67" s="2047"/>
      <c r="AR67" s="2047"/>
      <c r="AS67" s="2047"/>
      <c r="AT67" s="2047"/>
      <c r="AU67" s="2047"/>
      <c r="AV67" s="2047"/>
      <c r="AW67" s="2047"/>
      <c r="AX67" s="2047"/>
      <c r="AY67" s="2047"/>
      <c r="AZ67" s="2047"/>
      <c r="BA67" s="2047"/>
      <c r="BB67" s="2047"/>
      <c r="BC67" s="2047"/>
      <c r="BD67" s="2047"/>
      <c r="BE67" s="2047"/>
      <c r="BF67" s="2047"/>
      <c r="BG67" s="2047"/>
      <c r="BH67" s="2047"/>
      <c r="BI67" s="2047"/>
      <c r="BJ67" s="2047"/>
      <c r="BK67" s="2047"/>
      <c r="BL67" s="2047"/>
      <c r="BM67" s="2047"/>
      <c r="BN67" s="2047"/>
      <c r="BO67" s="2048"/>
      <c r="BP67" s="1862"/>
    </row>
    <row r="68" spans="1:68" ht="20.100000000000001" customHeight="1">
      <c r="A68" s="1845">
        <v>72</v>
      </c>
      <c r="B68" s="1854" t="s">
        <v>964</v>
      </c>
      <c r="C68" s="2049" t="s">
        <v>965</v>
      </c>
      <c r="D68" s="2050"/>
      <c r="E68" s="2051"/>
      <c r="F68" s="1916"/>
      <c r="G68" s="2052" t="s">
        <v>966</v>
      </c>
      <c r="H68" s="2053">
        <f t="shared" ca="1" si="16"/>
        <v>8.64</v>
      </c>
      <c r="I68" s="2053">
        <f t="shared" ca="1" si="17"/>
        <v>8.64</v>
      </c>
      <c r="J68" s="2053">
        <f t="shared" ca="1" si="18"/>
        <v>8.64</v>
      </c>
      <c r="K68" s="2053">
        <f t="shared" ca="1" si="19"/>
        <v>8.64</v>
      </c>
      <c r="L68" s="2054">
        <f t="shared" ca="1" si="20"/>
        <v>0</v>
      </c>
      <c r="M68" s="2054">
        <f t="shared" ca="1" si="21"/>
        <v>0</v>
      </c>
      <c r="N68" s="2054">
        <f t="shared" ca="1" si="22"/>
        <v>0</v>
      </c>
      <c r="O68" s="2054">
        <f t="shared" ca="1" si="23"/>
        <v>0</v>
      </c>
      <c r="P68" s="2055">
        <f ca="1">SUM(SUMIFS(OFFSET(貼付け_2024実績,$A68,9,1,199),OFFSET(貼付け_2024実績,4,9,1,199),{"横浜*","川崎*"}))</f>
        <v>0</v>
      </c>
      <c r="Q68" s="2055">
        <f ca="1">SUM(SUMIFS(OFFSET(貼付け_2025実績,$A68,9,1,199),OFFSET(貼付け_2025実績,4,9,1,199),{"横浜*","川崎*"}))</f>
        <v>0</v>
      </c>
      <c r="R68" s="2055">
        <f ca="1">SUM(SUMIFS(OFFSET(貼付け_2026実績,$A68,9,1,199),OFFSET(貼付け_2026実績,4,9,1,199),{"横浜*","川崎*"}))</f>
        <v>0</v>
      </c>
      <c r="S68" s="2055">
        <f ca="1">SUM(SUMIFS(OFFSET(貼付け_2027実績,$A68,9,1,199),OFFSET(貼付け_2027実績,4,9,1,199),{"横浜*","川崎*"}))</f>
        <v>0</v>
      </c>
      <c r="T68" s="2054">
        <f t="shared" ca="1" si="24"/>
        <v>0</v>
      </c>
      <c r="U68" s="2054">
        <f t="shared" ca="1" si="25"/>
        <v>0</v>
      </c>
      <c r="V68" s="2054">
        <f t="shared" ca="1" si="26"/>
        <v>0</v>
      </c>
      <c r="W68" s="2054">
        <f t="shared" ca="1" si="27"/>
        <v>0</v>
      </c>
      <c r="X68" s="2056">
        <f t="shared" ca="1" si="28"/>
        <v>0</v>
      </c>
      <c r="Y68" s="2056">
        <f t="shared" ca="1" si="29"/>
        <v>0</v>
      </c>
      <c r="Z68" s="2056">
        <f t="shared" ca="1" si="30"/>
        <v>0</v>
      </c>
      <c r="AA68" s="2056">
        <f t="shared" ca="1" si="31"/>
        <v>0</v>
      </c>
      <c r="AB68" s="2056"/>
      <c r="AC68" s="2056"/>
      <c r="AD68" s="2056"/>
      <c r="AE68" s="2056"/>
      <c r="AF68" s="2056"/>
      <c r="AG68" s="2056"/>
      <c r="AH68" s="2056"/>
      <c r="AI68" s="2056"/>
      <c r="AJ68" s="2056"/>
      <c r="AK68" s="2056"/>
      <c r="AL68" s="2056"/>
      <c r="AM68" s="2056"/>
      <c r="AN68" s="2056"/>
      <c r="AO68" s="2056"/>
      <c r="AP68" s="2056"/>
      <c r="AQ68" s="2056"/>
      <c r="AR68" s="2056"/>
      <c r="AS68" s="2056"/>
      <c r="AT68" s="2056"/>
      <c r="AU68" s="2056"/>
      <c r="AV68" s="2056"/>
      <c r="AW68" s="2056"/>
      <c r="AX68" s="2056"/>
      <c r="AY68" s="2056"/>
      <c r="AZ68" s="2056"/>
      <c r="BA68" s="2056"/>
      <c r="BB68" s="2056"/>
      <c r="BC68" s="2056"/>
      <c r="BD68" s="2056"/>
      <c r="BE68" s="2056"/>
      <c r="BF68" s="2056"/>
      <c r="BG68" s="2056"/>
      <c r="BH68" s="2056"/>
      <c r="BI68" s="2056"/>
      <c r="BJ68" s="2056"/>
      <c r="BK68" s="2056"/>
      <c r="BL68" s="2056"/>
      <c r="BM68" s="2056"/>
      <c r="BN68" s="2056"/>
      <c r="BO68" s="2056"/>
      <c r="BP68" s="1862"/>
    </row>
    <row r="69" spans="1:68" ht="20.100000000000001" customHeight="1">
      <c r="A69" s="1845">
        <v>74</v>
      </c>
      <c r="B69" s="1854"/>
      <c r="C69" s="1847" t="s">
        <v>967</v>
      </c>
      <c r="D69" s="1864" t="s">
        <v>968</v>
      </c>
      <c r="E69" s="1848"/>
      <c r="F69" s="1863"/>
      <c r="G69" s="2010" t="s">
        <v>966</v>
      </c>
      <c r="H69" s="2011">
        <f t="shared" ca="1" si="16"/>
        <v>3.6</v>
      </c>
      <c r="I69" s="2011">
        <f t="shared" ca="1" si="17"/>
        <v>3.6</v>
      </c>
      <c r="J69" s="2011">
        <f t="shared" ca="1" si="18"/>
        <v>3.6</v>
      </c>
      <c r="K69" s="2011">
        <f t="shared" ca="1" si="19"/>
        <v>3.6</v>
      </c>
      <c r="L69" s="2012">
        <f t="shared" ca="1" si="20"/>
        <v>0</v>
      </c>
      <c r="M69" s="2012">
        <f t="shared" ca="1" si="21"/>
        <v>0</v>
      </c>
      <c r="N69" s="2012">
        <f t="shared" ca="1" si="22"/>
        <v>0</v>
      </c>
      <c r="O69" s="2012">
        <f t="shared" ca="1" si="23"/>
        <v>0</v>
      </c>
      <c r="P69" s="2013">
        <f ca="1">SUM(SUMIFS(OFFSET(貼付け_2024実績,$A69,9,1,199),OFFSET(貼付け_2024実績,4,9,1,199),{"横浜*","川崎*"}))</f>
        <v>0</v>
      </c>
      <c r="Q69" s="2013">
        <f ca="1">SUM(SUMIFS(OFFSET(貼付け_2025実績,$A69,9,1,199),OFFSET(貼付け_2025実績,4,9,1,199),{"横浜*","川崎*"}))</f>
        <v>0</v>
      </c>
      <c r="R69" s="2013">
        <f ca="1">SUM(SUMIFS(OFFSET(貼付け_2026実績,$A69,9,1,199),OFFSET(貼付け_2026実績,4,9,1,199),{"横浜*","川崎*"}))</f>
        <v>0</v>
      </c>
      <c r="S69" s="2013">
        <f ca="1">SUM(SUMIFS(OFFSET(貼付け_2027実績,$A69,9,1,199),OFFSET(貼付け_2027実績,4,9,1,199),{"横浜*","川崎*"}))</f>
        <v>0</v>
      </c>
      <c r="T69" s="2012">
        <f t="shared" ca="1" si="24"/>
        <v>0</v>
      </c>
      <c r="U69" s="2012">
        <f t="shared" ca="1" si="25"/>
        <v>0</v>
      </c>
      <c r="V69" s="2012">
        <f t="shared" ca="1" si="26"/>
        <v>0</v>
      </c>
      <c r="W69" s="2012">
        <f t="shared" ca="1" si="27"/>
        <v>0</v>
      </c>
      <c r="X69" s="2014">
        <f t="shared" ca="1" si="28"/>
        <v>0</v>
      </c>
      <c r="Y69" s="2014">
        <f t="shared" ca="1" si="29"/>
        <v>0</v>
      </c>
      <c r="Z69" s="2014">
        <f t="shared" ca="1" si="30"/>
        <v>0</v>
      </c>
      <c r="AA69" s="2014">
        <f t="shared" ca="1" si="31"/>
        <v>0</v>
      </c>
      <c r="AB69" s="2014"/>
      <c r="AC69" s="2014"/>
      <c r="AD69" s="2014"/>
      <c r="AE69" s="2014"/>
      <c r="AF69" s="2014"/>
      <c r="AG69" s="2014"/>
      <c r="AH69" s="2014"/>
      <c r="AI69" s="2014"/>
      <c r="AJ69" s="2014"/>
      <c r="AK69" s="2014"/>
      <c r="AL69" s="2014"/>
      <c r="AM69" s="2014"/>
      <c r="AN69" s="2014"/>
      <c r="AO69" s="2014"/>
      <c r="AP69" s="2014"/>
      <c r="AQ69" s="2014"/>
      <c r="AR69" s="2014"/>
      <c r="AS69" s="2014"/>
      <c r="AT69" s="2014"/>
      <c r="AU69" s="2014"/>
      <c r="AV69" s="2014"/>
      <c r="AW69" s="2014"/>
      <c r="AX69" s="2014"/>
      <c r="AY69" s="2014"/>
      <c r="AZ69" s="2014"/>
      <c r="BA69" s="2014"/>
      <c r="BB69" s="2014"/>
      <c r="BC69" s="2014"/>
      <c r="BD69" s="2014"/>
      <c r="BE69" s="2014"/>
      <c r="BF69" s="2014"/>
      <c r="BG69" s="2014"/>
      <c r="BH69" s="2014"/>
      <c r="BI69" s="2014"/>
      <c r="BJ69" s="2014"/>
      <c r="BK69" s="2014"/>
      <c r="BL69" s="2014"/>
      <c r="BM69" s="2014"/>
      <c r="BN69" s="2014"/>
      <c r="BO69" s="2014"/>
      <c r="BP69" s="1862"/>
    </row>
    <row r="70" spans="1:68" ht="20.100000000000001" customHeight="1">
      <c r="A70" s="1845">
        <v>76</v>
      </c>
      <c r="B70" s="1854"/>
      <c r="C70" s="1847"/>
      <c r="D70" s="1869" t="s">
        <v>969</v>
      </c>
      <c r="E70" s="1848"/>
      <c r="F70" s="1863"/>
      <c r="G70" s="2010" t="s">
        <v>966</v>
      </c>
      <c r="H70" s="2011">
        <f t="shared" ca="1" si="16"/>
        <v>3.6</v>
      </c>
      <c r="I70" s="2011">
        <f t="shared" ca="1" si="17"/>
        <v>3.6</v>
      </c>
      <c r="J70" s="2011">
        <f t="shared" ca="1" si="18"/>
        <v>3.6</v>
      </c>
      <c r="K70" s="2011">
        <f t="shared" ca="1" si="19"/>
        <v>3.6</v>
      </c>
      <c r="L70" s="2012">
        <f t="shared" ca="1" si="20"/>
        <v>0</v>
      </c>
      <c r="M70" s="2012">
        <f t="shared" ca="1" si="21"/>
        <v>0</v>
      </c>
      <c r="N70" s="2012">
        <f t="shared" ca="1" si="22"/>
        <v>0</v>
      </c>
      <c r="O70" s="2012">
        <f t="shared" ca="1" si="23"/>
        <v>0</v>
      </c>
      <c r="P70" s="2013">
        <f ca="1">SUM(SUMIFS(OFFSET(貼付け_2024実績,$A70,9,1,199),OFFSET(貼付け_2024実績,4,9,1,199),{"横浜*","川崎*"}))</f>
        <v>0</v>
      </c>
      <c r="Q70" s="2013">
        <f ca="1">SUM(SUMIFS(OFFSET(貼付け_2025実績,$A70,9,1,199),OFFSET(貼付け_2025実績,4,9,1,199),{"横浜*","川崎*"}))</f>
        <v>0</v>
      </c>
      <c r="R70" s="2013">
        <f ca="1">SUM(SUMIFS(OFFSET(貼付け_2026実績,$A70,9,1,199),OFFSET(貼付け_2026実績,4,9,1,199),{"横浜*","川崎*"}))</f>
        <v>0</v>
      </c>
      <c r="S70" s="2013">
        <f ca="1">SUM(SUMIFS(OFFSET(貼付け_2027実績,$A70,9,1,199),OFFSET(貼付け_2027実績,4,9,1,199),{"横浜*","川崎*"}))</f>
        <v>0</v>
      </c>
      <c r="T70" s="2012">
        <f t="shared" ca="1" si="24"/>
        <v>0</v>
      </c>
      <c r="U70" s="2012">
        <f t="shared" ca="1" si="25"/>
        <v>0</v>
      </c>
      <c r="V70" s="2012">
        <f t="shared" ca="1" si="26"/>
        <v>0</v>
      </c>
      <c r="W70" s="2012">
        <f t="shared" ca="1" si="27"/>
        <v>0</v>
      </c>
      <c r="X70" s="2014">
        <f t="shared" ca="1" si="28"/>
        <v>0</v>
      </c>
      <c r="Y70" s="2014">
        <f t="shared" ca="1" si="29"/>
        <v>0</v>
      </c>
      <c r="Z70" s="2014">
        <f t="shared" ca="1" si="30"/>
        <v>0</v>
      </c>
      <c r="AA70" s="2014">
        <f t="shared" ca="1" si="31"/>
        <v>0</v>
      </c>
      <c r="AB70" s="2014"/>
      <c r="AC70" s="2014"/>
      <c r="AD70" s="2014"/>
      <c r="AE70" s="2014"/>
      <c r="AF70" s="2014"/>
      <c r="AG70" s="2014"/>
      <c r="AH70" s="2014"/>
      <c r="AI70" s="2014"/>
      <c r="AJ70" s="2014"/>
      <c r="AK70" s="2014"/>
      <c r="AL70" s="2014"/>
      <c r="AM70" s="2014"/>
      <c r="AN70" s="2014"/>
      <c r="AO70" s="2014"/>
      <c r="AP70" s="2014"/>
      <c r="AQ70" s="2014"/>
      <c r="AR70" s="2014"/>
      <c r="AS70" s="2014"/>
      <c r="AT70" s="2014"/>
      <c r="AU70" s="2014"/>
      <c r="AV70" s="2014"/>
      <c r="AW70" s="2014"/>
      <c r="AX70" s="2014"/>
      <c r="AY70" s="2014"/>
      <c r="AZ70" s="2014"/>
      <c r="BA70" s="2014"/>
      <c r="BB70" s="2014"/>
      <c r="BC70" s="2014"/>
      <c r="BD70" s="2014"/>
      <c r="BE70" s="2014"/>
      <c r="BF70" s="2014"/>
      <c r="BG70" s="2014"/>
      <c r="BH70" s="2014"/>
      <c r="BI70" s="2014"/>
      <c r="BJ70" s="2014"/>
      <c r="BK70" s="2014"/>
      <c r="BL70" s="2014"/>
      <c r="BM70" s="2014"/>
      <c r="BN70" s="2014"/>
      <c r="BO70" s="2014"/>
      <c r="BP70" s="1862"/>
    </row>
    <row r="71" spans="1:68" ht="20.100000000000001" customHeight="1">
      <c r="A71" s="1845">
        <v>77</v>
      </c>
      <c r="B71" s="1854"/>
      <c r="C71" s="1847"/>
      <c r="D71" s="2057" t="s">
        <v>970</v>
      </c>
      <c r="E71" s="1864" t="str">
        <f ca="1">OFFSET(A1_その他欄集計,12,7)</f>
        <v/>
      </c>
      <c r="F71" s="1860"/>
      <c r="G71" s="2010" t="s">
        <v>966</v>
      </c>
      <c r="H71" s="2011">
        <f t="shared" ca="1" si="16"/>
        <v>8.64</v>
      </c>
      <c r="I71" s="2011">
        <f t="shared" ca="1" si="17"/>
        <v>8.64</v>
      </c>
      <c r="J71" s="2011">
        <f t="shared" ca="1" si="18"/>
        <v>8.64</v>
      </c>
      <c r="K71" s="2011">
        <f t="shared" ca="1" si="19"/>
        <v>8.64</v>
      </c>
      <c r="L71" s="2012">
        <f t="shared" ca="1" si="20"/>
        <v>0</v>
      </c>
      <c r="M71" s="2012">
        <f t="shared" ca="1" si="21"/>
        <v>0</v>
      </c>
      <c r="N71" s="2012">
        <f t="shared" ca="1" si="22"/>
        <v>0</v>
      </c>
      <c r="O71" s="2012">
        <f t="shared" ca="1" si="23"/>
        <v>0</v>
      </c>
      <c r="P71" s="2013">
        <f ca="1">SUM(SUMIFS(OFFSET(貼付け_2024実績,$A71,9,1,199),OFFSET(貼付け_2024実績,4,9,1,199),{"横浜*","川崎*"}))</f>
        <v>0</v>
      </c>
      <c r="Q71" s="2013">
        <f ca="1">SUM(SUMIFS(OFFSET(貼付け_2025実績,$A71,9,1,199),OFFSET(貼付け_2025実績,4,9,1,199),{"横浜*","川崎*"}))</f>
        <v>0</v>
      </c>
      <c r="R71" s="2013">
        <f ca="1">SUM(SUMIFS(OFFSET(貼付け_2026実績,$A71,9,1,199),OFFSET(貼付け_2026実績,4,9,1,199),{"横浜*","川崎*"}))</f>
        <v>0</v>
      </c>
      <c r="S71" s="2013">
        <f ca="1">SUM(SUMIFS(OFFSET(貼付け_2027実績,$A71,9,1,199),OFFSET(貼付け_2027実績,4,9,1,199),{"横浜*","川崎*"}))</f>
        <v>0</v>
      </c>
      <c r="T71" s="2012">
        <f t="shared" ca="1" si="24"/>
        <v>0</v>
      </c>
      <c r="U71" s="2012">
        <f t="shared" ca="1" si="25"/>
        <v>0</v>
      </c>
      <c r="V71" s="2012">
        <f t="shared" ca="1" si="26"/>
        <v>0</v>
      </c>
      <c r="W71" s="2012">
        <f t="shared" ca="1" si="27"/>
        <v>0</v>
      </c>
      <c r="X71" s="2014">
        <f t="shared" ca="1" si="28"/>
        <v>0</v>
      </c>
      <c r="Y71" s="2014">
        <f t="shared" ca="1" si="29"/>
        <v>0</v>
      </c>
      <c r="Z71" s="2014">
        <f t="shared" ca="1" si="30"/>
        <v>0</v>
      </c>
      <c r="AA71" s="2014">
        <f t="shared" ca="1" si="31"/>
        <v>0</v>
      </c>
      <c r="AB71" s="2014"/>
      <c r="AC71" s="2014"/>
      <c r="AD71" s="2014"/>
      <c r="AE71" s="2014"/>
      <c r="AF71" s="2014"/>
      <c r="AG71" s="2014"/>
      <c r="AH71" s="2014"/>
      <c r="AI71" s="2014"/>
      <c r="AJ71" s="2014"/>
      <c r="AK71" s="2014"/>
      <c r="AL71" s="2014"/>
      <c r="AM71" s="2014"/>
      <c r="AN71" s="2014"/>
      <c r="AO71" s="2014"/>
      <c r="AP71" s="2014"/>
      <c r="AQ71" s="2014"/>
      <c r="AR71" s="2014"/>
      <c r="AS71" s="2014"/>
      <c r="AT71" s="2014"/>
      <c r="AU71" s="2014"/>
      <c r="AV71" s="2014"/>
      <c r="AW71" s="2014"/>
      <c r="AX71" s="2014"/>
      <c r="AY71" s="2014"/>
      <c r="AZ71" s="2014"/>
      <c r="BA71" s="2014"/>
      <c r="BB71" s="2014"/>
      <c r="BC71" s="2014"/>
      <c r="BD71" s="2014"/>
      <c r="BE71" s="2014"/>
      <c r="BF71" s="2014"/>
      <c r="BG71" s="2014"/>
      <c r="BH71" s="2014"/>
      <c r="BI71" s="2014"/>
      <c r="BJ71" s="2014"/>
      <c r="BK71" s="2014"/>
      <c r="BL71" s="2014"/>
      <c r="BM71" s="2014"/>
      <c r="BN71" s="2014"/>
      <c r="BO71" s="2014"/>
      <c r="BP71" s="1862"/>
    </row>
    <row r="72" spans="1:68" ht="20.100000000000001" customHeight="1">
      <c r="A72" s="1845">
        <v>78</v>
      </c>
      <c r="B72" s="1854"/>
      <c r="C72" s="1847"/>
      <c r="D72" s="2058"/>
      <c r="E72" s="1848" t="s">
        <v>971</v>
      </c>
      <c r="F72" s="1860"/>
      <c r="G72" s="2010" t="s">
        <v>966</v>
      </c>
      <c r="H72" s="2011">
        <f t="shared" ca="1" si="16"/>
        <v>8.64</v>
      </c>
      <c r="I72" s="2011">
        <f t="shared" ca="1" si="17"/>
        <v>8.64</v>
      </c>
      <c r="J72" s="2011">
        <f t="shared" ca="1" si="18"/>
        <v>8.64</v>
      </c>
      <c r="K72" s="2011">
        <f t="shared" ca="1" si="19"/>
        <v>8.64</v>
      </c>
      <c r="L72" s="2012">
        <f t="shared" ca="1" si="20"/>
        <v>0</v>
      </c>
      <c r="M72" s="2012">
        <f t="shared" ca="1" si="21"/>
        <v>0</v>
      </c>
      <c r="N72" s="2012">
        <f t="shared" ca="1" si="22"/>
        <v>0</v>
      </c>
      <c r="O72" s="2012">
        <f t="shared" ca="1" si="23"/>
        <v>0</v>
      </c>
      <c r="P72" s="2013">
        <f ca="1">SUM(SUMIFS(OFFSET(貼付け_2024実績,$A72,9,1,199),OFFSET(貼付け_2024実績,4,9,1,199),{"横浜*","川崎*"}))</f>
        <v>0</v>
      </c>
      <c r="Q72" s="2013">
        <f ca="1">SUM(SUMIFS(OFFSET(貼付け_2025実績,$A72,9,1,199),OFFSET(貼付け_2025実績,4,9,1,199),{"横浜*","川崎*"}))</f>
        <v>0</v>
      </c>
      <c r="R72" s="2013">
        <f ca="1">SUM(SUMIFS(OFFSET(貼付け_2026実績,$A72,9,1,199),OFFSET(貼付け_2026実績,4,9,1,199),{"横浜*","川崎*"}))</f>
        <v>0</v>
      </c>
      <c r="S72" s="2013">
        <f ca="1">SUM(SUMIFS(OFFSET(貼付け_2027実績,$A72,9,1,199),OFFSET(貼付け_2027実績,4,9,1,199),{"横浜*","川崎*"}))</f>
        <v>0</v>
      </c>
      <c r="T72" s="2012">
        <f t="shared" ca="1" si="24"/>
        <v>0</v>
      </c>
      <c r="U72" s="2012">
        <f t="shared" ca="1" si="25"/>
        <v>0</v>
      </c>
      <c r="V72" s="2012">
        <f t="shared" ca="1" si="26"/>
        <v>0</v>
      </c>
      <c r="W72" s="2012">
        <f t="shared" ca="1" si="27"/>
        <v>0</v>
      </c>
      <c r="X72" s="2014">
        <f t="shared" ca="1" si="28"/>
        <v>0</v>
      </c>
      <c r="Y72" s="2014">
        <f t="shared" ca="1" si="29"/>
        <v>0</v>
      </c>
      <c r="Z72" s="2014">
        <f t="shared" ca="1" si="30"/>
        <v>0</v>
      </c>
      <c r="AA72" s="2014">
        <f t="shared" ca="1" si="31"/>
        <v>0</v>
      </c>
      <c r="AB72" s="2014"/>
      <c r="AC72" s="2014"/>
      <c r="AD72" s="2014"/>
      <c r="AE72" s="2014"/>
      <c r="AF72" s="2014"/>
      <c r="AG72" s="2014"/>
      <c r="AH72" s="2014"/>
      <c r="AI72" s="2014"/>
      <c r="AJ72" s="2014"/>
      <c r="AK72" s="2014"/>
      <c r="AL72" s="2014"/>
      <c r="AM72" s="2014"/>
      <c r="AN72" s="2014"/>
      <c r="AO72" s="2014"/>
      <c r="AP72" s="2014"/>
      <c r="AQ72" s="2014"/>
      <c r="AR72" s="2014"/>
      <c r="AS72" s="2014"/>
      <c r="AT72" s="2014"/>
      <c r="AU72" s="2014"/>
      <c r="AV72" s="2014"/>
      <c r="AW72" s="2014"/>
      <c r="AX72" s="2014"/>
      <c r="AY72" s="2014"/>
      <c r="AZ72" s="2014"/>
      <c r="BA72" s="2014"/>
      <c r="BB72" s="2014"/>
      <c r="BC72" s="2014"/>
      <c r="BD72" s="2014"/>
      <c r="BE72" s="2014"/>
      <c r="BF72" s="2014"/>
      <c r="BG72" s="2014"/>
      <c r="BH72" s="2014"/>
      <c r="BI72" s="2014"/>
      <c r="BJ72" s="2014"/>
      <c r="BK72" s="2014"/>
      <c r="BL72" s="2014"/>
      <c r="BM72" s="2014"/>
      <c r="BN72" s="2014"/>
      <c r="BO72" s="2014"/>
      <c r="BP72" s="1862"/>
    </row>
    <row r="73" spans="1:68" ht="20.100000000000001" customHeight="1">
      <c r="A73" s="1845">
        <v>80</v>
      </c>
      <c r="B73" s="1854"/>
      <c r="C73" s="2016"/>
      <c r="D73" s="2059" t="s">
        <v>972</v>
      </c>
      <c r="E73" s="2060" t="str">
        <f ca="1">OFFSET(A1_その他欄集計,13,7)</f>
        <v/>
      </c>
      <c r="F73" s="2019"/>
      <c r="G73" s="2010" t="s">
        <v>966</v>
      </c>
      <c r="H73" s="2011">
        <f t="shared" ca="1" si="16"/>
        <v>0</v>
      </c>
      <c r="I73" s="2011">
        <f t="shared" ca="1" si="17"/>
        <v>0</v>
      </c>
      <c r="J73" s="2011">
        <f t="shared" ca="1" si="18"/>
        <v>8.64</v>
      </c>
      <c r="K73" s="2011">
        <f t="shared" ca="1" si="19"/>
        <v>0</v>
      </c>
      <c r="L73" s="2012">
        <f t="shared" ref="L73:L90" ca="1" si="32">P73+T73</f>
        <v>0</v>
      </c>
      <c r="M73" s="2012">
        <f t="shared" ref="M73:M90" ca="1" si="33">Q73+U73</f>
        <v>0</v>
      </c>
      <c r="N73" s="2012">
        <f t="shared" ref="N73:N90" ca="1" si="34">R73+V73</f>
        <v>0</v>
      </c>
      <c r="O73" s="2012">
        <f t="shared" ref="O73:O90" ca="1" si="35">S73+W73</f>
        <v>0</v>
      </c>
      <c r="P73" s="2013">
        <f ca="1">SUM(SUMIFS(OFFSET(貼付け_2024実績,$A73,9,1,199),OFFSET(貼付け_2024実績,4,9,1,199),{"横浜*","川崎*"}))</f>
        <v>0</v>
      </c>
      <c r="Q73" s="2013">
        <f ca="1">SUM(SUMIFS(OFFSET(貼付け_2025実績,$A73,9,1,199),OFFSET(貼付け_2025実績,4,9,1,199),{"横浜*","川崎*"}))</f>
        <v>0</v>
      </c>
      <c r="R73" s="2013">
        <f ca="1">SUM(SUMIFS(OFFSET(貼付け_2026実績,$A73,9,1,199),OFFSET(貼付け_2026実績,4,9,1,199),{"横浜*","川崎*"}))</f>
        <v>0</v>
      </c>
      <c r="S73" s="2013">
        <f ca="1">SUM(SUMIFS(OFFSET(貼付け_2027実績,$A73,9,1,199),OFFSET(貼付け_2027実績,4,9,1,199),{"横浜*","川崎*"}))</f>
        <v>0</v>
      </c>
      <c r="T73" s="2012">
        <f t="shared" ref="T73:T90" ca="1" si="36">SUM(X73,AB73,AF73,AJ73,AN73,AR73,AV73,AZ73,BD73,BH73,BL73)</f>
        <v>0</v>
      </c>
      <c r="U73" s="2012">
        <f t="shared" ref="U73:U90" ca="1" si="37">SUM(Y73,AC73,AG73,AK73,AO73,AS73,AW73,BA73,BE73,BI73,BM73)</f>
        <v>0</v>
      </c>
      <c r="V73" s="2012">
        <f t="shared" ref="V73:V90" ca="1" si="38">SUM(Z73,AD73,AH73,AL73,AP73,AT73,AX73,BB73,BF73,BJ73,BN73)</f>
        <v>0</v>
      </c>
      <c r="W73" s="2012">
        <f t="shared" ref="W73:W90" ca="1" si="39">SUM(AA73,AE73,AI73,AM73,AQ73,AU73,AY73,BC73,BG73,BK73,BO73)</f>
        <v>0</v>
      </c>
      <c r="X73" s="2014">
        <f t="shared" ref="X73:X90" ca="1" si="40">SUMIFS(OFFSET(貼付け_2024実績,$A73,9,1,199),OFFSET(貼付け_2024実績,4,9,1,199),"県域*")</f>
        <v>0</v>
      </c>
      <c r="Y73" s="2014">
        <f t="shared" ref="Y73:Y90" ca="1" si="41">SUMIFS(OFFSET(貼付け_2025実績,$A73,9,1,199),OFFSET(貼付け_2025実績,4,9,1,199),"県域*")</f>
        <v>0</v>
      </c>
      <c r="Z73" s="2014">
        <f t="shared" ref="Z73:Z90" ca="1" si="42">SUMIFS(OFFSET(貼付け_2026実績,$A73,9,1,199),OFFSET(貼付け_2026実績,4,9,1,199),"県域*")</f>
        <v>0</v>
      </c>
      <c r="AA73" s="2014">
        <f t="shared" ref="AA73:AA90" ca="1" si="43">SUMIFS(OFFSET(貼付け_2027実績,$A73,9,1,199),OFFSET(貼付け_2027実績,4,9,1,199),"県域*")</f>
        <v>0</v>
      </c>
      <c r="AB73" s="2014"/>
      <c r="AC73" s="2014"/>
      <c r="AD73" s="2014"/>
      <c r="AE73" s="2014"/>
      <c r="AF73" s="2014"/>
      <c r="AG73" s="2014"/>
      <c r="AH73" s="2014"/>
      <c r="AI73" s="2014"/>
      <c r="AJ73" s="2014"/>
      <c r="AK73" s="2014"/>
      <c r="AL73" s="2014"/>
      <c r="AM73" s="2014"/>
      <c r="AN73" s="2014"/>
      <c r="AO73" s="2014"/>
      <c r="AP73" s="2014"/>
      <c r="AQ73" s="2014"/>
      <c r="AR73" s="2014"/>
      <c r="AS73" s="2014"/>
      <c r="AT73" s="2014"/>
      <c r="AU73" s="2014"/>
      <c r="AV73" s="2014"/>
      <c r="AW73" s="2014"/>
      <c r="AX73" s="2014"/>
      <c r="AY73" s="2014"/>
      <c r="AZ73" s="2014"/>
      <c r="BA73" s="2014"/>
      <c r="BB73" s="2014"/>
      <c r="BC73" s="2014"/>
      <c r="BD73" s="2014"/>
      <c r="BE73" s="2014"/>
      <c r="BF73" s="2014"/>
      <c r="BG73" s="2014"/>
      <c r="BH73" s="2014"/>
      <c r="BI73" s="2014"/>
      <c r="BJ73" s="2014"/>
      <c r="BK73" s="2014"/>
      <c r="BL73" s="2014"/>
      <c r="BM73" s="2014"/>
      <c r="BN73" s="2014"/>
      <c r="BO73" s="2014"/>
      <c r="BP73" s="1862"/>
    </row>
    <row r="74" spans="1:68" ht="20.100000000000001" customHeight="1">
      <c r="A74" s="1845">
        <v>81</v>
      </c>
      <c r="B74" s="1854"/>
      <c r="C74" s="2061"/>
      <c r="D74" s="2062"/>
      <c r="E74" s="1848" t="s">
        <v>971</v>
      </c>
      <c r="F74" s="2063"/>
      <c r="G74" s="2010" t="s">
        <v>966</v>
      </c>
      <c r="H74" s="2011">
        <f t="shared" ca="1" si="16"/>
        <v>0</v>
      </c>
      <c r="I74" s="2011">
        <f t="shared" ca="1" si="17"/>
        <v>0</v>
      </c>
      <c r="J74" s="2011">
        <f t="shared" ca="1" si="18"/>
        <v>0</v>
      </c>
      <c r="K74" s="2011">
        <f t="shared" ca="1" si="19"/>
        <v>0</v>
      </c>
      <c r="L74" s="2012">
        <f t="shared" ca="1" si="32"/>
        <v>0</v>
      </c>
      <c r="M74" s="2012">
        <f t="shared" ca="1" si="33"/>
        <v>0</v>
      </c>
      <c r="N74" s="2012">
        <f t="shared" ca="1" si="34"/>
        <v>0</v>
      </c>
      <c r="O74" s="2012">
        <f t="shared" ca="1" si="35"/>
        <v>0</v>
      </c>
      <c r="P74" s="2013">
        <f ca="1">SUM(SUMIFS(OFFSET(貼付け_2024実績,$A74,9,1,199),OFFSET(貼付け_2024実績,4,9,1,199),{"横浜*","川崎*"}))</f>
        <v>0</v>
      </c>
      <c r="Q74" s="2013">
        <f ca="1">SUM(SUMIFS(OFFSET(貼付け_2025実績,$A74,9,1,199),OFFSET(貼付け_2025実績,4,9,1,199),{"横浜*","川崎*"}))</f>
        <v>0</v>
      </c>
      <c r="R74" s="2013">
        <f ca="1">SUM(SUMIFS(OFFSET(貼付け_2026実績,$A74,9,1,199),OFFSET(貼付け_2026実績,4,9,1,199),{"横浜*","川崎*"}))</f>
        <v>0</v>
      </c>
      <c r="S74" s="2013">
        <f ca="1">SUM(SUMIFS(OFFSET(貼付け_2027実績,$A74,9,1,199),OFFSET(貼付け_2027実績,4,9,1,199),{"横浜*","川崎*"}))</f>
        <v>0</v>
      </c>
      <c r="T74" s="2012">
        <f t="shared" ca="1" si="36"/>
        <v>0</v>
      </c>
      <c r="U74" s="2012">
        <f t="shared" ca="1" si="37"/>
        <v>0</v>
      </c>
      <c r="V74" s="2012">
        <f t="shared" ca="1" si="38"/>
        <v>0</v>
      </c>
      <c r="W74" s="2012">
        <f t="shared" ca="1" si="39"/>
        <v>0</v>
      </c>
      <c r="X74" s="2014">
        <f t="shared" ca="1" si="40"/>
        <v>0</v>
      </c>
      <c r="Y74" s="2014">
        <f t="shared" ca="1" si="41"/>
        <v>0</v>
      </c>
      <c r="Z74" s="2014">
        <f t="shared" ca="1" si="42"/>
        <v>0</v>
      </c>
      <c r="AA74" s="2014">
        <f t="shared" ca="1" si="43"/>
        <v>0</v>
      </c>
      <c r="AB74" s="2014"/>
      <c r="AC74" s="2014"/>
      <c r="AD74" s="2014"/>
      <c r="AE74" s="2014"/>
      <c r="AF74" s="2014"/>
      <c r="AG74" s="2014"/>
      <c r="AH74" s="2014"/>
      <c r="AI74" s="2014"/>
      <c r="AJ74" s="2014"/>
      <c r="AK74" s="2014"/>
      <c r="AL74" s="2014"/>
      <c r="AM74" s="2014"/>
      <c r="AN74" s="2014"/>
      <c r="AO74" s="2014"/>
      <c r="AP74" s="2014"/>
      <c r="AQ74" s="2014"/>
      <c r="AR74" s="2014"/>
      <c r="AS74" s="2014"/>
      <c r="AT74" s="2014"/>
      <c r="AU74" s="2014"/>
      <c r="AV74" s="2014"/>
      <c r="AW74" s="2014"/>
      <c r="AX74" s="2014"/>
      <c r="AY74" s="2014"/>
      <c r="AZ74" s="2014"/>
      <c r="BA74" s="2014"/>
      <c r="BB74" s="2014"/>
      <c r="BC74" s="2014"/>
      <c r="BD74" s="2014"/>
      <c r="BE74" s="2014"/>
      <c r="BF74" s="2014"/>
      <c r="BG74" s="2014"/>
      <c r="BH74" s="2014"/>
      <c r="BI74" s="2014"/>
      <c r="BJ74" s="2014"/>
      <c r="BK74" s="2014"/>
      <c r="BL74" s="2014"/>
      <c r="BM74" s="2014"/>
      <c r="BN74" s="2014"/>
      <c r="BO74" s="2014"/>
      <c r="BP74" s="1862"/>
    </row>
    <row r="75" spans="1:68" ht="20.100000000000001" customHeight="1">
      <c r="A75" s="1845">
        <v>83</v>
      </c>
      <c r="B75" s="1854"/>
      <c r="C75" s="1847" t="s">
        <v>973</v>
      </c>
      <c r="D75" s="1869" t="s">
        <v>1556</v>
      </c>
      <c r="E75" s="1848"/>
      <c r="F75" s="1875"/>
      <c r="G75" s="2010" t="s">
        <v>966</v>
      </c>
      <c r="H75" s="2011">
        <f t="shared" ca="1" si="16"/>
        <v>3.6</v>
      </c>
      <c r="I75" s="2011">
        <f t="shared" ca="1" si="17"/>
        <v>3.6</v>
      </c>
      <c r="J75" s="2011">
        <f t="shared" ca="1" si="18"/>
        <v>3.6</v>
      </c>
      <c r="K75" s="2011">
        <f t="shared" ca="1" si="19"/>
        <v>3.6</v>
      </c>
      <c r="L75" s="2012">
        <f t="shared" ca="1" si="32"/>
        <v>0</v>
      </c>
      <c r="M75" s="2012">
        <f t="shared" ca="1" si="33"/>
        <v>0</v>
      </c>
      <c r="N75" s="2012">
        <f t="shared" ca="1" si="34"/>
        <v>0</v>
      </c>
      <c r="O75" s="2012">
        <f t="shared" ca="1" si="35"/>
        <v>0</v>
      </c>
      <c r="P75" s="2013">
        <f ca="1">SUM(SUMIFS(OFFSET(貼付け_2024実績,$A75,9,1,199),OFFSET(貼付け_2024実績,4,9,1,199),{"横浜*","川崎*"}))</f>
        <v>0</v>
      </c>
      <c r="Q75" s="2013">
        <f ca="1">SUM(SUMIFS(OFFSET(貼付け_2025実績,$A75,9,1,199),OFFSET(貼付け_2025実績,4,9,1,199),{"横浜*","川崎*"}))</f>
        <v>0</v>
      </c>
      <c r="R75" s="2013">
        <f ca="1">SUM(SUMIFS(OFFSET(貼付け_2026実績,$A75,9,1,199),OFFSET(貼付け_2026実績,4,9,1,199),{"横浜*","川崎*"}))</f>
        <v>0</v>
      </c>
      <c r="S75" s="2013">
        <f ca="1">SUM(SUMIFS(OFFSET(貼付け_2027実績,$A75,9,1,199),OFFSET(貼付け_2027実績,4,9,1,199),{"横浜*","川崎*"}))</f>
        <v>0</v>
      </c>
      <c r="T75" s="2012">
        <f t="shared" ca="1" si="36"/>
        <v>0</v>
      </c>
      <c r="U75" s="2012">
        <f t="shared" ca="1" si="37"/>
        <v>0</v>
      </c>
      <c r="V75" s="2012">
        <f t="shared" ca="1" si="38"/>
        <v>0</v>
      </c>
      <c r="W75" s="2012">
        <f t="shared" ca="1" si="39"/>
        <v>0</v>
      </c>
      <c r="X75" s="2014">
        <f t="shared" ca="1" si="40"/>
        <v>0</v>
      </c>
      <c r="Y75" s="2014">
        <f t="shared" ca="1" si="41"/>
        <v>0</v>
      </c>
      <c r="Z75" s="2014">
        <f t="shared" ca="1" si="42"/>
        <v>0</v>
      </c>
      <c r="AA75" s="2014">
        <f t="shared" ca="1" si="43"/>
        <v>0</v>
      </c>
      <c r="AB75" s="2014"/>
      <c r="AC75" s="2014"/>
      <c r="AD75" s="2014"/>
      <c r="AE75" s="2014"/>
      <c r="AF75" s="2014"/>
      <c r="AG75" s="2014"/>
      <c r="AH75" s="2014"/>
      <c r="AI75" s="2014"/>
      <c r="AJ75" s="2014"/>
      <c r="AK75" s="2014"/>
      <c r="AL75" s="2014"/>
      <c r="AM75" s="2014"/>
      <c r="AN75" s="2014"/>
      <c r="AO75" s="2014"/>
      <c r="AP75" s="2014"/>
      <c r="AQ75" s="2014"/>
      <c r="AR75" s="2014"/>
      <c r="AS75" s="2014"/>
      <c r="AT75" s="2014"/>
      <c r="AU75" s="2014"/>
      <c r="AV75" s="2014"/>
      <c r="AW75" s="2014"/>
      <c r="AX75" s="2014"/>
      <c r="AY75" s="2014"/>
      <c r="AZ75" s="2014"/>
      <c r="BA75" s="2014"/>
      <c r="BB75" s="2014"/>
      <c r="BC75" s="2014"/>
      <c r="BD75" s="2014"/>
      <c r="BE75" s="2014"/>
      <c r="BF75" s="2014"/>
      <c r="BG75" s="2014"/>
      <c r="BH75" s="2014"/>
      <c r="BI75" s="2014"/>
      <c r="BJ75" s="2014"/>
      <c r="BK75" s="2014"/>
      <c r="BL75" s="2014"/>
      <c r="BM75" s="2014"/>
      <c r="BN75" s="2014"/>
      <c r="BO75" s="2014"/>
      <c r="BP75" s="1862"/>
    </row>
    <row r="76" spans="1:68" ht="20.100000000000001" customHeight="1">
      <c r="A76" s="1845">
        <v>84</v>
      </c>
      <c r="B76" s="1854"/>
      <c r="C76" s="1847"/>
      <c r="D76" s="1869" t="s">
        <v>1556</v>
      </c>
      <c r="E76" s="1848"/>
      <c r="F76" s="1875"/>
      <c r="G76" s="2010" t="s">
        <v>571</v>
      </c>
      <c r="H76" s="2064"/>
      <c r="I76" s="2064"/>
      <c r="J76" s="2064"/>
      <c r="K76" s="2064"/>
      <c r="L76" s="2012">
        <f t="shared" ca="1" si="32"/>
        <v>0</v>
      </c>
      <c r="M76" s="2012">
        <f t="shared" ca="1" si="33"/>
        <v>0</v>
      </c>
      <c r="N76" s="2012">
        <f t="shared" ca="1" si="34"/>
        <v>0</v>
      </c>
      <c r="O76" s="2012">
        <f t="shared" ca="1" si="35"/>
        <v>0</v>
      </c>
      <c r="P76" s="2013">
        <f ca="1">SUM(SUMIFS(OFFSET(貼付け_2024実績,$A76,9,1,199),OFFSET(貼付け_2024実績,4,9,1,199),{"横浜*","川崎*"}))</f>
        <v>0</v>
      </c>
      <c r="Q76" s="2013">
        <f ca="1">SUM(SUMIFS(OFFSET(貼付け_2025実績,$A76,9,1,199),OFFSET(貼付け_2025実績,4,9,1,199),{"横浜*","川崎*"}))</f>
        <v>0</v>
      </c>
      <c r="R76" s="2013">
        <f ca="1">SUM(SUMIFS(OFFSET(貼付け_2026実績,$A76,9,1,199),OFFSET(貼付け_2026実績,4,9,1,199),{"横浜*","川崎*"}))</f>
        <v>0</v>
      </c>
      <c r="S76" s="2013">
        <f ca="1">SUM(SUMIFS(OFFSET(貼付け_2027実績,$A76,9,1,199),OFFSET(貼付け_2027実績,4,9,1,199),{"横浜*","川崎*"}))</f>
        <v>0</v>
      </c>
      <c r="T76" s="2012">
        <f t="shared" ca="1" si="36"/>
        <v>0</v>
      </c>
      <c r="U76" s="2012">
        <f t="shared" ca="1" si="37"/>
        <v>0</v>
      </c>
      <c r="V76" s="2012">
        <f t="shared" ca="1" si="38"/>
        <v>0</v>
      </c>
      <c r="W76" s="2012">
        <f t="shared" ca="1" si="39"/>
        <v>0</v>
      </c>
      <c r="X76" s="2014">
        <f t="shared" ca="1" si="40"/>
        <v>0</v>
      </c>
      <c r="Y76" s="2014">
        <f t="shared" ca="1" si="41"/>
        <v>0</v>
      </c>
      <c r="Z76" s="2014">
        <f t="shared" ca="1" si="42"/>
        <v>0</v>
      </c>
      <c r="AA76" s="2014">
        <f t="shared" ca="1" si="43"/>
        <v>0</v>
      </c>
      <c r="AB76" s="2014"/>
      <c r="AC76" s="2014"/>
      <c r="AD76" s="2014"/>
      <c r="AE76" s="2014"/>
      <c r="AF76" s="2014"/>
      <c r="AG76" s="2014"/>
      <c r="AH76" s="2014"/>
      <c r="AI76" s="2014"/>
      <c r="AJ76" s="2014"/>
      <c r="AK76" s="2014"/>
      <c r="AL76" s="2014"/>
      <c r="AM76" s="2014"/>
      <c r="AN76" s="2014"/>
      <c r="AO76" s="2014"/>
      <c r="AP76" s="2014"/>
      <c r="AQ76" s="2014"/>
      <c r="AR76" s="2014"/>
      <c r="AS76" s="2014"/>
      <c r="AT76" s="2014"/>
      <c r="AU76" s="2014"/>
      <c r="AV76" s="2014"/>
      <c r="AW76" s="2014"/>
      <c r="AX76" s="2014"/>
      <c r="AY76" s="2014"/>
      <c r="AZ76" s="2014"/>
      <c r="BA76" s="2014"/>
      <c r="BB76" s="2014"/>
      <c r="BC76" s="2014"/>
      <c r="BD76" s="2014"/>
      <c r="BE76" s="2014"/>
      <c r="BF76" s="2014"/>
      <c r="BG76" s="2014"/>
      <c r="BH76" s="2014"/>
      <c r="BI76" s="2014"/>
      <c r="BJ76" s="2014"/>
      <c r="BK76" s="2014"/>
      <c r="BL76" s="2014"/>
      <c r="BM76" s="2014"/>
      <c r="BN76" s="2014"/>
      <c r="BO76" s="2014"/>
      <c r="BP76" s="1862"/>
    </row>
    <row r="77" spans="1:68" ht="20.100000000000001" customHeight="1">
      <c r="A77" s="1845">
        <v>85</v>
      </c>
      <c r="B77" s="1854"/>
      <c r="C77" s="1847"/>
      <c r="D77" s="1869" t="s">
        <v>1557</v>
      </c>
      <c r="E77" s="1848"/>
      <c r="F77" s="1875"/>
      <c r="G77" s="2010" t="s">
        <v>966</v>
      </c>
      <c r="H77" s="2011">
        <f ca="1">IFERROR(OFFSET(貼付け_2024実績,$A77,5),"")</f>
        <v>3.6</v>
      </c>
      <c r="I77" s="2011">
        <f ca="1">IFERROR(OFFSET(貼付け_2025実績,$A77,5),"")</f>
        <v>3.6</v>
      </c>
      <c r="J77" s="2011">
        <f ca="1">IFERROR(OFFSET(貼付け_2026実績,$A77,5),"")</f>
        <v>3.6</v>
      </c>
      <c r="K77" s="2011">
        <f ca="1">IFERROR(OFFSET(貼付け_2027実績,$A77,5),"")</f>
        <v>3.6</v>
      </c>
      <c r="L77" s="2012">
        <f t="shared" ca="1" si="32"/>
        <v>0</v>
      </c>
      <c r="M77" s="2012">
        <f t="shared" ca="1" si="33"/>
        <v>0</v>
      </c>
      <c r="N77" s="2012">
        <f t="shared" ca="1" si="34"/>
        <v>0</v>
      </c>
      <c r="O77" s="2012">
        <f t="shared" ca="1" si="35"/>
        <v>0</v>
      </c>
      <c r="P77" s="2013">
        <f ca="1">SUM(SUMIFS(OFFSET(貼付け_2024実績,$A77,9,1,199),OFFSET(貼付け_2024実績,4,9,1,199),{"横浜*","川崎*"}))</f>
        <v>0</v>
      </c>
      <c r="Q77" s="2013">
        <f ca="1">SUM(SUMIFS(OFFSET(貼付け_2025実績,$A77,9,1,199),OFFSET(貼付け_2025実績,4,9,1,199),{"横浜*","川崎*"}))</f>
        <v>0</v>
      </c>
      <c r="R77" s="2013">
        <f ca="1">SUM(SUMIFS(OFFSET(貼付け_2026実績,$A77,9,1,199),OFFSET(貼付け_2026実績,4,9,1,199),{"横浜*","川崎*"}))</f>
        <v>0</v>
      </c>
      <c r="S77" s="2013">
        <f ca="1">SUM(SUMIFS(OFFSET(貼付け_2027実績,$A77,9,1,199),OFFSET(貼付け_2027実績,4,9,1,199),{"横浜*","川崎*"}))</f>
        <v>0</v>
      </c>
      <c r="T77" s="2012">
        <f t="shared" ca="1" si="36"/>
        <v>0</v>
      </c>
      <c r="U77" s="2012">
        <f t="shared" ca="1" si="37"/>
        <v>0</v>
      </c>
      <c r="V77" s="2012">
        <f t="shared" ca="1" si="38"/>
        <v>0</v>
      </c>
      <c r="W77" s="2012">
        <f t="shared" ca="1" si="39"/>
        <v>0</v>
      </c>
      <c r="X77" s="2014">
        <f t="shared" ca="1" si="40"/>
        <v>0</v>
      </c>
      <c r="Y77" s="2014">
        <f t="shared" ca="1" si="41"/>
        <v>0</v>
      </c>
      <c r="Z77" s="2014">
        <f t="shared" ca="1" si="42"/>
        <v>0</v>
      </c>
      <c r="AA77" s="2014">
        <f t="shared" ca="1" si="43"/>
        <v>0</v>
      </c>
      <c r="AB77" s="2014"/>
      <c r="AC77" s="2014"/>
      <c r="AD77" s="2014"/>
      <c r="AE77" s="2014"/>
      <c r="AF77" s="2014"/>
      <c r="AG77" s="2014"/>
      <c r="AH77" s="2014"/>
      <c r="AI77" s="2014"/>
      <c r="AJ77" s="2014"/>
      <c r="AK77" s="2014"/>
      <c r="AL77" s="2014"/>
      <c r="AM77" s="2014"/>
      <c r="AN77" s="2014"/>
      <c r="AO77" s="2014"/>
      <c r="AP77" s="2014"/>
      <c r="AQ77" s="2014"/>
      <c r="AR77" s="2014"/>
      <c r="AS77" s="2014"/>
      <c r="AT77" s="2014"/>
      <c r="AU77" s="2014"/>
      <c r="AV77" s="2014"/>
      <c r="AW77" s="2014"/>
      <c r="AX77" s="2014"/>
      <c r="AY77" s="2014"/>
      <c r="AZ77" s="2014"/>
      <c r="BA77" s="2014"/>
      <c r="BB77" s="2014"/>
      <c r="BC77" s="2014"/>
      <c r="BD77" s="2014"/>
      <c r="BE77" s="2014"/>
      <c r="BF77" s="2014"/>
      <c r="BG77" s="2014"/>
      <c r="BH77" s="2014"/>
      <c r="BI77" s="2014"/>
      <c r="BJ77" s="2014"/>
      <c r="BK77" s="2014"/>
      <c r="BL77" s="2014"/>
      <c r="BM77" s="2014"/>
      <c r="BN77" s="2014"/>
      <c r="BO77" s="2014"/>
      <c r="BP77" s="1862"/>
    </row>
    <row r="78" spans="1:68" ht="20.100000000000001" customHeight="1">
      <c r="A78" s="1845">
        <v>86</v>
      </c>
      <c r="B78" s="1854"/>
      <c r="C78" s="1847"/>
      <c r="D78" s="1869" t="s">
        <v>1557</v>
      </c>
      <c r="E78" s="1848"/>
      <c r="F78" s="1875"/>
      <c r="G78" s="2010" t="s">
        <v>571</v>
      </c>
      <c r="H78" s="2064"/>
      <c r="I78" s="2064"/>
      <c r="J78" s="2064"/>
      <c r="K78" s="2064"/>
      <c r="L78" s="2012">
        <f t="shared" ca="1" si="32"/>
        <v>0</v>
      </c>
      <c r="M78" s="2012">
        <f t="shared" ca="1" si="33"/>
        <v>0</v>
      </c>
      <c r="N78" s="2012">
        <f t="shared" ca="1" si="34"/>
        <v>0</v>
      </c>
      <c r="O78" s="2012">
        <f t="shared" ca="1" si="35"/>
        <v>0</v>
      </c>
      <c r="P78" s="2013">
        <f ca="1">SUM(SUMIFS(OFFSET(貼付け_2024実績,$A78,9,1,199),OFFSET(貼付け_2024実績,4,9,1,199),{"横浜*","川崎*"}))</f>
        <v>0</v>
      </c>
      <c r="Q78" s="2013">
        <f ca="1">SUM(SUMIFS(OFFSET(貼付け_2025実績,$A78,9,1,199),OFFSET(貼付け_2025実績,4,9,1,199),{"横浜*","川崎*"}))</f>
        <v>0</v>
      </c>
      <c r="R78" s="2013">
        <f ca="1">SUM(SUMIFS(OFFSET(貼付け_2026実績,$A78,9,1,199),OFFSET(貼付け_2026実績,4,9,1,199),{"横浜*","川崎*"}))</f>
        <v>0</v>
      </c>
      <c r="S78" s="2013">
        <f ca="1">SUM(SUMIFS(OFFSET(貼付け_2027実績,$A78,9,1,199),OFFSET(貼付け_2027実績,4,9,1,199),{"横浜*","川崎*"}))</f>
        <v>0</v>
      </c>
      <c r="T78" s="2012">
        <f t="shared" ca="1" si="36"/>
        <v>0</v>
      </c>
      <c r="U78" s="2012">
        <f t="shared" ca="1" si="37"/>
        <v>0</v>
      </c>
      <c r="V78" s="2012">
        <f t="shared" ca="1" si="38"/>
        <v>0</v>
      </c>
      <c r="W78" s="2012">
        <f t="shared" ca="1" si="39"/>
        <v>0</v>
      </c>
      <c r="X78" s="2014">
        <f t="shared" ca="1" si="40"/>
        <v>0</v>
      </c>
      <c r="Y78" s="2014">
        <f t="shared" ca="1" si="41"/>
        <v>0</v>
      </c>
      <c r="Z78" s="2014">
        <f t="shared" ca="1" si="42"/>
        <v>0</v>
      </c>
      <c r="AA78" s="2014">
        <f t="shared" ca="1" si="43"/>
        <v>0</v>
      </c>
      <c r="AB78" s="2014"/>
      <c r="AC78" s="2014"/>
      <c r="AD78" s="2014"/>
      <c r="AE78" s="2014"/>
      <c r="AF78" s="2014"/>
      <c r="AG78" s="2014"/>
      <c r="AH78" s="2014"/>
      <c r="AI78" s="2014"/>
      <c r="AJ78" s="2014"/>
      <c r="AK78" s="2014"/>
      <c r="AL78" s="2014"/>
      <c r="AM78" s="2014"/>
      <c r="AN78" s="2014"/>
      <c r="AO78" s="2014"/>
      <c r="AP78" s="2014"/>
      <c r="AQ78" s="2014"/>
      <c r="AR78" s="2014"/>
      <c r="AS78" s="2014"/>
      <c r="AT78" s="2014"/>
      <c r="AU78" s="2014"/>
      <c r="AV78" s="2014"/>
      <c r="AW78" s="2014"/>
      <c r="AX78" s="2014"/>
      <c r="AY78" s="2014"/>
      <c r="AZ78" s="2014"/>
      <c r="BA78" s="2014"/>
      <c r="BB78" s="2014"/>
      <c r="BC78" s="2014"/>
      <c r="BD78" s="2014"/>
      <c r="BE78" s="2014"/>
      <c r="BF78" s="2014"/>
      <c r="BG78" s="2014"/>
      <c r="BH78" s="2014"/>
      <c r="BI78" s="2014"/>
      <c r="BJ78" s="2014"/>
      <c r="BK78" s="2014"/>
      <c r="BL78" s="2014"/>
      <c r="BM78" s="2014"/>
      <c r="BN78" s="2014"/>
      <c r="BO78" s="2014"/>
      <c r="BP78" s="1862"/>
    </row>
    <row r="79" spans="1:68" ht="20.100000000000001" customHeight="1">
      <c r="A79" s="1845">
        <v>87</v>
      </c>
      <c r="B79" s="1854"/>
      <c r="C79" s="1847"/>
      <c r="D79" s="1869" t="s">
        <v>958</v>
      </c>
      <c r="E79" s="1848"/>
      <c r="F79" s="1875"/>
      <c r="G79" s="2010" t="s">
        <v>966</v>
      </c>
      <c r="H79" s="2011">
        <f ca="1">IFERROR(OFFSET(貼付け_2024実績,$A79,5),"")</f>
        <v>3.6</v>
      </c>
      <c r="I79" s="2011">
        <f ca="1">IFERROR(OFFSET(貼付け_2025実績,$A79,5),"")</f>
        <v>3.6</v>
      </c>
      <c r="J79" s="2011">
        <f ca="1">IFERROR(OFFSET(貼付け_2026実績,$A79,5),"")</f>
        <v>3.6</v>
      </c>
      <c r="K79" s="2011">
        <f ca="1">IFERROR(OFFSET(貼付け_2027実績,$A79,5),"")</f>
        <v>3.6</v>
      </c>
      <c r="L79" s="2012">
        <f t="shared" ca="1" si="32"/>
        <v>0</v>
      </c>
      <c r="M79" s="2012">
        <f t="shared" ca="1" si="33"/>
        <v>0</v>
      </c>
      <c r="N79" s="2012">
        <f t="shared" ca="1" si="34"/>
        <v>0</v>
      </c>
      <c r="O79" s="2012">
        <f t="shared" ca="1" si="35"/>
        <v>0</v>
      </c>
      <c r="P79" s="2013">
        <f ca="1">SUM(SUMIFS(OFFSET(貼付け_2024実績,$A79,9,1,199),OFFSET(貼付け_2024実績,4,9,1,199),{"横浜*","川崎*"}))</f>
        <v>0</v>
      </c>
      <c r="Q79" s="2013">
        <f ca="1">SUM(SUMIFS(OFFSET(貼付け_2025実績,$A79,9,1,199),OFFSET(貼付け_2025実績,4,9,1,199),{"横浜*","川崎*"}))</f>
        <v>0</v>
      </c>
      <c r="R79" s="2013">
        <f ca="1">SUM(SUMIFS(OFFSET(貼付け_2026実績,$A79,9,1,199),OFFSET(貼付け_2026実績,4,9,1,199),{"横浜*","川崎*"}))</f>
        <v>0</v>
      </c>
      <c r="S79" s="2013">
        <f ca="1">SUM(SUMIFS(OFFSET(貼付け_2027実績,$A79,9,1,199),OFFSET(貼付け_2027実績,4,9,1,199),{"横浜*","川崎*"}))</f>
        <v>0</v>
      </c>
      <c r="T79" s="2012">
        <f t="shared" ca="1" si="36"/>
        <v>0</v>
      </c>
      <c r="U79" s="2012">
        <f t="shared" ca="1" si="37"/>
        <v>0</v>
      </c>
      <c r="V79" s="2012">
        <f t="shared" ca="1" si="38"/>
        <v>0</v>
      </c>
      <c r="W79" s="2012">
        <f t="shared" ca="1" si="39"/>
        <v>0</v>
      </c>
      <c r="X79" s="2014">
        <f t="shared" ca="1" si="40"/>
        <v>0</v>
      </c>
      <c r="Y79" s="2014">
        <f t="shared" ca="1" si="41"/>
        <v>0</v>
      </c>
      <c r="Z79" s="2014">
        <f t="shared" ca="1" si="42"/>
        <v>0</v>
      </c>
      <c r="AA79" s="2014">
        <f t="shared" ca="1" si="43"/>
        <v>0</v>
      </c>
      <c r="AB79" s="2014"/>
      <c r="AC79" s="2014"/>
      <c r="AD79" s="2014"/>
      <c r="AE79" s="2014"/>
      <c r="AF79" s="2014"/>
      <c r="AG79" s="2014"/>
      <c r="AH79" s="2014"/>
      <c r="AI79" s="2014"/>
      <c r="AJ79" s="2014"/>
      <c r="AK79" s="2014"/>
      <c r="AL79" s="2014"/>
      <c r="AM79" s="2014"/>
      <c r="AN79" s="2014"/>
      <c r="AO79" s="2014"/>
      <c r="AP79" s="2014"/>
      <c r="AQ79" s="2014"/>
      <c r="AR79" s="2014"/>
      <c r="AS79" s="2014"/>
      <c r="AT79" s="2014"/>
      <c r="AU79" s="2014"/>
      <c r="AV79" s="2014"/>
      <c r="AW79" s="2014"/>
      <c r="AX79" s="2014"/>
      <c r="AY79" s="2014"/>
      <c r="AZ79" s="2014"/>
      <c r="BA79" s="2014"/>
      <c r="BB79" s="2014"/>
      <c r="BC79" s="2014"/>
      <c r="BD79" s="2014"/>
      <c r="BE79" s="2014"/>
      <c r="BF79" s="2014"/>
      <c r="BG79" s="2014"/>
      <c r="BH79" s="2014"/>
      <c r="BI79" s="2014"/>
      <c r="BJ79" s="2014"/>
      <c r="BK79" s="2014"/>
      <c r="BL79" s="2014"/>
      <c r="BM79" s="2014"/>
      <c r="BN79" s="2014"/>
      <c r="BO79" s="2014"/>
      <c r="BP79" s="1862"/>
    </row>
    <row r="80" spans="1:68" ht="20.100000000000001" customHeight="1">
      <c r="A80" s="1845">
        <v>88</v>
      </c>
      <c r="B80" s="1854"/>
      <c r="C80" s="1847"/>
      <c r="D80" s="1869" t="s">
        <v>958</v>
      </c>
      <c r="E80" s="1848"/>
      <c r="F80" s="1875"/>
      <c r="G80" s="2010" t="s">
        <v>571</v>
      </c>
      <c r="H80" s="2064"/>
      <c r="I80" s="2064"/>
      <c r="J80" s="2064"/>
      <c r="K80" s="2064"/>
      <c r="L80" s="2012">
        <f t="shared" ca="1" si="32"/>
        <v>0</v>
      </c>
      <c r="M80" s="2012">
        <f t="shared" ca="1" si="33"/>
        <v>0</v>
      </c>
      <c r="N80" s="2012">
        <f t="shared" ca="1" si="34"/>
        <v>0</v>
      </c>
      <c r="O80" s="2012">
        <f t="shared" ca="1" si="35"/>
        <v>0</v>
      </c>
      <c r="P80" s="2013">
        <f ca="1">SUM(SUMIFS(OFFSET(貼付け_2024実績,$A80,9,1,199),OFFSET(貼付け_2024実績,4,9,1,199),{"横浜*","川崎*"}))</f>
        <v>0</v>
      </c>
      <c r="Q80" s="2013">
        <f ca="1">SUM(SUMIFS(OFFSET(貼付け_2025実績,$A80,9,1,199),OFFSET(貼付け_2025実績,4,9,1,199),{"横浜*","川崎*"}))</f>
        <v>0</v>
      </c>
      <c r="R80" s="2013">
        <f ca="1">SUM(SUMIFS(OFFSET(貼付け_2026実績,$A80,9,1,199),OFFSET(貼付け_2026実績,4,9,1,199),{"横浜*","川崎*"}))</f>
        <v>0</v>
      </c>
      <c r="S80" s="2013">
        <f ca="1">SUM(SUMIFS(OFFSET(貼付け_2027実績,$A80,9,1,199),OFFSET(貼付け_2027実績,4,9,1,199),{"横浜*","川崎*"}))</f>
        <v>0</v>
      </c>
      <c r="T80" s="2012">
        <f t="shared" ca="1" si="36"/>
        <v>0</v>
      </c>
      <c r="U80" s="2012">
        <f t="shared" ca="1" si="37"/>
        <v>0</v>
      </c>
      <c r="V80" s="2012">
        <f t="shared" ca="1" si="38"/>
        <v>0</v>
      </c>
      <c r="W80" s="2012">
        <f t="shared" ca="1" si="39"/>
        <v>0</v>
      </c>
      <c r="X80" s="2014">
        <f t="shared" ca="1" si="40"/>
        <v>0</v>
      </c>
      <c r="Y80" s="2014">
        <f t="shared" ca="1" si="41"/>
        <v>0</v>
      </c>
      <c r="Z80" s="2014">
        <f t="shared" ca="1" si="42"/>
        <v>0</v>
      </c>
      <c r="AA80" s="2014">
        <f t="shared" ca="1" si="43"/>
        <v>0</v>
      </c>
      <c r="AB80" s="2014"/>
      <c r="AC80" s="2014"/>
      <c r="AD80" s="2014"/>
      <c r="AE80" s="2014"/>
      <c r="AF80" s="2014"/>
      <c r="AG80" s="2014"/>
      <c r="AH80" s="2014"/>
      <c r="AI80" s="2014"/>
      <c r="AJ80" s="2014"/>
      <c r="AK80" s="2014"/>
      <c r="AL80" s="2014"/>
      <c r="AM80" s="2014"/>
      <c r="AN80" s="2014"/>
      <c r="AO80" s="2014"/>
      <c r="AP80" s="2014"/>
      <c r="AQ80" s="2014"/>
      <c r="AR80" s="2014"/>
      <c r="AS80" s="2014"/>
      <c r="AT80" s="2014"/>
      <c r="AU80" s="2014"/>
      <c r="AV80" s="2014"/>
      <c r="AW80" s="2014"/>
      <c r="AX80" s="2014"/>
      <c r="AY80" s="2014"/>
      <c r="AZ80" s="2014"/>
      <c r="BA80" s="2014"/>
      <c r="BB80" s="2014"/>
      <c r="BC80" s="2014"/>
      <c r="BD80" s="2014"/>
      <c r="BE80" s="2014"/>
      <c r="BF80" s="2014"/>
      <c r="BG80" s="2014"/>
      <c r="BH80" s="2014"/>
      <c r="BI80" s="2014"/>
      <c r="BJ80" s="2014"/>
      <c r="BK80" s="2014"/>
      <c r="BL80" s="2014"/>
      <c r="BM80" s="2014"/>
      <c r="BN80" s="2014"/>
      <c r="BO80" s="2014"/>
      <c r="BP80" s="1862"/>
    </row>
    <row r="81" spans="1:68" ht="20.100000000000001" customHeight="1">
      <c r="A81" s="1845">
        <v>89</v>
      </c>
      <c r="B81" s="1854"/>
      <c r="C81" s="1847"/>
      <c r="D81" s="1869" t="s">
        <v>1558</v>
      </c>
      <c r="E81" s="1848"/>
      <c r="F81" s="1875"/>
      <c r="G81" s="2010" t="s">
        <v>966</v>
      </c>
      <c r="H81" s="2011">
        <f ca="1">IFERROR(OFFSET(貼付け_2024実績,$A81,5),"")</f>
        <v>3.6</v>
      </c>
      <c r="I81" s="2011">
        <f ca="1">IFERROR(OFFSET(貼付け_2025実績,$A81,5),"")</f>
        <v>3.6</v>
      </c>
      <c r="J81" s="2011">
        <f ca="1">IFERROR(OFFSET(貼付け_2026実績,$A81,5),"")</f>
        <v>3.6</v>
      </c>
      <c r="K81" s="2011">
        <f ca="1">IFERROR(OFFSET(貼付け_2027実績,$A81,5),"")</f>
        <v>3.6</v>
      </c>
      <c r="L81" s="2012">
        <f t="shared" ca="1" si="32"/>
        <v>0</v>
      </c>
      <c r="M81" s="2012">
        <f t="shared" ca="1" si="33"/>
        <v>0</v>
      </c>
      <c r="N81" s="2012">
        <f t="shared" ca="1" si="34"/>
        <v>0</v>
      </c>
      <c r="O81" s="2012">
        <f t="shared" ca="1" si="35"/>
        <v>0</v>
      </c>
      <c r="P81" s="2013">
        <f ca="1">SUM(SUMIFS(OFFSET(貼付け_2024実績,$A81,9,1,199),OFFSET(貼付け_2024実績,4,9,1,199),{"横浜*","川崎*"}))</f>
        <v>0</v>
      </c>
      <c r="Q81" s="2013">
        <f ca="1">SUM(SUMIFS(OFFSET(貼付け_2025実績,$A81,9,1,199),OFFSET(貼付け_2025実績,4,9,1,199),{"横浜*","川崎*"}))</f>
        <v>0</v>
      </c>
      <c r="R81" s="2013">
        <f ca="1">SUM(SUMIFS(OFFSET(貼付け_2026実績,$A81,9,1,199),OFFSET(貼付け_2026実績,4,9,1,199),{"横浜*","川崎*"}))</f>
        <v>0</v>
      </c>
      <c r="S81" s="2013">
        <f ca="1">SUM(SUMIFS(OFFSET(貼付け_2027実績,$A81,9,1,199),OFFSET(貼付け_2027実績,4,9,1,199),{"横浜*","川崎*"}))</f>
        <v>0</v>
      </c>
      <c r="T81" s="2012">
        <f t="shared" ca="1" si="36"/>
        <v>0</v>
      </c>
      <c r="U81" s="2012">
        <f t="shared" ca="1" si="37"/>
        <v>0</v>
      </c>
      <c r="V81" s="2012">
        <f t="shared" ca="1" si="38"/>
        <v>0</v>
      </c>
      <c r="W81" s="2012">
        <f t="shared" ca="1" si="39"/>
        <v>0</v>
      </c>
      <c r="X81" s="2014">
        <f t="shared" ca="1" si="40"/>
        <v>0</v>
      </c>
      <c r="Y81" s="2014">
        <f t="shared" ca="1" si="41"/>
        <v>0</v>
      </c>
      <c r="Z81" s="2014">
        <f t="shared" ca="1" si="42"/>
        <v>0</v>
      </c>
      <c r="AA81" s="2014">
        <f t="shared" ca="1" si="43"/>
        <v>0</v>
      </c>
      <c r="AB81" s="2014"/>
      <c r="AC81" s="2014"/>
      <c r="AD81" s="2014"/>
      <c r="AE81" s="2014"/>
      <c r="AF81" s="2014"/>
      <c r="AG81" s="2014"/>
      <c r="AH81" s="2014"/>
      <c r="AI81" s="2014"/>
      <c r="AJ81" s="2014"/>
      <c r="AK81" s="2014"/>
      <c r="AL81" s="2014"/>
      <c r="AM81" s="2014"/>
      <c r="AN81" s="2014"/>
      <c r="AO81" s="2014"/>
      <c r="AP81" s="2014"/>
      <c r="AQ81" s="2014"/>
      <c r="AR81" s="2014"/>
      <c r="AS81" s="2014"/>
      <c r="AT81" s="2014"/>
      <c r="AU81" s="2014"/>
      <c r="AV81" s="2014"/>
      <c r="AW81" s="2014"/>
      <c r="AX81" s="2014"/>
      <c r="AY81" s="2014"/>
      <c r="AZ81" s="2014"/>
      <c r="BA81" s="2014"/>
      <c r="BB81" s="2014"/>
      <c r="BC81" s="2014"/>
      <c r="BD81" s="2014"/>
      <c r="BE81" s="2014"/>
      <c r="BF81" s="2014"/>
      <c r="BG81" s="2014"/>
      <c r="BH81" s="2014"/>
      <c r="BI81" s="2014"/>
      <c r="BJ81" s="2014"/>
      <c r="BK81" s="2014"/>
      <c r="BL81" s="2014"/>
      <c r="BM81" s="2014"/>
      <c r="BN81" s="2014"/>
      <c r="BO81" s="2014"/>
      <c r="BP81" s="1862"/>
    </row>
    <row r="82" spans="1:68" ht="20.100000000000001" customHeight="1">
      <c r="A82" s="1845">
        <v>90</v>
      </c>
      <c r="B82" s="1854"/>
      <c r="C82" s="1847"/>
      <c r="D82" s="1869" t="s">
        <v>1559</v>
      </c>
      <c r="E82" s="1848"/>
      <c r="F82" s="1875"/>
      <c r="G82" s="2010" t="s">
        <v>571</v>
      </c>
      <c r="H82" s="2064"/>
      <c r="I82" s="2064"/>
      <c r="J82" s="2064"/>
      <c r="K82" s="2064"/>
      <c r="L82" s="2012">
        <f t="shared" ca="1" si="32"/>
        <v>0</v>
      </c>
      <c r="M82" s="2012">
        <f t="shared" ca="1" si="33"/>
        <v>0</v>
      </c>
      <c r="N82" s="2012">
        <f t="shared" ca="1" si="34"/>
        <v>0</v>
      </c>
      <c r="O82" s="2012">
        <f t="shared" ca="1" si="35"/>
        <v>0</v>
      </c>
      <c r="P82" s="2013">
        <f ca="1">SUM(SUMIFS(OFFSET(貼付け_2024実績,$A82,9,1,199),OFFSET(貼付け_2024実績,4,9,1,199),{"横浜*","川崎*"}))</f>
        <v>0</v>
      </c>
      <c r="Q82" s="2013">
        <f ca="1">SUM(SUMIFS(OFFSET(貼付け_2025実績,$A82,9,1,199),OFFSET(貼付け_2025実績,4,9,1,199),{"横浜*","川崎*"}))</f>
        <v>0</v>
      </c>
      <c r="R82" s="2013">
        <f ca="1">SUM(SUMIFS(OFFSET(貼付け_2026実績,$A82,9,1,199),OFFSET(貼付け_2026実績,4,9,1,199),{"横浜*","川崎*"}))</f>
        <v>0</v>
      </c>
      <c r="S82" s="2013">
        <f ca="1">SUM(SUMIFS(OFFSET(貼付け_2027実績,$A82,9,1,199),OFFSET(貼付け_2027実績,4,9,1,199),{"横浜*","川崎*"}))</f>
        <v>0</v>
      </c>
      <c r="T82" s="2012">
        <f t="shared" ca="1" si="36"/>
        <v>0</v>
      </c>
      <c r="U82" s="2012">
        <f t="shared" ca="1" si="37"/>
        <v>0</v>
      </c>
      <c r="V82" s="2012">
        <f t="shared" ca="1" si="38"/>
        <v>0</v>
      </c>
      <c r="W82" s="2012">
        <f t="shared" ca="1" si="39"/>
        <v>0</v>
      </c>
      <c r="X82" s="2014">
        <f t="shared" ca="1" si="40"/>
        <v>0</v>
      </c>
      <c r="Y82" s="2014">
        <f t="shared" ca="1" si="41"/>
        <v>0</v>
      </c>
      <c r="Z82" s="2014">
        <f t="shared" ca="1" si="42"/>
        <v>0</v>
      </c>
      <c r="AA82" s="2014">
        <f t="shared" ca="1" si="43"/>
        <v>0</v>
      </c>
      <c r="AB82" s="2014"/>
      <c r="AC82" s="2014"/>
      <c r="AD82" s="2014"/>
      <c r="AE82" s="2014"/>
      <c r="AF82" s="2014"/>
      <c r="AG82" s="2014"/>
      <c r="AH82" s="2014"/>
      <c r="AI82" s="2014"/>
      <c r="AJ82" s="2014"/>
      <c r="AK82" s="2014"/>
      <c r="AL82" s="2014"/>
      <c r="AM82" s="2014"/>
      <c r="AN82" s="2014"/>
      <c r="AO82" s="2014"/>
      <c r="AP82" s="2014"/>
      <c r="AQ82" s="2014"/>
      <c r="AR82" s="2014"/>
      <c r="AS82" s="2014"/>
      <c r="AT82" s="2014"/>
      <c r="AU82" s="2014"/>
      <c r="AV82" s="2014"/>
      <c r="AW82" s="2014"/>
      <c r="AX82" s="2014"/>
      <c r="AY82" s="2014"/>
      <c r="AZ82" s="2014"/>
      <c r="BA82" s="2014"/>
      <c r="BB82" s="2014"/>
      <c r="BC82" s="2014"/>
      <c r="BD82" s="2014"/>
      <c r="BE82" s="2014"/>
      <c r="BF82" s="2014"/>
      <c r="BG82" s="2014"/>
      <c r="BH82" s="2014"/>
      <c r="BI82" s="2014"/>
      <c r="BJ82" s="2014"/>
      <c r="BK82" s="2014"/>
      <c r="BL82" s="2014"/>
      <c r="BM82" s="2014"/>
      <c r="BN82" s="2014"/>
      <c r="BO82" s="2014"/>
      <c r="BP82" s="1862"/>
    </row>
    <row r="83" spans="1:68" ht="20.100000000000001" customHeight="1">
      <c r="A83" s="1845">
        <v>91</v>
      </c>
      <c r="B83" s="1854"/>
      <c r="C83" s="1847"/>
      <c r="D83" s="1981" t="s">
        <v>974</v>
      </c>
      <c r="E83" s="1982" t="str">
        <f ca="1">OFFSET(A1_その他欄集計,14,7)</f>
        <v/>
      </c>
      <c r="F83" s="1879"/>
      <c r="G83" s="2010" t="s">
        <v>966</v>
      </c>
      <c r="H83" s="2011">
        <f ca="1">IFERROR(OFFSET(貼付け_2024実績,$A83,5),"")</f>
        <v>0</v>
      </c>
      <c r="I83" s="2011">
        <f ca="1">IFERROR(OFFSET(貼付け_2025実績,$A83,5),"")</f>
        <v>0</v>
      </c>
      <c r="J83" s="2011">
        <f ca="1">IFERROR(OFFSET(貼付け_2026実績,$A83,5),"")</f>
        <v>0</v>
      </c>
      <c r="K83" s="2011">
        <f ca="1">IFERROR(OFFSET(貼付け_2027実績,$A83,5),"")</f>
        <v>0</v>
      </c>
      <c r="L83" s="2012">
        <f t="shared" ca="1" si="32"/>
        <v>0</v>
      </c>
      <c r="M83" s="2012">
        <f t="shared" ca="1" si="33"/>
        <v>0</v>
      </c>
      <c r="N83" s="2012">
        <f t="shared" ca="1" si="34"/>
        <v>0</v>
      </c>
      <c r="O83" s="2012">
        <f t="shared" ca="1" si="35"/>
        <v>0</v>
      </c>
      <c r="P83" s="2013">
        <f ca="1">SUM(SUMIFS(OFFSET(貼付け_2024実績,$A83,9,1,199),OFFSET(貼付け_2024実績,4,9,1,199),{"横浜*","川崎*"}))</f>
        <v>0</v>
      </c>
      <c r="Q83" s="2013">
        <f ca="1">SUM(SUMIFS(OFFSET(貼付け_2025実績,$A83,9,1,199),OFFSET(貼付け_2025実績,4,9,1,199),{"横浜*","川崎*"}))</f>
        <v>0</v>
      </c>
      <c r="R83" s="2013">
        <f ca="1">SUM(SUMIFS(OFFSET(貼付け_2026実績,$A83,9,1,199),OFFSET(貼付け_2026実績,4,9,1,199),{"横浜*","川崎*"}))</f>
        <v>0</v>
      </c>
      <c r="S83" s="2013">
        <f ca="1">SUM(SUMIFS(OFFSET(貼付け_2027実績,$A83,9,1,199),OFFSET(貼付け_2027実績,4,9,1,199),{"横浜*","川崎*"}))</f>
        <v>0</v>
      </c>
      <c r="T83" s="2012">
        <f t="shared" ca="1" si="36"/>
        <v>0</v>
      </c>
      <c r="U83" s="2012">
        <f t="shared" ca="1" si="37"/>
        <v>0</v>
      </c>
      <c r="V83" s="2012">
        <f t="shared" ca="1" si="38"/>
        <v>0</v>
      </c>
      <c r="W83" s="2012">
        <f t="shared" ca="1" si="39"/>
        <v>0</v>
      </c>
      <c r="X83" s="2014">
        <f t="shared" ca="1" si="40"/>
        <v>0</v>
      </c>
      <c r="Y83" s="2014">
        <f t="shared" ca="1" si="41"/>
        <v>0</v>
      </c>
      <c r="Z83" s="2014">
        <f t="shared" ca="1" si="42"/>
        <v>0</v>
      </c>
      <c r="AA83" s="2014">
        <f t="shared" ca="1" si="43"/>
        <v>0</v>
      </c>
      <c r="AB83" s="2014"/>
      <c r="AC83" s="2014"/>
      <c r="AD83" s="2014"/>
      <c r="AE83" s="2014"/>
      <c r="AF83" s="2014"/>
      <c r="AG83" s="2014"/>
      <c r="AH83" s="2014"/>
      <c r="AI83" s="2014"/>
      <c r="AJ83" s="2014"/>
      <c r="AK83" s="2014"/>
      <c r="AL83" s="2014"/>
      <c r="AM83" s="2014"/>
      <c r="AN83" s="2014"/>
      <c r="AO83" s="2014"/>
      <c r="AP83" s="2014"/>
      <c r="AQ83" s="2014"/>
      <c r="AR83" s="2014"/>
      <c r="AS83" s="2014"/>
      <c r="AT83" s="2014"/>
      <c r="AU83" s="2014"/>
      <c r="AV83" s="2014"/>
      <c r="AW83" s="2014"/>
      <c r="AX83" s="2014"/>
      <c r="AY83" s="2014"/>
      <c r="AZ83" s="2014"/>
      <c r="BA83" s="2014"/>
      <c r="BB83" s="2014"/>
      <c r="BC83" s="2014"/>
      <c r="BD83" s="2014"/>
      <c r="BE83" s="2014"/>
      <c r="BF83" s="2014"/>
      <c r="BG83" s="2014"/>
      <c r="BH83" s="2014"/>
      <c r="BI83" s="2014"/>
      <c r="BJ83" s="2014"/>
      <c r="BK83" s="2014"/>
      <c r="BL83" s="2014"/>
      <c r="BM83" s="2014"/>
      <c r="BN83" s="2014"/>
      <c r="BO83" s="2014"/>
      <c r="BP83" s="1862"/>
    </row>
    <row r="84" spans="1:68" ht="20.100000000000001" customHeight="1">
      <c r="A84" s="1845">
        <v>92</v>
      </c>
      <c r="B84" s="1854"/>
      <c r="C84" s="1847"/>
      <c r="D84" s="1981"/>
      <c r="E84" s="1983"/>
      <c r="F84" s="1882"/>
      <c r="G84" s="2010" t="s">
        <v>571</v>
      </c>
      <c r="H84" s="2064"/>
      <c r="I84" s="2064"/>
      <c r="J84" s="2064"/>
      <c r="K84" s="2064"/>
      <c r="L84" s="2012">
        <f t="shared" ca="1" si="32"/>
        <v>0</v>
      </c>
      <c r="M84" s="2012">
        <f t="shared" ca="1" si="33"/>
        <v>0</v>
      </c>
      <c r="N84" s="2012">
        <f t="shared" ca="1" si="34"/>
        <v>0</v>
      </c>
      <c r="O84" s="2012">
        <f t="shared" ca="1" si="35"/>
        <v>0</v>
      </c>
      <c r="P84" s="2013">
        <f ca="1">SUM(SUMIFS(OFFSET(貼付け_2024実績,$A84,9,1,199),OFFSET(貼付け_2024実績,4,9,1,199),{"横浜*","川崎*"}))</f>
        <v>0</v>
      </c>
      <c r="Q84" s="2013">
        <f ca="1">SUM(SUMIFS(OFFSET(貼付け_2025実績,$A84,9,1,199),OFFSET(貼付け_2025実績,4,9,1,199),{"横浜*","川崎*"}))</f>
        <v>0</v>
      </c>
      <c r="R84" s="2013">
        <f ca="1">SUM(SUMIFS(OFFSET(貼付け_2026実績,$A84,9,1,199),OFFSET(貼付け_2026実績,4,9,1,199),{"横浜*","川崎*"}))</f>
        <v>0</v>
      </c>
      <c r="S84" s="2013">
        <f ca="1">SUM(SUMIFS(OFFSET(貼付け_2027実績,$A84,9,1,199),OFFSET(貼付け_2027実績,4,9,1,199),{"横浜*","川崎*"}))</f>
        <v>0</v>
      </c>
      <c r="T84" s="2012">
        <f t="shared" ca="1" si="36"/>
        <v>0</v>
      </c>
      <c r="U84" s="2012">
        <f t="shared" ca="1" si="37"/>
        <v>0</v>
      </c>
      <c r="V84" s="2012">
        <f t="shared" ca="1" si="38"/>
        <v>0</v>
      </c>
      <c r="W84" s="2012">
        <f t="shared" ca="1" si="39"/>
        <v>0</v>
      </c>
      <c r="X84" s="2014">
        <f t="shared" ca="1" si="40"/>
        <v>0</v>
      </c>
      <c r="Y84" s="2014">
        <f t="shared" ca="1" si="41"/>
        <v>0</v>
      </c>
      <c r="Z84" s="2014">
        <f t="shared" ca="1" si="42"/>
        <v>0</v>
      </c>
      <c r="AA84" s="2014">
        <f t="shared" ca="1" si="43"/>
        <v>0</v>
      </c>
      <c r="AB84" s="2014"/>
      <c r="AC84" s="2014"/>
      <c r="AD84" s="2014"/>
      <c r="AE84" s="2014"/>
      <c r="AF84" s="2014"/>
      <c r="AG84" s="2014"/>
      <c r="AH84" s="2014"/>
      <c r="AI84" s="2014"/>
      <c r="AJ84" s="2014"/>
      <c r="AK84" s="2014"/>
      <c r="AL84" s="2014"/>
      <c r="AM84" s="2014"/>
      <c r="AN84" s="2014"/>
      <c r="AO84" s="2014"/>
      <c r="AP84" s="2014"/>
      <c r="AQ84" s="2014"/>
      <c r="AR84" s="2014"/>
      <c r="AS84" s="2014"/>
      <c r="AT84" s="2014"/>
      <c r="AU84" s="2014"/>
      <c r="AV84" s="2014"/>
      <c r="AW84" s="2014"/>
      <c r="AX84" s="2014"/>
      <c r="AY84" s="2014"/>
      <c r="AZ84" s="2014"/>
      <c r="BA84" s="2014"/>
      <c r="BB84" s="2014"/>
      <c r="BC84" s="2014"/>
      <c r="BD84" s="2014"/>
      <c r="BE84" s="2014"/>
      <c r="BF84" s="2014"/>
      <c r="BG84" s="2014"/>
      <c r="BH84" s="2014"/>
      <c r="BI84" s="2014"/>
      <c r="BJ84" s="2014"/>
      <c r="BK84" s="2014"/>
      <c r="BL84" s="2014"/>
      <c r="BM84" s="2014"/>
      <c r="BN84" s="2014"/>
      <c r="BO84" s="2014"/>
      <c r="BP84" s="1862"/>
    </row>
    <row r="85" spans="1:68" ht="20.100000000000001" customHeight="1">
      <c r="A85" s="1845">
        <v>93</v>
      </c>
      <c r="B85" s="1854"/>
      <c r="C85" s="1847"/>
      <c r="D85" s="1981" t="s">
        <v>975</v>
      </c>
      <c r="E85" s="1982" t="str">
        <f ca="1">OFFSET(A1_その他欄集計,15,7)</f>
        <v/>
      </c>
      <c r="F85" s="1879"/>
      <c r="G85" s="2010" t="s">
        <v>966</v>
      </c>
      <c r="H85" s="2011">
        <f ca="1">IFERROR(OFFSET(貼付け_2024実績,$A85,5),"")</f>
        <v>0</v>
      </c>
      <c r="I85" s="2011">
        <f ca="1">IFERROR(OFFSET(貼付け_2025実績,$A85,5),"")</f>
        <v>0</v>
      </c>
      <c r="J85" s="2011">
        <f ca="1">IFERROR(OFFSET(貼付け_2026実績,$A85,5),"")</f>
        <v>0</v>
      </c>
      <c r="K85" s="2011">
        <f ca="1">IFERROR(OFFSET(貼付け_2027実績,$A85,5),"")</f>
        <v>0</v>
      </c>
      <c r="L85" s="2012">
        <f t="shared" ca="1" si="32"/>
        <v>0</v>
      </c>
      <c r="M85" s="2012">
        <f t="shared" ca="1" si="33"/>
        <v>0</v>
      </c>
      <c r="N85" s="2012">
        <f t="shared" ca="1" si="34"/>
        <v>0</v>
      </c>
      <c r="O85" s="2012">
        <f t="shared" ca="1" si="35"/>
        <v>0</v>
      </c>
      <c r="P85" s="2013">
        <f ca="1">SUM(SUMIFS(OFFSET(貼付け_2024実績,$A85,9,1,199),OFFSET(貼付け_2024実績,4,9,1,199),{"横浜*","川崎*"}))</f>
        <v>0</v>
      </c>
      <c r="Q85" s="2013">
        <f ca="1">SUM(SUMIFS(OFFSET(貼付け_2025実績,$A85,9,1,199),OFFSET(貼付け_2025実績,4,9,1,199),{"横浜*","川崎*"}))</f>
        <v>0</v>
      </c>
      <c r="R85" s="2013">
        <f ca="1">SUM(SUMIFS(OFFSET(貼付け_2026実績,$A85,9,1,199),OFFSET(貼付け_2026実績,4,9,1,199),{"横浜*","川崎*"}))</f>
        <v>0</v>
      </c>
      <c r="S85" s="2013">
        <f ca="1">SUM(SUMIFS(OFFSET(貼付け_2027実績,$A85,9,1,199),OFFSET(貼付け_2027実績,4,9,1,199),{"横浜*","川崎*"}))</f>
        <v>0</v>
      </c>
      <c r="T85" s="2012">
        <f t="shared" ca="1" si="36"/>
        <v>0</v>
      </c>
      <c r="U85" s="2012">
        <f t="shared" ca="1" si="37"/>
        <v>0</v>
      </c>
      <c r="V85" s="2012">
        <f t="shared" ca="1" si="38"/>
        <v>0</v>
      </c>
      <c r="W85" s="2012">
        <f t="shared" ca="1" si="39"/>
        <v>0</v>
      </c>
      <c r="X85" s="2014">
        <f t="shared" ca="1" si="40"/>
        <v>0</v>
      </c>
      <c r="Y85" s="2014">
        <f t="shared" ca="1" si="41"/>
        <v>0</v>
      </c>
      <c r="Z85" s="2014">
        <f t="shared" ca="1" si="42"/>
        <v>0</v>
      </c>
      <c r="AA85" s="2014">
        <f t="shared" ca="1" si="43"/>
        <v>0</v>
      </c>
      <c r="AB85" s="2014"/>
      <c r="AC85" s="2014"/>
      <c r="AD85" s="2014"/>
      <c r="AE85" s="2014"/>
      <c r="AF85" s="2014"/>
      <c r="AG85" s="2014"/>
      <c r="AH85" s="2014"/>
      <c r="AI85" s="2014"/>
      <c r="AJ85" s="2014"/>
      <c r="AK85" s="2014"/>
      <c r="AL85" s="2014"/>
      <c r="AM85" s="2014"/>
      <c r="AN85" s="2014"/>
      <c r="AO85" s="2014"/>
      <c r="AP85" s="2014"/>
      <c r="AQ85" s="2014"/>
      <c r="AR85" s="2014"/>
      <c r="AS85" s="2014"/>
      <c r="AT85" s="2014"/>
      <c r="AU85" s="2014"/>
      <c r="AV85" s="2014"/>
      <c r="AW85" s="2014"/>
      <c r="AX85" s="2014"/>
      <c r="AY85" s="2014"/>
      <c r="AZ85" s="2014"/>
      <c r="BA85" s="2014"/>
      <c r="BB85" s="2014"/>
      <c r="BC85" s="2014"/>
      <c r="BD85" s="2014"/>
      <c r="BE85" s="2014"/>
      <c r="BF85" s="2014"/>
      <c r="BG85" s="2014"/>
      <c r="BH85" s="2014"/>
      <c r="BI85" s="2014"/>
      <c r="BJ85" s="2014"/>
      <c r="BK85" s="2014"/>
      <c r="BL85" s="2014"/>
      <c r="BM85" s="2014"/>
      <c r="BN85" s="2014"/>
      <c r="BO85" s="2014"/>
      <c r="BP85" s="1862"/>
    </row>
    <row r="86" spans="1:68" ht="20.100000000000001" customHeight="1">
      <c r="A86" s="1845">
        <v>94</v>
      </c>
      <c r="B86" s="1854"/>
      <c r="C86" s="1847"/>
      <c r="D86" s="1981"/>
      <c r="E86" s="1983"/>
      <c r="F86" s="1882"/>
      <c r="G86" s="2010" t="s">
        <v>571</v>
      </c>
      <c r="H86" s="2064"/>
      <c r="I86" s="2064"/>
      <c r="J86" s="2064"/>
      <c r="K86" s="2064"/>
      <c r="L86" s="2012">
        <f t="shared" ca="1" si="32"/>
        <v>0</v>
      </c>
      <c r="M86" s="2012">
        <f t="shared" ca="1" si="33"/>
        <v>0</v>
      </c>
      <c r="N86" s="2012">
        <f t="shared" ca="1" si="34"/>
        <v>0</v>
      </c>
      <c r="O86" s="2012">
        <f t="shared" ca="1" si="35"/>
        <v>0</v>
      </c>
      <c r="P86" s="2013">
        <f ca="1">SUM(SUMIFS(OFFSET(貼付け_2024実績,$A86,9,1,199),OFFSET(貼付け_2024実績,4,9,1,199),{"横浜*","川崎*"}))</f>
        <v>0</v>
      </c>
      <c r="Q86" s="2013">
        <f ca="1">SUM(SUMIFS(OFFSET(貼付け_2025実績,$A86,9,1,199),OFFSET(貼付け_2025実績,4,9,1,199),{"横浜*","川崎*"}))</f>
        <v>0</v>
      </c>
      <c r="R86" s="2013">
        <f ca="1">SUM(SUMIFS(OFFSET(貼付け_2026実績,$A86,9,1,199),OFFSET(貼付け_2026実績,4,9,1,199),{"横浜*","川崎*"}))</f>
        <v>0</v>
      </c>
      <c r="S86" s="2013">
        <f ca="1">SUM(SUMIFS(OFFSET(貼付け_2027実績,$A86,9,1,199),OFFSET(貼付け_2027実績,4,9,1,199),{"横浜*","川崎*"}))</f>
        <v>0</v>
      </c>
      <c r="T86" s="2012">
        <f t="shared" ca="1" si="36"/>
        <v>0</v>
      </c>
      <c r="U86" s="2012">
        <f t="shared" ca="1" si="37"/>
        <v>0</v>
      </c>
      <c r="V86" s="2012">
        <f t="shared" ca="1" si="38"/>
        <v>0</v>
      </c>
      <c r="W86" s="2012">
        <f t="shared" ca="1" si="39"/>
        <v>0</v>
      </c>
      <c r="X86" s="2014">
        <f t="shared" ca="1" si="40"/>
        <v>0</v>
      </c>
      <c r="Y86" s="2014">
        <f t="shared" ca="1" si="41"/>
        <v>0</v>
      </c>
      <c r="Z86" s="2014">
        <f t="shared" ca="1" si="42"/>
        <v>0</v>
      </c>
      <c r="AA86" s="2014">
        <f t="shared" ca="1" si="43"/>
        <v>0</v>
      </c>
      <c r="AB86" s="2014"/>
      <c r="AC86" s="2014"/>
      <c r="AD86" s="2014"/>
      <c r="AE86" s="2014"/>
      <c r="AF86" s="2014"/>
      <c r="AG86" s="2014"/>
      <c r="AH86" s="2014"/>
      <c r="AI86" s="2014"/>
      <c r="AJ86" s="2014"/>
      <c r="AK86" s="2014"/>
      <c r="AL86" s="2014"/>
      <c r="AM86" s="2014"/>
      <c r="AN86" s="2014"/>
      <c r="AO86" s="2014"/>
      <c r="AP86" s="2014"/>
      <c r="AQ86" s="2014"/>
      <c r="AR86" s="2014"/>
      <c r="AS86" s="2014"/>
      <c r="AT86" s="2014"/>
      <c r="AU86" s="2014"/>
      <c r="AV86" s="2014"/>
      <c r="AW86" s="2014"/>
      <c r="AX86" s="2014"/>
      <c r="AY86" s="2014"/>
      <c r="AZ86" s="2014"/>
      <c r="BA86" s="2014"/>
      <c r="BB86" s="2014"/>
      <c r="BC86" s="2014"/>
      <c r="BD86" s="2014"/>
      <c r="BE86" s="2014"/>
      <c r="BF86" s="2014"/>
      <c r="BG86" s="2014"/>
      <c r="BH86" s="2014"/>
      <c r="BI86" s="2014"/>
      <c r="BJ86" s="2014"/>
      <c r="BK86" s="2014"/>
      <c r="BL86" s="2014"/>
      <c r="BM86" s="2014"/>
      <c r="BN86" s="2014"/>
      <c r="BO86" s="2014"/>
      <c r="BP86" s="1862"/>
    </row>
    <row r="87" spans="1:68" ht="20.100000000000001" customHeight="1">
      <c r="A87" s="1845">
        <v>95</v>
      </c>
      <c r="B87" s="1854"/>
      <c r="C87" s="1847"/>
      <c r="D87" s="1869" t="s">
        <v>976</v>
      </c>
      <c r="E87" s="1983" t="str">
        <f ca="1">OFFSET(A1_その他欄集計,16,7)</f>
        <v/>
      </c>
      <c r="F87" s="1849" t="s">
        <v>11</v>
      </c>
      <c r="G87" s="2010" t="s">
        <v>966</v>
      </c>
      <c r="H87" s="2011">
        <f ca="1">IFERROR(OFFSET(貼付け_2024実績,$A87,5),"")</f>
        <v>8.64</v>
      </c>
      <c r="I87" s="2011">
        <f ca="1">IFERROR(OFFSET(貼付け_2025実績,$A87,5),"")</f>
        <v>8.64</v>
      </c>
      <c r="J87" s="2011">
        <f ca="1">IFERROR(OFFSET(貼付け_2026実績,$A87,5),"")</f>
        <v>8.64</v>
      </c>
      <c r="K87" s="2011">
        <f ca="1">IFERROR(OFFSET(貼付け_2027実績,$A87,5),"")</f>
        <v>8.64</v>
      </c>
      <c r="L87" s="2012">
        <f t="shared" ca="1" si="32"/>
        <v>0</v>
      </c>
      <c r="M87" s="2012">
        <f t="shared" ca="1" si="33"/>
        <v>0</v>
      </c>
      <c r="N87" s="2012">
        <f t="shared" ca="1" si="34"/>
        <v>0</v>
      </c>
      <c r="O87" s="2012">
        <f t="shared" ca="1" si="35"/>
        <v>0</v>
      </c>
      <c r="P87" s="2013">
        <f ca="1">SUM(SUMIFS(OFFSET(貼付け_2024実績,$A87,9,1,199),OFFSET(貼付け_2024実績,4,9,1,199),{"横浜*","川崎*"}))</f>
        <v>0</v>
      </c>
      <c r="Q87" s="2013">
        <f ca="1">SUM(SUMIFS(OFFSET(貼付け_2025実績,$A87,9,1,199),OFFSET(貼付け_2025実績,4,9,1,199),{"横浜*","川崎*"}))</f>
        <v>0</v>
      </c>
      <c r="R87" s="2013">
        <f ca="1">SUM(SUMIFS(OFFSET(貼付け_2026実績,$A87,9,1,199),OFFSET(貼付け_2026実績,4,9,1,199),{"横浜*","川崎*"}))</f>
        <v>0</v>
      </c>
      <c r="S87" s="2013">
        <f ca="1">SUM(SUMIFS(OFFSET(貼付け_2027実績,$A87,9,1,199),OFFSET(貼付け_2027実績,4,9,1,199),{"横浜*","川崎*"}))</f>
        <v>0</v>
      </c>
      <c r="T87" s="2012">
        <f t="shared" ca="1" si="36"/>
        <v>0</v>
      </c>
      <c r="U87" s="2012">
        <f t="shared" ca="1" si="37"/>
        <v>0</v>
      </c>
      <c r="V87" s="2012">
        <f t="shared" ca="1" si="38"/>
        <v>0</v>
      </c>
      <c r="W87" s="2012">
        <f t="shared" ca="1" si="39"/>
        <v>0</v>
      </c>
      <c r="X87" s="2014">
        <f t="shared" ca="1" si="40"/>
        <v>0</v>
      </c>
      <c r="Y87" s="2014">
        <f t="shared" ca="1" si="41"/>
        <v>0</v>
      </c>
      <c r="Z87" s="2014">
        <f t="shared" ca="1" si="42"/>
        <v>0</v>
      </c>
      <c r="AA87" s="2014">
        <f t="shared" ca="1" si="43"/>
        <v>0</v>
      </c>
      <c r="AB87" s="2014"/>
      <c r="AC87" s="2014"/>
      <c r="AD87" s="2014"/>
      <c r="AE87" s="2014"/>
      <c r="AF87" s="2014"/>
      <c r="AG87" s="2014"/>
      <c r="AH87" s="2014"/>
      <c r="AI87" s="2014"/>
      <c r="AJ87" s="2014"/>
      <c r="AK87" s="2014"/>
      <c r="AL87" s="2014"/>
      <c r="AM87" s="2014"/>
      <c r="AN87" s="2014"/>
      <c r="AO87" s="2014"/>
      <c r="AP87" s="2014"/>
      <c r="AQ87" s="2014"/>
      <c r="AR87" s="2014"/>
      <c r="AS87" s="2014"/>
      <c r="AT87" s="2014"/>
      <c r="AU87" s="2014"/>
      <c r="AV87" s="2014"/>
      <c r="AW87" s="2014"/>
      <c r="AX87" s="2014"/>
      <c r="AY87" s="2014"/>
      <c r="AZ87" s="2014"/>
      <c r="BA87" s="2014"/>
      <c r="BB87" s="2014"/>
      <c r="BC87" s="2014"/>
      <c r="BD87" s="2014"/>
      <c r="BE87" s="2014"/>
      <c r="BF87" s="2014"/>
      <c r="BG87" s="2014"/>
      <c r="BH87" s="2014"/>
      <c r="BI87" s="2014"/>
      <c r="BJ87" s="2014"/>
      <c r="BK87" s="2014"/>
      <c r="BL87" s="2014"/>
      <c r="BM87" s="2014"/>
      <c r="BN87" s="2014"/>
      <c r="BO87" s="2014"/>
      <c r="BP87" s="1862"/>
    </row>
    <row r="88" spans="1:68" ht="20.100000000000001" customHeight="1">
      <c r="A88" s="1845">
        <v>96</v>
      </c>
      <c r="B88" s="1854"/>
      <c r="C88" s="1847"/>
      <c r="D88" s="1869" t="s">
        <v>977</v>
      </c>
      <c r="E88" s="1983" t="str">
        <f ca="1">OFFSET(A1_その他欄集計,17,7)</f>
        <v/>
      </c>
      <c r="F88" s="1883" t="s">
        <v>978</v>
      </c>
      <c r="G88" s="2010" t="s">
        <v>966</v>
      </c>
      <c r="H88" s="2011">
        <f ca="1">IFERROR(OFFSET(貼付け_2024実績,$A88,5),"")</f>
        <v>8.64</v>
      </c>
      <c r="I88" s="2011">
        <f ca="1">IFERROR(OFFSET(貼付け_2025実績,$A88,5),"")</f>
        <v>8.64</v>
      </c>
      <c r="J88" s="2011">
        <f ca="1">IFERROR(OFFSET(貼付け_2026実績,$A88,5),"")</f>
        <v>8.64</v>
      </c>
      <c r="K88" s="2011">
        <f ca="1">IFERROR(OFFSET(貼付け_2027実績,$A88,5),"")</f>
        <v>8.64</v>
      </c>
      <c r="L88" s="2012">
        <f t="shared" ca="1" si="32"/>
        <v>0</v>
      </c>
      <c r="M88" s="2012">
        <f t="shared" ca="1" si="33"/>
        <v>0</v>
      </c>
      <c r="N88" s="2012">
        <f t="shared" ca="1" si="34"/>
        <v>0</v>
      </c>
      <c r="O88" s="2012">
        <f t="shared" ca="1" si="35"/>
        <v>0</v>
      </c>
      <c r="P88" s="2013">
        <f ca="1">SUM(SUMIFS(OFFSET(貼付け_2024実績,$A88,9,1,199),OFFSET(貼付け_2024実績,4,9,1,199),{"横浜*","川崎*"}))</f>
        <v>0</v>
      </c>
      <c r="Q88" s="2013">
        <f ca="1">SUM(SUMIFS(OFFSET(貼付け_2025実績,$A88,9,1,199),OFFSET(貼付け_2025実績,4,9,1,199),{"横浜*","川崎*"}))</f>
        <v>0</v>
      </c>
      <c r="R88" s="2013">
        <f ca="1">SUM(SUMIFS(OFFSET(貼付け_2026実績,$A88,9,1,199),OFFSET(貼付け_2026実績,4,9,1,199),{"横浜*","川崎*"}))</f>
        <v>0</v>
      </c>
      <c r="S88" s="2013">
        <f ca="1">SUM(SUMIFS(OFFSET(貼付け_2027実績,$A88,9,1,199),OFFSET(貼付け_2027実績,4,9,1,199),{"横浜*","川崎*"}))</f>
        <v>0</v>
      </c>
      <c r="T88" s="2012">
        <f t="shared" ca="1" si="36"/>
        <v>0</v>
      </c>
      <c r="U88" s="2012">
        <f t="shared" ca="1" si="37"/>
        <v>0</v>
      </c>
      <c r="V88" s="2012">
        <f t="shared" ca="1" si="38"/>
        <v>0</v>
      </c>
      <c r="W88" s="2012">
        <f t="shared" ca="1" si="39"/>
        <v>0</v>
      </c>
      <c r="X88" s="2014">
        <f t="shared" ca="1" si="40"/>
        <v>0</v>
      </c>
      <c r="Y88" s="2014">
        <f t="shared" ca="1" si="41"/>
        <v>0</v>
      </c>
      <c r="Z88" s="2014">
        <f t="shared" ca="1" si="42"/>
        <v>0</v>
      </c>
      <c r="AA88" s="2014">
        <f t="shared" ca="1" si="43"/>
        <v>0</v>
      </c>
      <c r="AB88" s="2014"/>
      <c r="AC88" s="2014"/>
      <c r="AD88" s="2014"/>
      <c r="AE88" s="2014"/>
      <c r="AF88" s="2014"/>
      <c r="AG88" s="2014"/>
      <c r="AH88" s="2014"/>
      <c r="AI88" s="2014"/>
      <c r="AJ88" s="2014"/>
      <c r="AK88" s="2014"/>
      <c r="AL88" s="2014"/>
      <c r="AM88" s="2014"/>
      <c r="AN88" s="2014"/>
      <c r="AO88" s="2014"/>
      <c r="AP88" s="2014"/>
      <c r="AQ88" s="2014"/>
      <c r="AR88" s="2014"/>
      <c r="AS88" s="2014"/>
      <c r="AT88" s="2014"/>
      <c r="AU88" s="2014"/>
      <c r="AV88" s="2014"/>
      <c r="AW88" s="2014"/>
      <c r="AX88" s="2014"/>
      <c r="AY88" s="2014"/>
      <c r="AZ88" s="2014"/>
      <c r="BA88" s="2014"/>
      <c r="BB88" s="2014"/>
      <c r="BC88" s="2014"/>
      <c r="BD88" s="2014"/>
      <c r="BE88" s="2014"/>
      <c r="BF88" s="2014"/>
      <c r="BG88" s="2014"/>
      <c r="BH88" s="2014"/>
      <c r="BI88" s="2014"/>
      <c r="BJ88" s="2014"/>
      <c r="BK88" s="2014"/>
      <c r="BL88" s="2014"/>
      <c r="BM88" s="2014"/>
      <c r="BN88" s="2014"/>
      <c r="BO88" s="2014"/>
      <c r="BP88" s="1862"/>
    </row>
    <row r="89" spans="1:68" ht="20.100000000000001" customHeight="1">
      <c r="A89" s="1845">
        <v>97</v>
      </c>
      <c r="B89" s="1854"/>
      <c r="C89" s="1847"/>
      <c r="D89" s="1869" t="s">
        <v>979</v>
      </c>
      <c r="E89" s="1983" t="str">
        <f ca="1">OFFSET(A1_その他欄集計,18,7)</f>
        <v/>
      </c>
      <c r="F89" s="1883" t="s">
        <v>980</v>
      </c>
      <c r="G89" s="2010" t="s">
        <v>966</v>
      </c>
      <c r="H89" s="2011">
        <f ca="1">IFERROR(OFFSET(貼付け_2024実績,$A89,5),"")</f>
        <v>8.64</v>
      </c>
      <c r="I89" s="2011">
        <f ca="1">IFERROR(OFFSET(貼付け_2025実績,$A89,5),"")</f>
        <v>8.64</v>
      </c>
      <c r="J89" s="2011">
        <f ca="1">IFERROR(OFFSET(貼付け_2026実績,$A89,5),"")</f>
        <v>8.64</v>
      </c>
      <c r="K89" s="2011">
        <f ca="1">IFERROR(OFFSET(貼付け_2027実績,$A89,5),"")</f>
        <v>8.64</v>
      </c>
      <c r="L89" s="2012">
        <f t="shared" ca="1" si="32"/>
        <v>0</v>
      </c>
      <c r="M89" s="2012">
        <f t="shared" ca="1" si="33"/>
        <v>0</v>
      </c>
      <c r="N89" s="2012">
        <f t="shared" ca="1" si="34"/>
        <v>0</v>
      </c>
      <c r="O89" s="2012">
        <f t="shared" ca="1" si="35"/>
        <v>0</v>
      </c>
      <c r="P89" s="2013">
        <f ca="1">SUM(SUMIFS(OFFSET(貼付け_2024実績,$A89,9,1,199),OFFSET(貼付け_2024実績,4,9,1,199),{"横浜*","川崎*"}))</f>
        <v>0</v>
      </c>
      <c r="Q89" s="2013">
        <f ca="1">SUM(SUMIFS(OFFSET(貼付け_2025実績,$A89,9,1,199),OFFSET(貼付け_2025実績,4,9,1,199),{"横浜*","川崎*"}))</f>
        <v>0</v>
      </c>
      <c r="R89" s="2013">
        <f ca="1">SUM(SUMIFS(OFFSET(貼付け_2026実績,$A89,9,1,199),OFFSET(貼付け_2026実績,4,9,1,199),{"横浜*","川崎*"}))</f>
        <v>0</v>
      </c>
      <c r="S89" s="2013">
        <f ca="1">SUM(SUMIFS(OFFSET(貼付け_2027実績,$A89,9,1,199),OFFSET(貼付け_2027実績,4,9,1,199),{"横浜*","川崎*"}))</f>
        <v>0</v>
      </c>
      <c r="T89" s="2012">
        <f t="shared" ca="1" si="36"/>
        <v>0</v>
      </c>
      <c r="U89" s="2012">
        <f t="shared" ca="1" si="37"/>
        <v>0</v>
      </c>
      <c r="V89" s="2012">
        <f t="shared" ca="1" si="38"/>
        <v>0</v>
      </c>
      <c r="W89" s="2012">
        <f t="shared" ca="1" si="39"/>
        <v>0</v>
      </c>
      <c r="X89" s="2014">
        <f t="shared" ca="1" si="40"/>
        <v>0</v>
      </c>
      <c r="Y89" s="2014">
        <f t="shared" ca="1" si="41"/>
        <v>0</v>
      </c>
      <c r="Z89" s="2014">
        <f t="shared" ca="1" si="42"/>
        <v>0</v>
      </c>
      <c r="AA89" s="2014">
        <f t="shared" ca="1" si="43"/>
        <v>0</v>
      </c>
      <c r="AB89" s="2014"/>
      <c r="AC89" s="2014"/>
      <c r="AD89" s="2014"/>
      <c r="AE89" s="2014"/>
      <c r="AF89" s="2014"/>
      <c r="AG89" s="2014"/>
      <c r="AH89" s="2014"/>
      <c r="AI89" s="2014"/>
      <c r="AJ89" s="2014"/>
      <c r="AK89" s="2014"/>
      <c r="AL89" s="2014"/>
      <c r="AM89" s="2014"/>
      <c r="AN89" s="2014"/>
      <c r="AO89" s="2014"/>
      <c r="AP89" s="2014"/>
      <c r="AQ89" s="2014"/>
      <c r="AR89" s="2014"/>
      <c r="AS89" s="2014"/>
      <c r="AT89" s="2014"/>
      <c r="AU89" s="2014"/>
      <c r="AV89" s="2014"/>
      <c r="AW89" s="2014"/>
      <c r="AX89" s="2014"/>
      <c r="AY89" s="2014"/>
      <c r="AZ89" s="2014"/>
      <c r="BA89" s="2014"/>
      <c r="BB89" s="2014"/>
      <c r="BC89" s="2014"/>
      <c r="BD89" s="2014"/>
      <c r="BE89" s="2014"/>
      <c r="BF89" s="2014"/>
      <c r="BG89" s="2014"/>
      <c r="BH89" s="2014"/>
      <c r="BI89" s="2014"/>
      <c r="BJ89" s="2014"/>
      <c r="BK89" s="2014"/>
      <c r="BL89" s="2014"/>
      <c r="BM89" s="2014"/>
      <c r="BN89" s="2014"/>
      <c r="BO89" s="2014"/>
      <c r="BP89" s="1862"/>
    </row>
    <row r="90" spans="1:68" ht="20.100000000000001" customHeight="1">
      <c r="A90" s="1845">
        <v>98</v>
      </c>
      <c r="B90" s="1854"/>
      <c r="C90" s="1847"/>
      <c r="D90" s="1869" t="s">
        <v>981</v>
      </c>
      <c r="E90" s="1983" t="str">
        <f ca="1">OFFSET(A1_その他欄集計,19,7)</f>
        <v/>
      </c>
      <c r="F90" s="1883" t="s">
        <v>982</v>
      </c>
      <c r="G90" s="2010" t="s">
        <v>966</v>
      </c>
      <c r="H90" s="2011">
        <f ca="1">IFERROR(OFFSET(貼付け_2024実績,$A90,5),"")</f>
        <v>8.64</v>
      </c>
      <c r="I90" s="2011">
        <f ca="1">IFERROR(OFFSET(貼付け_2025実績,$A90,5),"")</f>
        <v>8.64</v>
      </c>
      <c r="J90" s="2011">
        <f ca="1">IFERROR(OFFSET(貼付け_2026実績,$A90,5),"")</f>
        <v>8.64</v>
      </c>
      <c r="K90" s="2011">
        <f ca="1">IFERROR(OFFSET(貼付け_2027実績,$A90,5),"")</f>
        <v>8.64</v>
      </c>
      <c r="L90" s="2012">
        <f t="shared" ca="1" si="32"/>
        <v>0</v>
      </c>
      <c r="M90" s="2012">
        <f t="shared" ca="1" si="33"/>
        <v>0</v>
      </c>
      <c r="N90" s="2012">
        <f t="shared" ca="1" si="34"/>
        <v>0</v>
      </c>
      <c r="O90" s="2012">
        <f t="shared" ca="1" si="35"/>
        <v>0</v>
      </c>
      <c r="P90" s="2013">
        <f ca="1">SUM(SUMIFS(OFFSET(貼付け_2024実績,$A90,9,1,199),OFFSET(貼付け_2024実績,4,9,1,199),{"横浜*","川崎*"}))</f>
        <v>0</v>
      </c>
      <c r="Q90" s="2013">
        <f ca="1">SUM(SUMIFS(OFFSET(貼付け_2025実績,$A90,9,1,199),OFFSET(貼付け_2025実績,4,9,1,199),{"横浜*","川崎*"}))</f>
        <v>0</v>
      </c>
      <c r="R90" s="2013">
        <f ca="1">SUM(SUMIFS(OFFSET(貼付け_2026実績,$A90,9,1,199),OFFSET(貼付け_2026実績,4,9,1,199),{"横浜*","川崎*"}))</f>
        <v>0</v>
      </c>
      <c r="S90" s="2013">
        <f ca="1">SUM(SUMIFS(OFFSET(貼付け_2027実績,$A90,9,1,199),OFFSET(貼付け_2027実績,4,9,1,199),{"横浜*","川崎*"}))</f>
        <v>0</v>
      </c>
      <c r="T90" s="2012">
        <f t="shared" ca="1" si="36"/>
        <v>0</v>
      </c>
      <c r="U90" s="2012">
        <f t="shared" ca="1" si="37"/>
        <v>0</v>
      </c>
      <c r="V90" s="2012">
        <f t="shared" ca="1" si="38"/>
        <v>0</v>
      </c>
      <c r="W90" s="2012">
        <f t="shared" ca="1" si="39"/>
        <v>0</v>
      </c>
      <c r="X90" s="2014">
        <f t="shared" ca="1" si="40"/>
        <v>0</v>
      </c>
      <c r="Y90" s="2014">
        <f t="shared" ca="1" si="41"/>
        <v>0</v>
      </c>
      <c r="Z90" s="2014">
        <f t="shared" ca="1" si="42"/>
        <v>0</v>
      </c>
      <c r="AA90" s="2014">
        <f t="shared" ca="1" si="43"/>
        <v>0</v>
      </c>
      <c r="AB90" s="2014"/>
      <c r="AC90" s="2014"/>
      <c r="AD90" s="2014"/>
      <c r="AE90" s="2014"/>
      <c r="AF90" s="2014"/>
      <c r="AG90" s="2014"/>
      <c r="AH90" s="2014"/>
      <c r="AI90" s="2014"/>
      <c r="AJ90" s="2014"/>
      <c r="AK90" s="2014"/>
      <c r="AL90" s="2014"/>
      <c r="AM90" s="2014"/>
      <c r="AN90" s="2014"/>
      <c r="AO90" s="2014"/>
      <c r="AP90" s="2014"/>
      <c r="AQ90" s="2014"/>
      <c r="AR90" s="2014"/>
      <c r="AS90" s="2014"/>
      <c r="AT90" s="2014"/>
      <c r="AU90" s="2014"/>
      <c r="AV90" s="2014"/>
      <c r="AW90" s="2014"/>
      <c r="AX90" s="2014"/>
      <c r="AY90" s="2014"/>
      <c r="AZ90" s="2014"/>
      <c r="BA90" s="2014"/>
      <c r="BB90" s="2014"/>
      <c r="BC90" s="2014"/>
      <c r="BD90" s="2014"/>
      <c r="BE90" s="2014"/>
      <c r="BF90" s="2014"/>
      <c r="BG90" s="2014"/>
      <c r="BH90" s="2014"/>
      <c r="BI90" s="2014"/>
      <c r="BJ90" s="2014"/>
      <c r="BK90" s="2014"/>
      <c r="BL90" s="2014"/>
      <c r="BM90" s="2014"/>
      <c r="BN90" s="2014"/>
      <c r="BO90" s="2014"/>
      <c r="BP90" s="1862"/>
    </row>
    <row r="91" spans="1:68" ht="20.100000000000001" customHeight="1">
      <c r="A91" s="1845">
        <v>2</v>
      </c>
      <c r="B91" s="1847" t="s">
        <v>983</v>
      </c>
      <c r="C91" s="1847"/>
      <c r="D91" s="1848" t="s">
        <v>984</v>
      </c>
      <c r="E91" s="1848"/>
      <c r="F91" s="1863" t="s">
        <v>985</v>
      </c>
      <c r="G91" s="2010" t="s">
        <v>986</v>
      </c>
      <c r="H91" s="2065"/>
      <c r="I91" s="2065"/>
      <c r="J91" s="2065"/>
      <c r="K91" s="2065"/>
      <c r="L91" s="2013">
        <f ca="1">SUMPRODUCT(L9:L56*$H9:$H56)+SUM(SUMIFS(OFFSET(A1_集計2024,$A91,9,1,199),OFFSET(貼付け_2024実績,4,9,1,199),{"横浜*","川崎*","県域*","エネルギー管理指定工場等*"}))</f>
        <v>0</v>
      </c>
      <c r="M91" s="2013">
        <f ca="1">SUMPRODUCT(M9:M56*$I9:$I56)+SUM(SUMIFS(OFFSET(A1_集計2025,$A91,9,1,199),OFFSET(貼付け_2025実績,4,9,1,199),{"横浜*","川崎*","県域*","エネルギー管理指定工場等*"}))</f>
        <v>0</v>
      </c>
      <c r="N91" s="2013">
        <f ca="1">SUMPRODUCT(N9:N56*$J9:$J56)+SUM(SUMIFS(OFFSET(A1_集計2025,$A91,9,1,199),OFFSET(貼付け_2026実績,4,9,1,199),{"横浜*","川崎*","県域*","エネルギー管理指定工場等*"}))</f>
        <v>0</v>
      </c>
      <c r="O91" s="2013">
        <f ca="1">SUMPRODUCT(O9:O56*$K9:$K56)+SUM(SUMIFS(OFFSET(A1_集計2027,$A91,9,1,199),OFFSET(貼付け_2027実績,4,9,1,199),{"横浜*","川崎*","県域*","エネルギー管理指定工場等*"}))</f>
        <v>0</v>
      </c>
      <c r="P91" s="2066">
        <f ca="1">SUMPRODUCT(P9:P56*$H9:$H56)+SUM(SUMIFS(OFFSET(A1_集計2024,$A91,9,1,199),OFFSET(貼付け_2024実績,4,9,1,199),{"横浜*","川崎*"}))</f>
        <v>0</v>
      </c>
      <c r="Q91" s="2066">
        <f ca="1">SUMPRODUCT(Q9:Q56*$I9:$I56)+SUM(SUMIFS(OFFSET(A1_集計2025,$A91,9,1,199),OFFSET(貼付け_2025実績,4,9,1,199),{"横浜*","川崎*"}))</f>
        <v>0</v>
      </c>
      <c r="R91" s="2066">
        <f ca="1">SUMPRODUCT(R9:R56*$J9:$J56)+SUM(SUMIFS(OFFSET(A1_集計2026,$A91,9,1,199),OFFSET(貼付け_2026実績,4,9,1,199),{"横浜*","川崎*"}))</f>
        <v>0</v>
      </c>
      <c r="S91" s="2066">
        <f ca="1">SUMPRODUCT(S9:S56*$K9:$K56)+SUM(SUMIFS(OFFSET(A1_集計2027,$A91,9,1,199),OFFSET(貼付け_2027実績,4,9,1,199),{"横浜*","川崎*"}))</f>
        <v>0</v>
      </c>
      <c r="T91" s="2013">
        <f ca="1">SUMPRODUCT(T9:T56*$H9:$H56)+SUM(SUMIFS(OFFSET(A1_集計2024,$A91,9,1,199),OFFSET(貼付け_2024実績,4,9,1,199),{"県域*","エネルギー管理指定工場等*"}))</f>
        <v>0</v>
      </c>
      <c r="U91" s="2013">
        <f ca="1">SUMPRODUCT(U9:U56*$I9:$I56)+SUM(SUMIFS(OFFSET(A1_集計2025,$A91,9,1,199),OFFSET(貼付け_2025実績,4,9,1,199),{"県域*","エネルギー管理指定工場等*"}))</f>
        <v>0</v>
      </c>
      <c r="V91" s="2013">
        <f ca="1">SUMPRODUCT(V9:V56*$J9:$J56)+SUM(SUMIFS(OFFSET(A1_集計2026,$A91,9,1,199),OFFSET(貼付け_2026実績,4,9,1,199),{"県域*","エネルギー管理指定工場等*"}))</f>
        <v>0</v>
      </c>
      <c r="W91" s="2013">
        <f ca="1">SUMPRODUCT(W9:W56*$K9:$K56)+SUM(SUMIFS(OFFSET(A1_集計2027,$A91,9,1,199),OFFSET(貼付け_2027実績,4,9,1,199),{"県域*","エネルギー管理指定工場等*"}))</f>
        <v>0</v>
      </c>
      <c r="X91" s="2067">
        <f ca="1">SUMPRODUCT(X9:X56*$H9:$H56)+SUMIFS(OFFSET(A1_集計2024,$A91,9,1,199),OFFSET(貼付け_2024実績,4,9,1,199),"県域*")</f>
        <v>0</v>
      </c>
      <c r="Y91" s="2067">
        <f ca="1">SUMPRODUCT(Y9:Y56*$I9:$I56)+SUMIFS(OFFSET(A1_集計2025,$A91,9,1,199),OFFSET(貼付け_2025実績,4,9,1,199),"県域*")</f>
        <v>0</v>
      </c>
      <c r="Z91" s="2067">
        <f ca="1">SUMPRODUCT(Z9:Z56*$J9:$J56)+SUMIFS(OFFSET(A1_集計2026,$A91,9,1,199),OFFSET(貼付け_2026実績,4,9,1,199),"県域*")</f>
        <v>0</v>
      </c>
      <c r="AA91" s="2067">
        <f ca="1">SUMPRODUCT(AA9:AA56*$K9:$K56)+SUMIFS(OFFSET(A1_集計2027,$A91,9,1,199),OFFSET(貼付け_2027実績,4,9,1,199),"県域*")</f>
        <v>0</v>
      </c>
      <c r="AB91" s="2068"/>
      <c r="AC91" s="2068"/>
      <c r="AD91" s="2068"/>
      <c r="AE91" s="2068"/>
      <c r="AF91" s="2068"/>
      <c r="AG91" s="2068"/>
      <c r="AH91" s="2068"/>
      <c r="AI91" s="2068"/>
      <c r="AJ91" s="2068"/>
      <c r="AK91" s="2068"/>
      <c r="AL91" s="2068"/>
      <c r="AM91" s="2068"/>
      <c r="AN91" s="2068"/>
      <c r="AO91" s="2068"/>
      <c r="AP91" s="2068"/>
      <c r="AQ91" s="2068"/>
      <c r="AR91" s="2068"/>
      <c r="AS91" s="2068"/>
      <c r="AT91" s="2068"/>
      <c r="AU91" s="2068"/>
      <c r="AV91" s="2068"/>
      <c r="AW91" s="2068"/>
      <c r="AX91" s="2068"/>
      <c r="AY91" s="2068"/>
      <c r="AZ91" s="2068"/>
      <c r="BA91" s="2068"/>
      <c r="BB91" s="2068"/>
      <c r="BC91" s="2068"/>
      <c r="BD91" s="2068"/>
      <c r="BE91" s="2068"/>
      <c r="BF91" s="2068"/>
      <c r="BG91" s="2068"/>
      <c r="BH91" s="2068"/>
      <c r="BI91" s="2068"/>
      <c r="BJ91" s="2068"/>
      <c r="BK91" s="2068"/>
      <c r="BL91" s="2068"/>
      <c r="BM91" s="2068"/>
      <c r="BN91" s="2068"/>
      <c r="BO91" s="2068"/>
      <c r="BP91" s="1862"/>
    </row>
    <row r="92" spans="1:68" ht="20.100000000000001" customHeight="1">
      <c r="A92" s="1845"/>
      <c r="B92" s="1847"/>
      <c r="C92" s="1847"/>
      <c r="D92" s="1848" t="s">
        <v>987</v>
      </c>
      <c r="E92" s="1848"/>
      <c r="F92" s="1863" t="s">
        <v>988</v>
      </c>
      <c r="G92" s="2010" t="s">
        <v>986</v>
      </c>
      <c r="H92" s="2065"/>
      <c r="I92" s="2065"/>
      <c r="J92" s="2065"/>
      <c r="K92" s="2065"/>
      <c r="L92" s="2013">
        <f ca="1">SUMPRODUCT(L57:L67*$H57:$H67)</f>
        <v>0</v>
      </c>
      <c r="M92" s="2013">
        <f ca="1">SUMPRODUCT(M57:M67*$I57:$I67)</f>
        <v>0</v>
      </c>
      <c r="N92" s="2013">
        <f ca="1">SUMPRODUCT(N57:N67*$J57:$J67)</f>
        <v>0</v>
      </c>
      <c r="O92" s="2013">
        <f ca="1">SUMPRODUCT(O57:O67*$K57:$K67)</f>
        <v>0</v>
      </c>
      <c r="P92" s="2066">
        <f ca="1">SUMPRODUCT(P57:P67*$H57:$H67)</f>
        <v>0</v>
      </c>
      <c r="Q92" s="2066">
        <f ca="1">SUMPRODUCT(Q57:Q67*$I57:$I67)</f>
        <v>0</v>
      </c>
      <c r="R92" s="2066">
        <f ca="1">SUMPRODUCT(R57:R67*$J57:$J67)</f>
        <v>0</v>
      </c>
      <c r="S92" s="2066">
        <f ca="1">SUMPRODUCT(S57:S67*$K57:$K67)</f>
        <v>0</v>
      </c>
      <c r="T92" s="2013">
        <f ca="1">SUMPRODUCT(T57:T67*$H57:$H67)</f>
        <v>0</v>
      </c>
      <c r="U92" s="2013">
        <f ca="1">SUMPRODUCT(U57:U67*$I57:$I67)</f>
        <v>0</v>
      </c>
      <c r="V92" s="2013">
        <f ca="1">SUMPRODUCT(V57:V67*$J57:$J67)</f>
        <v>0</v>
      </c>
      <c r="W92" s="2013">
        <f ca="1">SUMPRODUCT(W57:W67*$K57:$K67)</f>
        <v>0</v>
      </c>
      <c r="X92" s="2067">
        <f ca="1">SUMPRODUCT(X57:X67*$H57:$H67)</f>
        <v>0</v>
      </c>
      <c r="Y92" s="2067">
        <f ca="1">SUMPRODUCT(Y57:Y67*$I57:$I67)</f>
        <v>0</v>
      </c>
      <c r="Z92" s="2067">
        <f ca="1">SUMPRODUCT(Z57:Z67*$J57:$J67)</f>
        <v>0</v>
      </c>
      <c r="AA92" s="2067">
        <f ca="1">SUMPRODUCT(AA57:AA67*$K57:$K67)</f>
        <v>0</v>
      </c>
      <c r="AB92" s="2069"/>
      <c r="AC92" s="2069"/>
      <c r="AD92" s="2069"/>
      <c r="AE92" s="2069"/>
      <c r="AF92" s="2069"/>
      <c r="AG92" s="2069"/>
      <c r="AH92" s="2069"/>
      <c r="AI92" s="2069"/>
      <c r="AJ92" s="2069"/>
      <c r="AK92" s="2069"/>
      <c r="AL92" s="2069"/>
      <c r="AM92" s="2069"/>
      <c r="AN92" s="2069"/>
      <c r="AO92" s="2069"/>
      <c r="AP92" s="2069"/>
      <c r="AQ92" s="2069"/>
      <c r="AR92" s="2069"/>
      <c r="AS92" s="2069"/>
      <c r="AT92" s="2069"/>
      <c r="AU92" s="2069"/>
      <c r="AV92" s="2069"/>
      <c r="AW92" s="2069"/>
      <c r="AX92" s="2069"/>
      <c r="AY92" s="2069"/>
      <c r="AZ92" s="2069"/>
      <c r="BA92" s="2069"/>
      <c r="BB92" s="2069"/>
      <c r="BC92" s="2069"/>
      <c r="BD92" s="2069"/>
      <c r="BE92" s="2069"/>
      <c r="BF92" s="2069"/>
      <c r="BG92" s="2069"/>
      <c r="BH92" s="2069"/>
      <c r="BI92" s="2069"/>
      <c r="BJ92" s="2069"/>
      <c r="BK92" s="2069"/>
      <c r="BL92" s="2069"/>
      <c r="BM92" s="2069"/>
      <c r="BN92" s="2069"/>
      <c r="BO92" s="2069"/>
      <c r="BP92" s="1862"/>
    </row>
    <row r="93" spans="1:68" ht="20.100000000000001" customHeight="1">
      <c r="A93" s="1845"/>
      <c r="B93" s="1847"/>
      <c r="C93" s="1847"/>
      <c r="D93" s="1848" t="s">
        <v>989</v>
      </c>
      <c r="E93" s="1848" t="s">
        <v>990</v>
      </c>
      <c r="F93" s="1863" t="s">
        <v>991</v>
      </c>
      <c r="G93" s="2010" t="s">
        <v>986</v>
      </c>
      <c r="H93" s="2065"/>
      <c r="I93" s="2065"/>
      <c r="J93" s="2065"/>
      <c r="K93" s="2065"/>
      <c r="L93" s="2013">
        <f ca="1">SUMPRODUCT((0&amp;L68:L71)*$H68:$H71)+$H73*(0&amp;L73)+SUMPRODUCT((0&amp;L75:L86)*$H75:$H86)</f>
        <v>0</v>
      </c>
      <c r="M93" s="2013">
        <f ca="1">SUMPRODUCT((0&amp;M68:M71)*$I68:$I71)+$I73*(0&amp;M73)+SUMPRODUCT((0&amp;M75:M86)*$I75:$I86)</f>
        <v>0</v>
      </c>
      <c r="N93" s="2013">
        <f ca="1">SUMPRODUCT((0&amp;N68:N71)*$J68:$J71)+$J73*(0&amp;N73)+SUMPRODUCT((0&amp;N75:N86)*$J75:$J86)</f>
        <v>0</v>
      </c>
      <c r="O93" s="2013">
        <f ca="1">SUMPRODUCT((0&amp;O68:O71)*$K68:$K71)+$K73*(0&amp;O73)+SUMPRODUCT((0&amp;O75:O86)*$K75:$K86)</f>
        <v>0</v>
      </c>
      <c r="P93" s="2066">
        <f ca="1">SUMPRODUCT((0&amp;P68:P71)*$H68:$H71)+$H73*(0&amp;P73)+SUMPRODUCT((0&amp;P75:P86)*$H75:$H86)</f>
        <v>0</v>
      </c>
      <c r="Q93" s="2066">
        <f ca="1">SUMPRODUCT((0&amp;Q68:Q71)*$I68:$I71)+$I73*(0&amp;Q73)+SUMPRODUCT((0&amp;Q75:Q86)*$I75:$I86)</f>
        <v>0</v>
      </c>
      <c r="R93" s="2066">
        <f ca="1">SUMPRODUCT((0&amp;R68:R71)*$J68:$J71)+$J73*(0&amp;R73)+SUMPRODUCT((0&amp;R75:R86)*$J75:$J86)</f>
        <v>0</v>
      </c>
      <c r="S93" s="2066">
        <f ca="1">SUMPRODUCT((0&amp;S68:S71)*$K68:$K71)+$K73*(0&amp;S73)+SUMPRODUCT((0&amp;S75:S86)*$K75:$K86)</f>
        <v>0</v>
      </c>
      <c r="T93" s="2013">
        <f ca="1">SUMPRODUCT((0&amp;T68:T71)*$H68:$H71)+$H73*(0&amp;T73)+SUMPRODUCT((0&amp;T75:T86)*$H75:$H86)</f>
        <v>0</v>
      </c>
      <c r="U93" s="2013">
        <f ca="1">SUMPRODUCT((0&amp;U68:U71)*$I68:$I71)+$I73*(0&amp;U73)+SUMPRODUCT((0&amp;U75:U86)*$I75:$I86)</f>
        <v>0</v>
      </c>
      <c r="V93" s="2013">
        <f ca="1">SUMPRODUCT((0&amp;V68:V71)*$J68:$J71)+$J73*(0&amp;V73)+SUMPRODUCT((0&amp;V75:V86)*$J75:$J86)</f>
        <v>0</v>
      </c>
      <c r="W93" s="2013">
        <f ca="1">SUMPRODUCT((0&amp;W68:W71)*$K68:$K71)+$K73*(0&amp;W73)+SUMPRODUCT((0&amp;W75:W86)*$K75:$K86)</f>
        <v>0</v>
      </c>
      <c r="X93" s="2067">
        <f ca="1">SUMPRODUCT((0&amp;X68:X71)*$H68:$H71)+$H73*(0&amp;X73)+SUMPRODUCT((0&amp;X75:X86)*$H75:$H86)</f>
        <v>0</v>
      </c>
      <c r="Y93" s="2067">
        <f ca="1">SUMPRODUCT((0&amp;Y68:Y71)*$I68:$I71)+$I73*(0&amp;Y73)+SUMPRODUCT((0&amp;Y75:Y86)*$I75:$I86)</f>
        <v>0</v>
      </c>
      <c r="Z93" s="2067">
        <f ca="1">SUMPRODUCT((0&amp;Z68:Z71)*$J68:$J71)+$J73*(0&amp;Z73)+SUMPRODUCT((0&amp;Z75:Z86)*$J75:$J86)</f>
        <v>0</v>
      </c>
      <c r="AA93" s="2067">
        <f ca="1">SUMPRODUCT((0&amp;AA68:AA71)*$K68:$K71)+$K73*(0&amp;AA73)+SUMPRODUCT((0&amp;AA75:AA86)*$K75:$K86)</f>
        <v>0</v>
      </c>
      <c r="AB93" s="2069"/>
      <c r="AC93" s="2069"/>
      <c r="AD93" s="2069"/>
      <c r="AE93" s="2069"/>
      <c r="AF93" s="2069"/>
      <c r="AG93" s="2069"/>
      <c r="AH93" s="2069"/>
      <c r="AI93" s="2069"/>
      <c r="AJ93" s="2069"/>
      <c r="AK93" s="2069"/>
      <c r="AL93" s="2069"/>
      <c r="AM93" s="2069"/>
      <c r="AN93" s="2069"/>
      <c r="AO93" s="2069"/>
      <c r="AP93" s="2069"/>
      <c r="AQ93" s="2069"/>
      <c r="AR93" s="2069"/>
      <c r="AS93" s="2069"/>
      <c r="AT93" s="2069"/>
      <c r="AU93" s="2069"/>
      <c r="AV93" s="2069"/>
      <c r="AW93" s="2069"/>
      <c r="AX93" s="2069"/>
      <c r="AY93" s="2069"/>
      <c r="AZ93" s="2069"/>
      <c r="BA93" s="2069"/>
      <c r="BB93" s="2069"/>
      <c r="BC93" s="2069"/>
      <c r="BD93" s="2069"/>
      <c r="BE93" s="2069"/>
      <c r="BF93" s="2069"/>
      <c r="BG93" s="2069"/>
      <c r="BH93" s="2069"/>
      <c r="BI93" s="2069"/>
      <c r="BJ93" s="2069"/>
      <c r="BK93" s="2069"/>
      <c r="BL93" s="2069"/>
      <c r="BM93" s="2069"/>
      <c r="BN93" s="2069"/>
      <c r="BO93" s="2069"/>
      <c r="BP93" s="1862"/>
    </row>
    <row r="94" spans="1:68" ht="20.100000000000001" customHeight="1">
      <c r="A94" s="1845"/>
      <c r="B94" s="1847"/>
      <c r="C94" s="1847"/>
      <c r="D94" s="1848" t="s">
        <v>992</v>
      </c>
      <c r="E94" s="1848" t="s">
        <v>993</v>
      </c>
      <c r="F94" s="1863" t="s">
        <v>994</v>
      </c>
      <c r="G94" s="2010" t="s">
        <v>986</v>
      </c>
      <c r="H94" s="2065"/>
      <c r="I94" s="2065"/>
      <c r="J94" s="2065"/>
      <c r="K94" s="2065"/>
      <c r="L94" s="2013">
        <f t="shared" ref="L94:S94" ca="1" si="44">SUM(L91:L93)</f>
        <v>0</v>
      </c>
      <c r="M94" s="2013">
        <f t="shared" ca="1" si="44"/>
        <v>0</v>
      </c>
      <c r="N94" s="2013">
        <f t="shared" ca="1" si="44"/>
        <v>0</v>
      </c>
      <c r="O94" s="2013">
        <f t="shared" ca="1" si="44"/>
        <v>0</v>
      </c>
      <c r="P94" s="2066">
        <f t="shared" ca="1" si="44"/>
        <v>0</v>
      </c>
      <c r="Q94" s="2066">
        <f t="shared" ca="1" si="44"/>
        <v>0</v>
      </c>
      <c r="R94" s="2066">
        <f t="shared" ca="1" si="44"/>
        <v>0</v>
      </c>
      <c r="S94" s="2066">
        <f t="shared" ca="1" si="44"/>
        <v>0</v>
      </c>
      <c r="T94" s="2013">
        <f ca="1">SUM(X94,AB94,AF94,AJ94,AN94,AR94,AV94,AZ94,BD94,BH94,BL94)</f>
        <v>0</v>
      </c>
      <c r="U94" s="2013">
        <f ca="1">SUM(Y94,AC94,AG94,AK94,AO94,AS94,AW94,BA94,BE94,BI94,BM94)</f>
        <v>0</v>
      </c>
      <c r="V94" s="2013">
        <f ca="1">SUM(Z94,AD94,AH94,AL94,AP94,AT94,AX94,BB94,BF94,BJ94,BN94)</f>
        <v>0</v>
      </c>
      <c r="W94" s="2013">
        <f ca="1">SUM(AA94,AE94,AI94,AM94,AQ94,AU94,AY94,BC94,BG94,BK94,BO94)</f>
        <v>0</v>
      </c>
      <c r="X94" s="2069">
        <f ca="1">SUM(X91:X93)</f>
        <v>0</v>
      </c>
      <c r="Y94" s="2069">
        <f ca="1">SUM(Y91:Y93)</f>
        <v>0</v>
      </c>
      <c r="Z94" s="2069">
        <f ca="1">SUM(Z91:Z93)</f>
        <v>0</v>
      </c>
      <c r="AA94" s="2069">
        <f ca="1">SUM(AA91:AA93)</f>
        <v>0</v>
      </c>
      <c r="AB94" s="2069"/>
      <c r="AC94" s="2069"/>
      <c r="AD94" s="2069"/>
      <c r="AE94" s="2069"/>
      <c r="AF94" s="2069"/>
      <c r="AG94" s="2069"/>
      <c r="AH94" s="2069"/>
      <c r="AI94" s="2069"/>
      <c r="AJ94" s="2069"/>
      <c r="AK94" s="2069"/>
      <c r="AL94" s="2069"/>
      <c r="AM94" s="2069"/>
      <c r="AN94" s="2069"/>
      <c r="AO94" s="2069"/>
      <c r="AP94" s="2069"/>
      <c r="AQ94" s="2069"/>
      <c r="AR94" s="2069"/>
      <c r="AS94" s="2069"/>
      <c r="AT94" s="2069"/>
      <c r="AU94" s="2069"/>
      <c r="AV94" s="2069"/>
      <c r="AW94" s="2069"/>
      <c r="AX94" s="2069"/>
      <c r="AY94" s="2069"/>
      <c r="AZ94" s="2069"/>
      <c r="BA94" s="2069"/>
      <c r="BB94" s="2069"/>
      <c r="BC94" s="2069"/>
      <c r="BD94" s="2069"/>
      <c r="BE94" s="2069"/>
      <c r="BF94" s="2069"/>
      <c r="BG94" s="2069"/>
      <c r="BH94" s="2069"/>
      <c r="BI94" s="2069"/>
      <c r="BJ94" s="2069"/>
      <c r="BK94" s="2069"/>
      <c r="BL94" s="2069"/>
      <c r="BM94" s="2069"/>
      <c r="BN94" s="2069"/>
      <c r="BO94" s="2069"/>
      <c r="BP94" s="1862"/>
    </row>
    <row r="95" spans="1:68" ht="20.100000000000001" customHeight="1">
      <c r="A95" s="1845"/>
      <c r="B95" s="2070" t="s">
        <v>995</v>
      </c>
      <c r="C95" s="2071"/>
      <c r="D95" s="1848"/>
      <c r="E95" s="1848" t="s">
        <v>996</v>
      </c>
      <c r="F95" s="1863" t="s">
        <v>997</v>
      </c>
      <c r="G95" s="2010" t="s">
        <v>998</v>
      </c>
      <c r="H95" s="2065"/>
      <c r="I95" s="2065"/>
      <c r="J95" s="2065"/>
      <c r="K95" s="2065"/>
      <c r="L95" s="2013">
        <f t="shared" ref="L95:AA95" ca="1" si="45">L94*0.0258</f>
        <v>0</v>
      </c>
      <c r="M95" s="2013">
        <f t="shared" ca="1" si="45"/>
        <v>0</v>
      </c>
      <c r="N95" s="2013">
        <f t="shared" ca="1" si="45"/>
        <v>0</v>
      </c>
      <c r="O95" s="2013">
        <f t="shared" ca="1" si="45"/>
        <v>0</v>
      </c>
      <c r="P95" s="2013">
        <f t="shared" ca="1" si="45"/>
        <v>0</v>
      </c>
      <c r="Q95" s="2013">
        <f t="shared" ca="1" si="45"/>
        <v>0</v>
      </c>
      <c r="R95" s="2013">
        <f t="shared" ca="1" si="45"/>
        <v>0</v>
      </c>
      <c r="S95" s="2013">
        <f t="shared" ca="1" si="45"/>
        <v>0</v>
      </c>
      <c r="T95" s="2013">
        <f t="shared" ca="1" si="45"/>
        <v>0</v>
      </c>
      <c r="U95" s="2013">
        <f t="shared" ca="1" si="45"/>
        <v>0</v>
      </c>
      <c r="V95" s="2013">
        <f t="shared" ca="1" si="45"/>
        <v>0</v>
      </c>
      <c r="W95" s="2013">
        <f t="shared" ca="1" si="45"/>
        <v>0</v>
      </c>
      <c r="X95" s="2072">
        <f t="shared" ca="1" si="45"/>
        <v>0</v>
      </c>
      <c r="Y95" s="2072">
        <f t="shared" ca="1" si="45"/>
        <v>0</v>
      </c>
      <c r="Z95" s="2072">
        <f t="shared" ca="1" si="45"/>
        <v>0</v>
      </c>
      <c r="AA95" s="2072">
        <f t="shared" ca="1" si="45"/>
        <v>0</v>
      </c>
      <c r="AB95" s="2073"/>
      <c r="AC95" s="2073"/>
      <c r="AD95" s="2073"/>
      <c r="AE95" s="2073"/>
      <c r="AF95" s="2073"/>
      <c r="AG95" s="2073"/>
      <c r="AH95" s="2073"/>
      <c r="AI95" s="2073"/>
      <c r="AJ95" s="2073"/>
      <c r="AK95" s="2073"/>
      <c r="AL95" s="2073"/>
      <c r="AM95" s="2073"/>
      <c r="AN95" s="2073"/>
      <c r="AO95" s="2073"/>
      <c r="AP95" s="2073"/>
      <c r="AQ95" s="2073"/>
      <c r="AR95" s="2073"/>
      <c r="AS95" s="2073"/>
      <c r="AT95" s="2073"/>
      <c r="AU95" s="2073"/>
      <c r="AV95" s="2073"/>
      <c r="AW95" s="2073"/>
      <c r="AX95" s="2073"/>
      <c r="AY95" s="2073"/>
      <c r="AZ95" s="2073"/>
      <c r="BA95" s="2073"/>
      <c r="BB95" s="2073"/>
      <c r="BC95" s="2073"/>
      <c r="BD95" s="2073"/>
      <c r="BE95" s="2073"/>
      <c r="BF95" s="2073"/>
      <c r="BG95" s="2073"/>
      <c r="BH95" s="2073"/>
      <c r="BI95" s="2073"/>
      <c r="BJ95" s="2073"/>
      <c r="BK95" s="2073"/>
      <c r="BL95" s="2073"/>
      <c r="BM95" s="2073"/>
      <c r="BN95" s="2073"/>
      <c r="BO95" s="2073"/>
      <c r="BP95" s="1862"/>
    </row>
    <row r="96" spans="1:68" ht="20.100000000000001" customHeight="1">
      <c r="A96" s="1845"/>
      <c r="B96" s="2074" t="s">
        <v>999</v>
      </c>
      <c r="C96" s="2074"/>
      <c r="D96" s="1975" t="s">
        <v>1000</v>
      </c>
      <c r="E96" s="1848"/>
      <c r="F96" s="1863" t="s">
        <v>1001</v>
      </c>
      <c r="G96" s="2010" t="s">
        <v>998</v>
      </c>
      <c r="H96" s="2065"/>
      <c r="I96" s="2065"/>
      <c r="J96" s="2065"/>
      <c r="K96" s="2065"/>
      <c r="L96" s="2013">
        <f ca="1">(L94-SUMPRODUCT((0&amp;L38:L56)*$H38:$H56)+SUMPRODUCT((0&amp;L38:L56)*0.8*$H38:$H56))*0.0258</f>
        <v>0</v>
      </c>
      <c r="M96" s="2013">
        <f ca="1">(M94-SUMPRODUCT((0&amp;M38:M56)*$I38:$I56)+SUMPRODUCT((0&amp;M38:M56)*0.8*$I38:$I56))*0.0258</f>
        <v>0</v>
      </c>
      <c r="N96" s="2013">
        <f ca="1">(N94-SUMPRODUCT((0&amp;N38:N56)*$J38:$J56)+SUMPRODUCT((0&amp;N38:N56)*0.8*$J38:$J56))*0.0258</f>
        <v>0</v>
      </c>
      <c r="O96" s="2013">
        <f ca="1">(O94-SUMPRODUCT((0&amp;O38:O56)*$K38:$K56)+SUMPRODUCT((0&amp;O38:O56)*0.8*$K38:$K56))*0.0258</f>
        <v>0</v>
      </c>
      <c r="P96" s="2013">
        <f ca="1">(P94-SUMPRODUCT((0&amp;P38:P56)*$H38:$H56)+SUMPRODUCT((0&amp;P38:P56)*0.8*$H38:$H56))*0.0258</f>
        <v>0</v>
      </c>
      <c r="Q96" s="2013">
        <f ca="1">(Q94-SUMPRODUCT((0&amp;Q38:Q56)*$I38:$I56)+SUMPRODUCT((0&amp;Q38:Q56)*0.8*$I38:$I56))*0.0258</f>
        <v>0</v>
      </c>
      <c r="R96" s="2013">
        <f ca="1">(R94-SUMPRODUCT((0&amp;R38:R56)*$J38:$J56)+SUMPRODUCT((0&amp;R38:R56)*0.8*$J38:$J56))*0.0258</f>
        <v>0</v>
      </c>
      <c r="S96" s="2013">
        <f ca="1">(S94-SUMPRODUCT((0&amp;S38:S56)*$K38:$K56)+SUMPRODUCT((0&amp;S38:S56)*0.8*$K38:$K56))*0.0258</f>
        <v>0</v>
      </c>
      <c r="T96" s="2013">
        <f ca="1">(T94-SUMPRODUCT((0&amp;T38:T56)*$H38:$H56)+SUMPRODUCT((0&amp;T38:T56)*0.8*$H38:$H56))*0.0258</f>
        <v>0</v>
      </c>
      <c r="U96" s="2013">
        <f ca="1">(U94-SUMPRODUCT((0&amp;U38:U56)*$I38:$I56)+SUMPRODUCT((0&amp;U38:U56)*0.8*$I38:$I56))*0.0258</f>
        <v>0</v>
      </c>
      <c r="V96" s="2013">
        <f ca="1">(V94-SUMPRODUCT((0&amp;V38:V56)*$J38:$J56)+SUMPRODUCT((0&amp;V38:V56)*0.8*$J38:$J56))*0.0258</f>
        <v>0</v>
      </c>
      <c r="W96" s="2013">
        <f ca="1">(W94-SUMPRODUCT((0&amp;W38:W56)*$K38:$K56)+SUMPRODUCT((0&amp;W38:W56)*0.8*$K38:$K56))*0.0258</f>
        <v>0</v>
      </c>
      <c r="X96" s="2072">
        <f ca="1">(X94-SUMPRODUCT((0&amp;X38:X56)*$H38:$H56)+SUMPRODUCT((0&amp;X38:X56)*0.8*$H38:$H56))*0.0258</f>
        <v>0</v>
      </c>
      <c r="Y96" s="2072">
        <f ca="1">(Y94-SUMPRODUCT((0&amp;Y38:Y56)*$I38:$I56)+SUMPRODUCT((0&amp;Y38:Y56)*0.8*$I38:$I56))*0.0258</f>
        <v>0</v>
      </c>
      <c r="Z96" s="2072">
        <f ca="1">(Z94-SUMPRODUCT((0&amp;Z38:Z56)*$J38:$J56)+SUMPRODUCT((0&amp;Z38:Z56)*0.8*$J38:$J56))*0.0258</f>
        <v>0</v>
      </c>
      <c r="AA96" s="2072">
        <f ca="1">(AA94-SUMPRODUCT((0&amp;AA38:AA56)*$K38:$K56)+SUMPRODUCT((0&amp;AA38:AA56)*0.8*$K38:$K56))*0.0258</f>
        <v>0</v>
      </c>
      <c r="AB96" s="2073"/>
      <c r="AC96" s="2073"/>
      <c r="AD96" s="2073"/>
      <c r="AE96" s="2073"/>
      <c r="AF96" s="2073"/>
      <c r="AG96" s="2073"/>
      <c r="AH96" s="2073"/>
      <c r="AI96" s="2073"/>
      <c r="AJ96" s="2073"/>
      <c r="AK96" s="2073"/>
      <c r="AL96" s="2073"/>
      <c r="AM96" s="2073"/>
      <c r="AN96" s="2073"/>
      <c r="AO96" s="2073"/>
      <c r="AP96" s="2073"/>
      <c r="AQ96" s="2073"/>
      <c r="AR96" s="2073"/>
      <c r="AS96" s="2073"/>
      <c r="AT96" s="2073"/>
      <c r="AU96" s="2073"/>
      <c r="AV96" s="2073"/>
      <c r="AW96" s="2073"/>
      <c r="AX96" s="2073"/>
      <c r="AY96" s="2073"/>
      <c r="AZ96" s="2073"/>
      <c r="BA96" s="2073"/>
      <c r="BB96" s="2073"/>
      <c r="BC96" s="2073"/>
      <c r="BD96" s="2073"/>
      <c r="BE96" s="2073"/>
      <c r="BF96" s="2073"/>
      <c r="BG96" s="2073"/>
      <c r="BH96" s="2073"/>
      <c r="BI96" s="2073"/>
      <c r="BJ96" s="2073"/>
      <c r="BK96" s="2073"/>
      <c r="BL96" s="2073"/>
      <c r="BM96" s="2073"/>
      <c r="BN96" s="2073"/>
      <c r="BO96" s="2073"/>
      <c r="BP96" s="1862"/>
    </row>
    <row r="97" spans="1:68" ht="19.5" customHeight="1">
      <c r="A97" s="1845"/>
      <c r="B97" s="2074"/>
      <c r="C97" s="2074"/>
      <c r="D97" s="2075" t="s">
        <v>1002</v>
      </c>
      <c r="E97" s="2076"/>
      <c r="F97" s="2077" t="s">
        <v>1003</v>
      </c>
      <c r="G97" s="1225" t="s">
        <v>519</v>
      </c>
      <c r="H97" s="2065"/>
      <c r="I97" s="2065"/>
      <c r="J97" s="2065"/>
      <c r="K97" s="2065"/>
      <c r="L97" s="2013">
        <f t="shared" ref="L97:AA97" ca="1" si="46">L344</f>
        <v>0</v>
      </c>
      <c r="M97" s="2013">
        <f t="shared" ca="1" si="46"/>
        <v>0</v>
      </c>
      <c r="N97" s="2013">
        <f t="shared" ca="1" si="46"/>
        <v>0</v>
      </c>
      <c r="O97" s="2013">
        <f t="shared" ca="1" si="46"/>
        <v>0</v>
      </c>
      <c r="P97" s="2013">
        <f t="shared" ca="1" si="46"/>
        <v>0</v>
      </c>
      <c r="Q97" s="2013">
        <f t="shared" ca="1" si="46"/>
        <v>0</v>
      </c>
      <c r="R97" s="2013">
        <f t="shared" ca="1" si="46"/>
        <v>0</v>
      </c>
      <c r="S97" s="2013">
        <f t="shared" ca="1" si="46"/>
        <v>0</v>
      </c>
      <c r="T97" s="2013">
        <f t="shared" ca="1" si="46"/>
        <v>0</v>
      </c>
      <c r="U97" s="2013">
        <f t="shared" ca="1" si="46"/>
        <v>0</v>
      </c>
      <c r="V97" s="2013">
        <f t="shared" ca="1" si="46"/>
        <v>0</v>
      </c>
      <c r="W97" s="2013">
        <f t="shared" ca="1" si="46"/>
        <v>0</v>
      </c>
      <c r="X97" s="2014">
        <f t="shared" ca="1" si="46"/>
        <v>0</v>
      </c>
      <c r="Y97" s="2014">
        <f t="shared" ca="1" si="46"/>
        <v>0</v>
      </c>
      <c r="Z97" s="2014">
        <f t="shared" ca="1" si="46"/>
        <v>0</v>
      </c>
      <c r="AA97" s="2014">
        <f t="shared" ca="1" si="46"/>
        <v>0</v>
      </c>
      <c r="AB97" s="2073"/>
      <c r="AC97" s="2073"/>
      <c r="AD97" s="2073"/>
      <c r="AE97" s="2073"/>
      <c r="AF97" s="2073"/>
      <c r="AG97" s="2073"/>
      <c r="AH97" s="2073"/>
      <c r="AI97" s="2073"/>
      <c r="AJ97" s="2073"/>
      <c r="AK97" s="2073"/>
      <c r="AL97" s="2073"/>
      <c r="AM97" s="2073"/>
      <c r="AN97" s="2073"/>
      <c r="AO97" s="2073"/>
      <c r="AP97" s="2073"/>
      <c r="AQ97" s="2073"/>
      <c r="AR97" s="2073"/>
      <c r="AS97" s="2073"/>
      <c r="AT97" s="2073"/>
      <c r="AU97" s="2073"/>
      <c r="AV97" s="2073"/>
      <c r="AW97" s="2073"/>
      <c r="AX97" s="2073"/>
      <c r="AY97" s="2073"/>
      <c r="AZ97" s="2073"/>
      <c r="BA97" s="2073"/>
      <c r="BB97" s="2073"/>
      <c r="BC97" s="2073"/>
      <c r="BD97" s="2073"/>
      <c r="BE97" s="2073"/>
      <c r="BF97" s="2073"/>
      <c r="BG97" s="2073"/>
      <c r="BH97" s="2073"/>
      <c r="BI97" s="2073"/>
      <c r="BJ97" s="2073"/>
      <c r="BK97" s="2073"/>
      <c r="BL97" s="2073"/>
      <c r="BM97" s="2073"/>
      <c r="BN97" s="2073"/>
      <c r="BO97" s="2073"/>
      <c r="BP97" s="1862"/>
    </row>
    <row r="98" spans="1:68">
      <c r="A98" s="1845"/>
      <c r="B98" s="2074"/>
      <c r="C98" s="2074"/>
      <c r="D98" s="2075" t="s">
        <v>1004</v>
      </c>
      <c r="E98" s="2076"/>
      <c r="F98" s="2077" t="s">
        <v>1005</v>
      </c>
      <c r="G98" s="1225" t="s">
        <v>519</v>
      </c>
      <c r="H98" s="2065"/>
      <c r="I98" s="2065"/>
      <c r="J98" s="2065"/>
      <c r="K98" s="2065"/>
      <c r="L98" s="2013">
        <f t="shared" ref="L98:AA98" ca="1" si="47">L431</f>
        <v>0</v>
      </c>
      <c r="M98" s="2013">
        <f t="shared" ca="1" si="47"/>
        <v>0</v>
      </c>
      <c r="N98" s="2013">
        <f t="shared" ca="1" si="47"/>
        <v>0</v>
      </c>
      <c r="O98" s="2013">
        <f t="shared" ca="1" si="47"/>
        <v>0</v>
      </c>
      <c r="P98" s="2013">
        <f t="shared" ca="1" si="47"/>
        <v>0</v>
      </c>
      <c r="Q98" s="2013">
        <f t="shared" ca="1" si="47"/>
        <v>0</v>
      </c>
      <c r="R98" s="2013">
        <f t="shared" ca="1" si="47"/>
        <v>0</v>
      </c>
      <c r="S98" s="2013">
        <f t="shared" ca="1" si="47"/>
        <v>0</v>
      </c>
      <c r="T98" s="2013">
        <f t="shared" ca="1" si="47"/>
        <v>0</v>
      </c>
      <c r="U98" s="2013">
        <f t="shared" ca="1" si="47"/>
        <v>0</v>
      </c>
      <c r="V98" s="2013">
        <f t="shared" ca="1" si="47"/>
        <v>0</v>
      </c>
      <c r="W98" s="2013">
        <f t="shared" ca="1" si="47"/>
        <v>0</v>
      </c>
      <c r="X98" s="2014">
        <f t="shared" ca="1" si="47"/>
        <v>0</v>
      </c>
      <c r="Y98" s="2014">
        <f t="shared" ca="1" si="47"/>
        <v>0</v>
      </c>
      <c r="Z98" s="2014">
        <f t="shared" ca="1" si="47"/>
        <v>0</v>
      </c>
      <c r="AA98" s="2014">
        <f t="shared" ca="1" si="47"/>
        <v>0</v>
      </c>
      <c r="AB98" s="2073"/>
      <c r="AC98" s="2073"/>
      <c r="AD98" s="2073"/>
      <c r="AE98" s="2073"/>
      <c r="AF98" s="2073"/>
      <c r="AG98" s="2073"/>
      <c r="AH98" s="2073"/>
      <c r="AI98" s="2073"/>
      <c r="AJ98" s="2073"/>
      <c r="AK98" s="2073"/>
      <c r="AL98" s="2073"/>
      <c r="AM98" s="2073"/>
      <c r="AN98" s="2073"/>
      <c r="AO98" s="2073"/>
      <c r="AP98" s="2073"/>
      <c r="AQ98" s="2073"/>
      <c r="AR98" s="2073"/>
      <c r="AS98" s="2073"/>
      <c r="AT98" s="2073"/>
      <c r="AU98" s="2073"/>
      <c r="AV98" s="2073"/>
      <c r="AW98" s="2073"/>
      <c r="AX98" s="2073"/>
      <c r="AY98" s="2073"/>
      <c r="AZ98" s="2073"/>
      <c r="BA98" s="2073"/>
      <c r="BB98" s="2073"/>
      <c r="BC98" s="2073"/>
      <c r="BD98" s="2073"/>
      <c r="BE98" s="2073"/>
      <c r="BF98" s="2073"/>
      <c r="BG98" s="2073"/>
      <c r="BH98" s="2073"/>
      <c r="BI98" s="2073"/>
      <c r="BJ98" s="2073"/>
      <c r="BK98" s="2073"/>
      <c r="BL98" s="2073"/>
      <c r="BM98" s="2073"/>
      <c r="BN98" s="2073"/>
      <c r="BO98" s="2073"/>
      <c r="BP98" s="1862"/>
    </row>
    <row r="99" spans="1:68">
      <c r="A99" s="1845"/>
      <c r="B99" s="2074"/>
      <c r="C99" s="2074"/>
      <c r="D99" s="2075" t="s">
        <v>1006</v>
      </c>
      <c r="E99" s="1895"/>
      <c r="F99" s="2077" t="s">
        <v>1007</v>
      </c>
      <c r="G99" s="1225" t="s">
        <v>519</v>
      </c>
      <c r="H99" s="2065"/>
      <c r="I99" s="2065"/>
      <c r="J99" s="2065"/>
      <c r="K99" s="2065"/>
      <c r="L99" s="2013">
        <f ca="1">IFERROR(ROUND(L96-L97-L98,3-INT(LOG(L96-L97-L98))),0)</f>
        <v>0</v>
      </c>
      <c r="M99" s="2013">
        <f t="shared" ref="M99:AA99" ca="1" si="48">IFERROR(ROUND(M96-M97-M98,3-INT(LOG(M96-M97-M98))),0)</f>
        <v>0</v>
      </c>
      <c r="N99" s="2013">
        <f t="shared" ca="1" si="48"/>
        <v>0</v>
      </c>
      <c r="O99" s="2013">
        <f t="shared" ca="1" si="48"/>
        <v>0</v>
      </c>
      <c r="P99" s="2066">
        <f t="shared" ca="1" si="48"/>
        <v>0</v>
      </c>
      <c r="Q99" s="2066">
        <f t="shared" ca="1" si="48"/>
        <v>0</v>
      </c>
      <c r="R99" s="2066">
        <f t="shared" ca="1" si="48"/>
        <v>0</v>
      </c>
      <c r="S99" s="2066">
        <f t="shared" ca="1" si="48"/>
        <v>0</v>
      </c>
      <c r="T99" s="2013">
        <f t="shared" ca="1" si="48"/>
        <v>0</v>
      </c>
      <c r="U99" s="2013">
        <f t="shared" ca="1" si="48"/>
        <v>0</v>
      </c>
      <c r="V99" s="2013">
        <f t="shared" ca="1" si="48"/>
        <v>0</v>
      </c>
      <c r="W99" s="2013">
        <f t="shared" ca="1" si="48"/>
        <v>0</v>
      </c>
      <c r="X99" s="2067">
        <f t="shared" ca="1" si="48"/>
        <v>0</v>
      </c>
      <c r="Y99" s="2067">
        <f t="shared" ca="1" si="48"/>
        <v>0</v>
      </c>
      <c r="Z99" s="2067">
        <f t="shared" ca="1" si="48"/>
        <v>0</v>
      </c>
      <c r="AA99" s="2067">
        <f t="shared" ca="1" si="48"/>
        <v>0</v>
      </c>
      <c r="AB99" s="2069"/>
      <c r="AC99" s="2069"/>
      <c r="AD99" s="2069"/>
      <c r="AE99" s="2069"/>
      <c r="AF99" s="2069"/>
      <c r="AG99" s="2069"/>
      <c r="AH99" s="2069"/>
      <c r="AI99" s="2069"/>
      <c r="AJ99" s="2069"/>
      <c r="AK99" s="2069"/>
      <c r="AL99" s="2069"/>
      <c r="AM99" s="2069"/>
      <c r="AN99" s="2069"/>
      <c r="AO99" s="2069"/>
      <c r="AP99" s="2069"/>
      <c r="AQ99" s="2069"/>
      <c r="AR99" s="2069"/>
      <c r="AS99" s="2069"/>
      <c r="AT99" s="2069"/>
      <c r="AU99" s="2069"/>
      <c r="AV99" s="2069"/>
      <c r="AW99" s="2069"/>
      <c r="AX99" s="2069"/>
      <c r="AY99" s="2069"/>
      <c r="AZ99" s="2069"/>
      <c r="BA99" s="2069"/>
      <c r="BB99" s="2069"/>
      <c r="BC99" s="2069"/>
      <c r="BD99" s="2069"/>
      <c r="BE99" s="2069"/>
      <c r="BF99" s="2069"/>
      <c r="BG99" s="2069"/>
      <c r="BH99" s="2069"/>
      <c r="BI99" s="2069"/>
      <c r="BJ99" s="2069"/>
      <c r="BK99" s="2069"/>
      <c r="BL99" s="2069"/>
      <c r="BM99" s="2069"/>
      <c r="BN99" s="2069"/>
      <c r="BO99" s="2069"/>
      <c r="BP99" s="1862"/>
    </row>
    <row r="100" spans="1:68">
      <c r="A100" s="1845"/>
      <c r="B100" s="2074"/>
      <c r="C100" s="2074"/>
      <c r="D100" s="2078"/>
      <c r="E100" s="2079" t="s">
        <v>1008</v>
      </c>
      <c r="F100" s="2077" t="s">
        <v>1009</v>
      </c>
      <c r="G100" s="2080" t="s">
        <v>802</v>
      </c>
      <c r="H100" s="2065"/>
      <c r="I100" s="2065"/>
      <c r="J100" s="2065"/>
      <c r="K100" s="2065"/>
      <c r="L100" s="2065"/>
      <c r="M100" s="2065"/>
      <c r="N100" s="2065"/>
      <c r="O100" s="2065"/>
      <c r="P100" s="2065"/>
      <c r="Q100" s="2065"/>
      <c r="R100" s="2065"/>
      <c r="S100" s="2065"/>
      <c r="T100" s="2081">
        <f ca="1">IF($T$99=0,0,T99/$T$99*100)</f>
        <v>0</v>
      </c>
      <c r="U100" s="2081">
        <f ca="1">IF($U$99=0,0,U99/$U$99*100)</f>
        <v>0</v>
      </c>
      <c r="V100" s="2081">
        <f ca="1">IF($V$99=0,0,V99/$V$99*100)</f>
        <v>0</v>
      </c>
      <c r="W100" s="2081">
        <f ca="1">IF($W$99=0,0,W99/$W$99*100)</f>
        <v>0</v>
      </c>
      <c r="X100" s="2082">
        <f ca="1">IF($T$99=0,0,X99/$T$99*100)</f>
        <v>0</v>
      </c>
      <c r="Y100" s="2082">
        <f ca="1">IF($U$99=0,0,Y99/$U$99*100)</f>
        <v>0</v>
      </c>
      <c r="Z100" s="2082">
        <f ca="1">IF($V$99=0,0,Z99/$V$99*100)</f>
        <v>0</v>
      </c>
      <c r="AA100" s="2082">
        <f ca="1">IF($W$99=0,0,AA99/$W$99*100)</f>
        <v>0</v>
      </c>
      <c r="AB100" s="2082"/>
      <c r="AC100" s="2082"/>
      <c r="AD100" s="2082"/>
      <c r="AE100" s="2082"/>
      <c r="AF100" s="2082"/>
      <c r="AG100" s="2082"/>
      <c r="AH100" s="2082"/>
      <c r="AI100" s="2082"/>
      <c r="AJ100" s="2082"/>
      <c r="AK100" s="2082"/>
      <c r="AL100" s="2082"/>
      <c r="AM100" s="2082"/>
      <c r="AN100" s="2082"/>
      <c r="AO100" s="2082"/>
      <c r="AP100" s="2082"/>
      <c r="AQ100" s="2082"/>
      <c r="AR100" s="2082"/>
      <c r="AS100" s="2082"/>
      <c r="AT100" s="2082"/>
      <c r="AU100" s="2082"/>
      <c r="AV100" s="2082"/>
      <c r="AW100" s="2082"/>
      <c r="AX100" s="2082"/>
      <c r="AY100" s="2082"/>
      <c r="AZ100" s="2082"/>
      <c r="BA100" s="2082"/>
      <c r="BB100" s="2082"/>
      <c r="BC100" s="2082"/>
      <c r="BD100" s="2082"/>
      <c r="BE100" s="2082"/>
      <c r="BF100" s="2082"/>
      <c r="BG100" s="2082"/>
      <c r="BH100" s="2082"/>
      <c r="BI100" s="2082"/>
      <c r="BJ100" s="2082"/>
      <c r="BK100" s="2082"/>
      <c r="BL100" s="2082"/>
      <c r="BM100" s="2082"/>
      <c r="BN100" s="2082"/>
      <c r="BO100" s="2082"/>
      <c r="BP100" s="1862"/>
    </row>
    <row r="101" spans="1:68">
      <c r="A101" s="1845"/>
      <c r="B101" s="2074"/>
      <c r="C101" s="2074"/>
      <c r="D101" s="2083"/>
      <c r="E101" s="2084" t="s">
        <v>1010</v>
      </c>
      <c r="F101" s="2077" t="s">
        <v>1011</v>
      </c>
      <c r="G101" s="2080" t="s">
        <v>802</v>
      </c>
      <c r="H101" s="2065"/>
      <c r="I101" s="2065"/>
      <c r="J101" s="2065"/>
      <c r="K101" s="2065"/>
      <c r="L101" s="2081">
        <f ca="1">IF($L$99=0,0,L99/$L$99*100)</f>
        <v>0</v>
      </c>
      <c r="M101" s="2081">
        <f ca="1">IF($M$99=0,0,M99/$M$99*100)</f>
        <v>0</v>
      </c>
      <c r="N101" s="2081">
        <f ca="1">IF($N$99=0,0,N99/$N$99*100)</f>
        <v>0</v>
      </c>
      <c r="O101" s="2081">
        <f ca="1">IF($O$99=0,0,O99/$O$99*100)</f>
        <v>0</v>
      </c>
      <c r="P101" s="2085">
        <f ca="1">IF($L$99=0,0,P99/$L$99*100)</f>
        <v>0</v>
      </c>
      <c r="Q101" s="2085">
        <f ca="1">IF($M$99=0,0,Q99/$M$99*100)</f>
        <v>0</v>
      </c>
      <c r="R101" s="2085">
        <f ca="1">IF($N$99=0,0,R99/$N$99*100)</f>
        <v>0</v>
      </c>
      <c r="S101" s="2085">
        <f ca="1">IF($O$99=0,0,S99/$O$99*100)</f>
        <v>0</v>
      </c>
      <c r="T101" s="2011">
        <f ca="1">IF($L$99=0,0,T99/$L$99*100)</f>
        <v>0</v>
      </c>
      <c r="U101" s="2011">
        <f ca="1">IF($L$99=0,0,U99/$L$99*100)</f>
        <v>0</v>
      </c>
      <c r="V101" s="2011">
        <f ca="1">IF($L$99=0,0,V99/$L$99*100)</f>
        <v>0</v>
      </c>
      <c r="W101" s="2011">
        <f ca="1">IF($L$99=0,0,W99/$L$99*100)</f>
        <v>0</v>
      </c>
      <c r="X101" s="2082">
        <f ca="1">IF($L$99=0,0,X99/$L$99*100)</f>
        <v>0</v>
      </c>
      <c r="Y101" s="2082">
        <f ca="1">IF($M$99=0,0,Y99/$M$99*100)</f>
        <v>0</v>
      </c>
      <c r="Z101" s="2082">
        <f ca="1">IF($N$99=0,0,Z99/$N$99*100)</f>
        <v>0</v>
      </c>
      <c r="AA101" s="2082">
        <f ca="1">IF($O$99=0,0,AA99/$O$99*100)</f>
        <v>0</v>
      </c>
      <c r="AB101" s="2082"/>
      <c r="AC101" s="2082"/>
      <c r="AD101" s="2082"/>
      <c r="AE101" s="2082"/>
      <c r="AF101" s="2082"/>
      <c r="AG101" s="2082"/>
      <c r="AH101" s="2082"/>
      <c r="AI101" s="2082"/>
      <c r="AJ101" s="2082"/>
      <c r="AK101" s="2082"/>
      <c r="AL101" s="2082"/>
      <c r="AM101" s="2082"/>
      <c r="AN101" s="2082"/>
      <c r="AO101" s="2082"/>
      <c r="AP101" s="2082"/>
      <c r="AQ101" s="2082"/>
      <c r="AR101" s="2082"/>
      <c r="AS101" s="2082"/>
      <c r="AT101" s="2082"/>
      <c r="AU101" s="2082"/>
      <c r="AV101" s="2082"/>
      <c r="AW101" s="2082"/>
      <c r="AX101" s="2082"/>
      <c r="AY101" s="2082"/>
      <c r="AZ101" s="2082"/>
      <c r="BA101" s="2082"/>
      <c r="BB101" s="2082"/>
      <c r="BC101" s="2082"/>
      <c r="BD101" s="2082"/>
      <c r="BE101" s="2082"/>
      <c r="BF101" s="2082"/>
      <c r="BG101" s="2082"/>
      <c r="BH101" s="2082"/>
      <c r="BI101" s="2082"/>
      <c r="BJ101" s="2082"/>
      <c r="BK101" s="2082"/>
      <c r="BL101" s="2082"/>
      <c r="BM101" s="2082"/>
      <c r="BN101" s="2082"/>
      <c r="BO101" s="2082"/>
      <c r="BP101" s="1862"/>
    </row>
    <row r="102" spans="1:68">
      <c r="A102" s="1845">
        <v>99</v>
      </c>
      <c r="B102" s="2074"/>
      <c r="C102" s="2074"/>
      <c r="D102" s="2084" t="s">
        <v>1012</v>
      </c>
      <c r="E102" s="2086"/>
      <c r="F102" s="1887"/>
      <c r="G102" s="2080"/>
      <c r="H102" s="2065"/>
      <c r="I102" s="2065"/>
      <c r="J102" s="2065"/>
      <c r="K102" s="2065"/>
      <c r="L102" s="2011" t="str">
        <f ca="1">IF(ISBLANK(A.貼付_2025提出!C9),"",IF(L$6&lt;$D$5,"-",IF(L$6=$D$5,IF(OFFSET(貼付け_2024実績,1,211)="","複数指標を設定",OFFSET(貼付け_2024実績,1,211)))))</f>
        <v/>
      </c>
      <c r="M102" s="2011" t="str">
        <f ca="1">IF(ISBLANK(A.貼付_2026提出!C9),"",IF(M$6&lt;$D$5,"-",IF(M$6=$D$5,IF(OFFSET(貼付け_2025実績,1,211)="","複数指標を設定",OFFSET(貼付け_2025実績,1,211)),IF(AND(OFFSET(貼付け_2025実績,1,211)="",L102="複数指標を設定"),"複数指標を設定",OFFSET(貼付け_2025実績,1,211)))))</f>
        <v/>
      </c>
      <c r="N102" s="2011" t="str">
        <f ca="1">IF(ISBLANK(A.貼付_2027提出!C9),"",IF(N$6&lt;$D$5,"-",IF(N$6=$D$5,IF(OFFSET(貼付け_2026実績,1,211)="","複数指標を設定",OFFSET(貼付け_2026実績,1,211)),IF(AND(OFFSET(貼付け_2026実績,1,211)="",M102="複数指標を設定"),"複数指標を設定",OFFSET(貼付け_2026実績,1,211)))))</f>
        <v/>
      </c>
      <c r="O102" s="2011" t="str">
        <f ca="1">IF(ISBLANK(A.貼付_2028提出!C9),"",IF(O$6&lt;$D$5,"-",IF(O$6=$D$5,IF(OFFSET(貼付け_2027実績,1,211)="","複数指標を設定",OFFSET(貼付け_2027実績,1,211)),IF(AND(OFFSET(貼付け_2027実績,1,211)="",N102="複数指標を設定"),"複数指標を設定",OFFSET(貼付け_2027実績,1,211)))))</f>
        <v/>
      </c>
      <c r="P102" s="2085" t="str">
        <f ca="1">OFFSET(A1_原単位2024,50,5)</f>
        <v>-</v>
      </c>
      <c r="Q102" s="2085" t="str">
        <f ca="1">OFFSET(A1_原単位2025,50,5)</f>
        <v>-</v>
      </c>
      <c r="R102" s="2085" t="str">
        <f ca="1">OFFSET(A1_原単位2026,50,5)</f>
        <v>-</v>
      </c>
      <c r="S102" s="2085" t="str">
        <f ca="1">OFFSET(A1_原単位2027,50,5)</f>
        <v>-</v>
      </c>
      <c r="T102" s="2011" t="str">
        <f ca="1">IF(ISBLANK(A.貼付_2025提出!C9),"",IF(T$6&lt;$D$5,"-",IF(T$6=$D$5,IF(OFFSET(貼付け_2024実績,1,213)="","複数指標を設定",OFFSET(貼付け_2024実績,1,213)))))</f>
        <v/>
      </c>
      <c r="U102" s="2011" t="str">
        <f ca="1">IF(ISBLANK(A.貼付_2026提出!C9),"",IF(U$6&lt;$D$5,"-",IF(U$6=$D$5,IF(OFFSET(貼付け_2025実績,1,213)="","複数指標を設定",OFFSET(貼付け_2025実績,1,213)),IF(AND(OFFSET(貼付け_2025実績,1,213)="",T102="複数指標を設定"),"複数指標を設定",OFFSET(貼付け_2025実績,1,213)))))</f>
        <v/>
      </c>
      <c r="V102" s="2011" t="str">
        <f ca="1">IF(ISBLANK(A.貼付_2027提出!C9),"",IF(V$6&lt;$D$5,"-",IF(V$6=$D$5,IF(OFFSET(貼付け_2026実績,1,213)="","複数指標を設定",OFFSET(貼付け_2026実績,1,213)),IF(AND(OFFSET(貼付け_2026実績,1,213)="",U102="複数指標を設定"),"複数指標を設定",OFFSET(貼付け_2026実績,1,213)))))</f>
        <v/>
      </c>
      <c r="W102" s="2011" t="str">
        <f ca="1">IF(ISBLANK(A.貼付_2028提出!C9),"",IF(W$6&lt;$D$5,"-",IF(W$6=$D$5,IF(OFFSET(貼付け_2027実績,1,213)="","複数指標を設定",OFFSET(貼付け_2027実績,1,213)),IF(AND(OFFSET(貼付け_2027実績,1,213)="",V102="複数指標を設定"),"複数指標を設定",OFFSET(貼付け_2027実績,1,213)))))</f>
        <v/>
      </c>
      <c r="X102" s="2082" t="str">
        <f ca="1">OFFSET(A1_原単位2024,51,5)</f>
        <v>-</v>
      </c>
      <c r="Y102" s="2082" t="str">
        <f ca="1">OFFSET(A1_原単位2025,51,5)</f>
        <v>-</v>
      </c>
      <c r="Z102" s="2082" t="str">
        <f ca="1">OFFSET(A1_原単位2026,51,5)</f>
        <v>-</v>
      </c>
      <c r="AA102" s="2082" t="str">
        <f ca="1">OFFSET(A1_原単位2027,51,5)</f>
        <v>-</v>
      </c>
      <c r="AB102" s="2087"/>
      <c r="AC102" s="2087"/>
      <c r="AD102" s="2087"/>
      <c r="AE102" s="2087"/>
      <c r="AF102" s="2087"/>
      <c r="AG102" s="2087"/>
      <c r="AH102" s="2087"/>
      <c r="AI102" s="2087"/>
      <c r="AJ102" s="2087"/>
      <c r="AK102" s="2087"/>
      <c r="AL102" s="2087"/>
      <c r="AM102" s="2087"/>
      <c r="AN102" s="2087"/>
      <c r="AO102" s="2087"/>
      <c r="AP102" s="2087"/>
      <c r="AQ102" s="2087"/>
      <c r="AR102" s="2087"/>
      <c r="AS102" s="2087"/>
      <c r="AT102" s="2087"/>
      <c r="AU102" s="2087"/>
      <c r="AV102" s="2087"/>
      <c r="AW102" s="2087"/>
      <c r="AX102" s="2087"/>
      <c r="AY102" s="2087"/>
      <c r="AZ102" s="2087"/>
      <c r="BA102" s="2087"/>
      <c r="BB102" s="2087"/>
      <c r="BC102" s="2087"/>
      <c r="BD102" s="2087"/>
      <c r="BE102" s="2087"/>
      <c r="BF102" s="2087"/>
      <c r="BG102" s="2087"/>
      <c r="BH102" s="2087"/>
      <c r="BI102" s="2087"/>
      <c r="BJ102" s="2087"/>
      <c r="BK102" s="2087"/>
      <c r="BL102" s="2087"/>
      <c r="BM102" s="2087"/>
      <c r="BN102" s="2087"/>
      <c r="BO102" s="2087"/>
      <c r="BP102" s="1862"/>
    </row>
    <row r="103" spans="1:68">
      <c r="A103" s="1845">
        <v>100</v>
      </c>
      <c r="B103" s="2074"/>
      <c r="C103" s="2074"/>
      <c r="D103" s="2084" t="s">
        <v>1013</v>
      </c>
      <c r="E103" s="2086"/>
      <c r="F103" s="1887"/>
      <c r="G103" s="2080"/>
      <c r="H103" s="2065"/>
      <c r="I103" s="2065"/>
      <c r="J103" s="2065"/>
      <c r="K103" s="2065"/>
      <c r="L103" s="2088" t="str">
        <f ca="1">IF(L$6&lt;$D$5,"-",IF(L$6=$D$5,IF(OFFSET(貼付け_2024実績,2,211)="","-",OFFSET(貼付け_2024実績,2,211))))</f>
        <v>-</v>
      </c>
      <c r="M103" s="2088" t="str">
        <f ca="1">IF(M$6&lt;$D$5,"-",IF(M$6=$D$5,IF(OFFSET(貼付け_2025実績,2,211)="","-",OFFSET(貼付け_2025実績,2,211)),IF(AND(OFFSET(貼付け_2025実績,2,211)="",L103="-"),"-",OFFSET(貼付け_2025実績,2,211))))</f>
        <v>-</v>
      </c>
      <c r="N103" s="2088" t="str">
        <f ca="1">IF(N$6&lt;$D$5,"-",IF(N$6=$D$5,IF(OFFSET(貼付け_2026実績,2,211)="","-",OFFSET(貼付け_2026実績,2,211)),IF(AND(OFFSET(貼付け_2026実績,2,211)="",M103="-"),"-",OFFSET(貼付け_2026実績,2,211))))</f>
        <v>-</v>
      </c>
      <c r="O103" s="2088" t="str">
        <f ca="1">IF(O$6&lt;$D$5,"-",IF(O$6=$D$5,IF(OFFSET(貼付け_2027実績,2,211)="","-",OFFSET(貼付け_2027実績,2,211)),IF(AND(OFFSET(貼付け_2027実績,2,211)="",N103="-"),"-",OFFSET(貼付け_2027実績,2,211))))</f>
        <v>-</v>
      </c>
      <c r="P103" s="2085" t="str">
        <f ca="1">OFFSET(A1_原単位2024,50,7)</f>
        <v>-</v>
      </c>
      <c r="Q103" s="2085" t="str">
        <f ca="1">OFFSET(A1_原単位2025,50,7)</f>
        <v>-</v>
      </c>
      <c r="R103" s="2085" t="str">
        <f ca="1">OFFSET(A1_原単位2026,50,7)</f>
        <v>-</v>
      </c>
      <c r="S103" s="2085" t="str">
        <f ca="1">OFFSET(A1_原単位2027,50,7)</f>
        <v>-</v>
      </c>
      <c r="T103" s="2088" t="str">
        <f ca="1">IF(T$6&lt;$D$5,"-",IF(T$6=$D$5,IF(OFFSET(貼付け_2024実績,2,213)="","-",OFFSET(貼付け_2024実績,2,213))))</f>
        <v>-</v>
      </c>
      <c r="U103" s="2088" t="str">
        <f ca="1">IF(U$6&lt;$D$5,"-",IF(U$6=$D$5,IF(OFFSET(貼付け_2025実績,2,213)="","-",OFFSET(貼付け_2025実績,2,213)),IF(AND(OFFSET(貼付け_2025実績,2,213)="",T103="-"),"-",OFFSET(貼付け_2025実績,2,213))))</f>
        <v>-</v>
      </c>
      <c r="V103" s="2088" t="str">
        <f ca="1">IF(V$6&lt;$D$5,"-",IF(V$6=$D$5,IF(OFFSET(貼付け_2026実績,2,213)="","-",OFFSET(貼付け_2026実績,2,213)),IF(AND(OFFSET(貼付け_2026実績,2,213)="",U103="-"),"-",OFFSET(貼付け_2026実績,2,213))))</f>
        <v>-</v>
      </c>
      <c r="W103" s="2088" t="str">
        <f ca="1">IF(W$6&lt;$D$5,"-",IF(W$6=$D$5,IF(OFFSET(貼付け_2027実績,2,213)="","-",OFFSET(貼付け_2027実績,2,213)),IF(AND(OFFSET(貼付け_2027実績,2,213)="",V103="-"),"-",OFFSET(貼付け_2027実績,2,213))))</f>
        <v>-</v>
      </c>
      <c r="X103" s="2082" t="str">
        <f ca="1">OFFSET(A1_原単位2024,51,7)</f>
        <v>-</v>
      </c>
      <c r="Y103" s="2082" t="str">
        <f ca="1">OFFSET(A1_原単位2025,51,7)</f>
        <v>-</v>
      </c>
      <c r="Z103" s="2082" t="str">
        <f ca="1">OFFSET(A1_原単位2026,51,7)</f>
        <v>-</v>
      </c>
      <c r="AA103" s="2082" t="str">
        <f ca="1">OFFSET(A1_原単位2027,51,7)</f>
        <v>-</v>
      </c>
      <c r="AB103" s="2087"/>
      <c r="AC103" s="2087"/>
      <c r="AD103" s="2087"/>
      <c r="AE103" s="2087"/>
      <c r="AF103" s="2087"/>
      <c r="AG103" s="2087"/>
      <c r="AH103" s="2087"/>
      <c r="AI103" s="2087"/>
      <c r="AJ103" s="2087"/>
      <c r="AK103" s="2087"/>
      <c r="AL103" s="2087"/>
      <c r="AM103" s="2087"/>
      <c r="AN103" s="2087"/>
      <c r="AO103" s="2087"/>
      <c r="AP103" s="2087"/>
      <c r="AQ103" s="2087"/>
      <c r="AR103" s="2087"/>
      <c r="AS103" s="2087"/>
      <c r="AT103" s="2087"/>
      <c r="AU103" s="2087"/>
      <c r="AV103" s="2087"/>
      <c r="AW103" s="2087"/>
      <c r="AX103" s="2087"/>
      <c r="AY103" s="2087"/>
      <c r="AZ103" s="2087"/>
      <c r="BA103" s="2087"/>
      <c r="BB103" s="2087"/>
      <c r="BC103" s="2087"/>
      <c r="BD103" s="2087"/>
      <c r="BE103" s="2087"/>
      <c r="BF103" s="2087"/>
      <c r="BG103" s="2087"/>
      <c r="BH103" s="2087"/>
      <c r="BI103" s="2087"/>
      <c r="BJ103" s="2087"/>
      <c r="BK103" s="2087"/>
      <c r="BL103" s="2087"/>
      <c r="BM103" s="2087"/>
      <c r="BN103" s="2087"/>
      <c r="BO103" s="2087"/>
      <c r="BP103" s="1862"/>
    </row>
    <row r="104" spans="1:68">
      <c r="A104" s="1842">
        <v>101</v>
      </c>
      <c r="B104" s="2074"/>
      <c r="C104" s="2074"/>
      <c r="D104" s="2089" t="s">
        <v>1014</v>
      </c>
      <c r="E104" s="2090"/>
      <c r="F104" s="2091" t="s">
        <v>1015</v>
      </c>
      <c r="G104" s="2092"/>
      <c r="H104" s="2065"/>
      <c r="I104" s="2065"/>
      <c r="J104" s="2065"/>
      <c r="K104" s="2065"/>
      <c r="L104" s="2088" t="str">
        <f ca="1">OFFSET(貼付け_2024実績,3,211)</f>
        <v/>
      </c>
      <c r="M104" s="2088" t="str">
        <f ca="1">OFFSET(貼付け_2025実績,3,211)</f>
        <v/>
      </c>
      <c r="N104" s="2088" t="str">
        <f ca="1">OFFSET(貼付け_2026実績,3,211)</f>
        <v/>
      </c>
      <c r="O104" s="2088" t="str">
        <f ca="1">OFFSET(貼付け_2027実績,3,211)</f>
        <v/>
      </c>
      <c r="P104" s="2085" t="str">
        <f ca="1">OFFSET(A1_原単位2024,50,9)</f>
        <v>-</v>
      </c>
      <c r="Q104" s="2085" t="str">
        <f ca="1">OFFSET(A1_原単位2025,50,9)</f>
        <v>-</v>
      </c>
      <c r="R104" s="2085" t="str">
        <f ca="1">OFFSET(A1_原単位2026,50,9)</f>
        <v>-</v>
      </c>
      <c r="S104" s="2085" t="str">
        <f ca="1">OFFSET(A1_原単位2027,50,9)</f>
        <v>-</v>
      </c>
      <c r="T104" s="2088" t="str">
        <f ca="1">OFFSET(貼付け_2024実績,3,213)</f>
        <v/>
      </c>
      <c r="U104" s="2088" t="str">
        <f ca="1">OFFSET(貼付け_2025実績,3,213)</f>
        <v/>
      </c>
      <c r="V104" s="2088" t="str">
        <f ca="1">OFFSET(貼付け_2026実績,3,213)</f>
        <v/>
      </c>
      <c r="W104" s="2088" t="str">
        <f ca="1">OFFSET(貼付け_2027実績,3,213)</f>
        <v/>
      </c>
      <c r="X104" s="2082" t="str">
        <f ca="1">OFFSET(A1_原単位2024,51,9)</f>
        <v>-</v>
      </c>
      <c r="Y104" s="2082" t="str">
        <f ca="1">OFFSET(A1_原単位2025,51,9)</f>
        <v>-</v>
      </c>
      <c r="Z104" s="2082" t="str">
        <f ca="1">OFFSET(A1_原単位2026,51,9)</f>
        <v>-</v>
      </c>
      <c r="AA104" s="2082" t="str">
        <f ca="1">OFFSET(A1_原単位2027,51,9)</f>
        <v>-</v>
      </c>
      <c r="AB104" s="2087"/>
      <c r="AC104" s="2087"/>
      <c r="AD104" s="2087"/>
      <c r="AE104" s="2087"/>
      <c r="AF104" s="2087"/>
      <c r="AG104" s="2087"/>
      <c r="AH104" s="2087"/>
      <c r="AI104" s="2087"/>
      <c r="AJ104" s="2087"/>
      <c r="AK104" s="2087"/>
      <c r="AL104" s="2087"/>
      <c r="AM104" s="2087"/>
      <c r="AN104" s="2087"/>
      <c r="AO104" s="2087"/>
      <c r="AP104" s="2087"/>
      <c r="AQ104" s="2087"/>
      <c r="AR104" s="2087"/>
      <c r="AS104" s="2087"/>
      <c r="AT104" s="2087"/>
      <c r="AU104" s="2087"/>
      <c r="AV104" s="2087"/>
      <c r="AW104" s="2087"/>
      <c r="AX104" s="2087"/>
      <c r="AY104" s="2087"/>
      <c r="AZ104" s="2087"/>
      <c r="BA104" s="2087"/>
      <c r="BB104" s="2087"/>
      <c r="BC104" s="2087"/>
      <c r="BD104" s="2087"/>
      <c r="BE104" s="2087"/>
      <c r="BF104" s="2087"/>
      <c r="BG104" s="2087"/>
      <c r="BH104" s="2087"/>
      <c r="BI104" s="2087"/>
      <c r="BJ104" s="2087"/>
      <c r="BK104" s="2087"/>
      <c r="BL104" s="2087"/>
      <c r="BM104" s="2087"/>
      <c r="BN104" s="2087"/>
      <c r="BO104" s="2087"/>
      <c r="BP104" s="1862"/>
    </row>
    <row r="105" spans="1:68">
      <c r="A105" s="1842"/>
      <c r="B105" s="2074"/>
      <c r="C105" s="2074"/>
      <c r="D105" s="2093" t="s">
        <v>1016</v>
      </c>
      <c r="E105" s="2086"/>
      <c r="F105" s="2077" t="s">
        <v>1017</v>
      </c>
      <c r="G105" s="2094"/>
      <c r="H105" s="2065"/>
      <c r="I105" s="2065"/>
      <c r="J105" s="2065"/>
      <c r="K105" s="2065"/>
      <c r="L105" s="2088" t="str">
        <f ca="1">IF(L6=$D$5,IFERROR(L99/L104,IF(L102="複数指標を設定",100,"")),"-")</f>
        <v/>
      </c>
      <c r="M105" s="2088" t="str">
        <f ca="1">IF(M6=$D$5,IFERROR(M99/M104,IF(M102="複数指標を設定",100,"")),IF(M6&gt;$D$5,IFERROR(M99/M104,IF(M102="複数指標を設定",L105*(1-M109/100),"")),"-"))</f>
        <v/>
      </c>
      <c r="N105" s="2088" t="str">
        <f ca="1">IF(N6=$D$5,IFERROR(N99/N104,IF(N102="複数指標を設定",100,"")),IF(N6&gt;$D$5,IFERROR(N99/N104,IF(N102="複数指標を設定",M105*(1-N109/100),"")),"-"))</f>
        <v/>
      </c>
      <c r="O105" s="2088" t="str">
        <f ca="1">IF(O6=$D$5,IFERROR(O99/O104,IF(O102="複数指標を設定",100,"")),IF(O6&gt;$D$5,IFERROR(O99/O104,IF(O102="複数指標を設定",N105*(1-O109/100),"")),"-"))</f>
        <v/>
      </c>
      <c r="P105" s="2088" t="str">
        <f ca="1">IFERROR(P99/P104,"-")</f>
        <v>-</v>
      </c>
      <c r="Q105" s="2088" t="str">
        <f ca="1">IFERROR(Q99/Q104,"-")</f>
        <v>-</v>
      </c>
      <c r="R105" s="2088" t="str">
        <f ca="1">IFERROR(R99/R104,"-")</f>
        <v>-</v>
      </c>
      <c r="S105" s="2088" t="str">
        <f ca="1">IFERROR(S99/S104,"-")</f>
        <v>-</v>
      </c>
      <c r="T105" s="2088" t="str">
        <f ca="1">IF(T6=$D$5,IFERROR(T99/T104,IF(T102="複数指標を設定",100,"")),"-")</f>
        <v/>
      </c>
      <c r="U105" s="2088" t="str">
        <f ca="1">IF(U6=$D$5,IFERROR(U99/U104,IF(U102="複数指標を設定",100,"")),IF(U6&gt;$D$5,IFERROR(U99/U104,IF(U102="複数指標を設定",T105*(1-U108/100),"")),"-"))</f>
        <v/>
      </c>
      <c r="V105" s="2088" t="str">
        <f ca="1">IF(V6=$D$5,IFERROR(V99/V104,IF(V102="複数指標を設定",100,"")),IF(V6&gt;$D$5,IFERROR(V99/V104,IF(V102="複数指標を設定",U105*(1-V108/100),"")),"-"))</f>
        <v/>
      </c>
      <c r="W105" s="2088" t="str">
        <f ca="1">IF(W6=$D$5,IFERROR(W99/W104,IF(W102="複数指標を設定",100,"")),IF(W6&gt;$D$5,IFERROR(W99/W104,IF(W102="複数指標を設定",V105*(1-W108/100),"")),"-"))</f>
        <v/>
      </c>
      <c r="X105" s="2095" t="str">
        <f ca="1">IFERROR(X99/X104,"-")</f>
        <v>-</v>
      </c>
      <c r="Y105" s="2095" t="str">
        <f ca="1">IFERROR(Y99/Y104,"-")</f>
        <v>-</v>
      </c>
      <c r="Z105" s="2095" t="str">
        <f ca="1">IFERROR(Z99/Z104,"-")</f>
        <v>-</v>
      </c>
      <c r="AA105" s="2095" t="str">
        <f ca="1">IFERROR(AA99/AA104,"-")</f>
        <v>-</v>
      </c>
      <c r="AB105" s="2095"/>
      <c r="AC105" s="2095"/>
      <c r="AD105" s="2095"/>
      <c r="AE105" s="2095"/>
      <c r="AF105" s="2095"/>
      <c r="AG105" s="2095"/>
      <c r="AH105" s="2095"/>
      <c r="AI105" s="2095"/>
      <c r="AJ105" s="2095"/>
      <c r="AK105" s="2095"/>
      <c r="AL105" s="2095"/>
      <c r="AM105" s="2095"/>
      <c r="AN105" s="2095"/>
      <c r="AO105" s="2095"/>
      <c r="AP105" s="2095"/>
      <c r="AQ105" s="2095"/>
      <c r="AR105" s="2095"/>
      <c r="AS105" s="2095"/>
      <c r="AT105" s="2095"/>
      <c r="AU105" s="2095"/>
      <c r="AV105" s="2095"/>
      <c r="AW105" s="2095"/>
      <c r="AX105" s="2095"/>
      <c r="AY105" s="2095"/>
      <c r="AZ105" s="2095"/>
      <c r="BA105" s="2095"/>
      <c r="BB105" s="2095"/>
      <c r="BC105" s="2095"/>
      <c r="BD105" s="2095"/>
      <c r="BE105" s="2095"/>
      <c r="BF105" s="2095"/>
      <c r="BG105" s="2095"/>
      <c r="BH105" s="2095"/>
      <c r="BI105" s="2095"/>
      <c r="BJ105" s="2095"/>
      <c r="BK105" s="2095"/>
      <c r="BL105" s="2095"/>
      <c r="BM105" s="2095"/>
      <c r="BN105" s="2095"/>
      <c r="BO105" s="2095"/>
      <c r="BP105" s="1862"/>
    </row>
    <row r="106" spans="1:68">
      <c r="A106" s="1842"/>
      <c r="B106" s="2074"/>
      <c r="C106" s="2074"/>
      <c r="D106" s="2086" t="s">
        <v>1018</v>
      </c>
      <c r="E106" s="2086"/>
      <c r="F106" s="2077" t="s">
        <v>1019</v>
      </c>
      <c r="G106" s="2094"/>
      <c r="H106" s="2065"/>
      <c r="I106" s="2065"/>
      <c r="J106" s="2065"/>
      <c r="K106" s="2065"/>
      <c r="L106" s="2065"/>
      <c r="M106" s="2088" t="str">
        <f ca="1">L105</f>
        <v/>
      </c>
      <c r="N106" s="2088" t="str">
        <f ca="1">M105</f>
        <v/>
      </c>
      <c r="O106" s="2088" t="str">
        <f ca="1">N105</f>
        <v/>
      </c>
      <c r="P106" s="2065"/>
      <c r="Q106" s="2065"/>
      <c r="R106" s="2065"/>
      <c r="S106" s="2065"/>
      <c r="T106" s="2065"/>
      <c r="U106" s="2088" t="str">
        <f ca="1">T105</f>
        <v/>
      </c>
      <c r="V106" s="2088" t="str">
        <f ca="1">U105</f>
        <v/>
      </c>
      <c r="W106" s="2088" t="str">
        <f ca="1">V105</f>
        <v/>
      </c>
      <c r="X106" s="2096"/>
      <c r="Y106" s="2096"/>
      <c r="Z106" s="2096"/>
      <c r="AA106" s="2096"/>
      <c r="AB106" s="2096"/>
      <c r="AC106" s="2095"/>
      <c r="AD106" s="2095"/>
      <c r="AE106" s="2095"/>
      <c r="AF106" s="2096"/>
      <c r="AG106" s="2095"/>
      <c r="AH106" s="2095"/>
      <c r="AI106" s="2095"/>
      <c r="AJ106" s="2096"/>
      <c r="AK106" s="2095"/>
      <c r="AL106" s="2095"/>
      <c r="AM106" s="2095"/>
      <c r="AN106" s="2096"/>
      <c r="AO106" s="2095"/>
      <c r="AP106" s="2095"/>
      <c r="AQ106" s="2095"/>
      <c r="AR106" s="2096"/>
      <c r="AS106" s="2095"/>
      <c r="AT106" s="2095"/>
      <c r="AU106" s="2095"/>
      <c r="AV106" s="2096"/>
      <c r="AW106" s="2095"/>
      <c r="AX106" s="2095"/>
      <c r="AY106" s="2095"/>
      <c r="AZ106" s="2096"/>
      <c r="BA106" s="2095"/>
      <c r="BB106" s="2095"/>
      <c r="BC106" s="2095"/>
      <c r="BD106" s="2096"/>
      <c r="BE106" s="2095"/>
      <c r="BF106" s="2095"/>
      <c r="BG106" s="2095"/>
      <c r="BH106" s="2096"/>
      <c r="BI106" s="2095"/>
      <c r="BJ106" s="2095"/>
      <c r="BK106" s="2095"/>
      <c r="BL106" s="2096"/>
      <c r="BM106" s="2095"/>
      <c r="BN106" s="2095"/>
      <c r="BO106" s="2095"/>
      <c r="BP106" s="1862"/>
    </row>
    <row r="107" spans="1:68">
      <c r="A107" s="1842"/>
      <c r="B107" s="2074"/>
      <c r="C107" s="2074"/>
      <c r="D107" s="1895" t="s">
        <v>1020</v>
      </c>
      <c r="E107" s="2093"/>
      <c r="F107" s="2077" t="s">
        <v>1021</v>
      </c>
      <c r="G107" s="2080" t="s">
        <v>802</v>
      </c>
      <c r="H107" s="2065"/>
      <c r="I107" s="2065"/>
      <c r="J107" s="2065"/>
      <c r="K107" s="2065"/>
      <c r="L107" s="2065"/>
      <c r="M107" s="2088" t="str">
        <f ca="1">IFERROR(ROUND((1-M105/M106)*100,1),"-")</f>
        <v>-</v>
      </c>
      <c r="N107" s="2088" t="str">
        <f ca="1">IFERROR(ROUND((1-N105/N106)*100,1),"-")</f>
        <v>-</v>
      </c>
      <c r="O107" s="2088" t="str">
        <f ca="1">IFERROR(ROUND((1-O105/O106)*100,1),"-")</f>
        <v>-</v>
      </c>
      <c r="P107" s="2065"/>
      <c r="Q107" s="2088" t="str">
        <f ca="1">IFERROR(ROUND(OFFSET(A1_原単位2025,50,3),1),"")</f>
        <v/>
      </c>
      <c r="R107" s="2088" t="str">
        <f ca="1">IFERROR(ROUND(OFFSET(A1_原単位2026,50,3),1),"")</f>
        <v/>
      </c>
      <c r="S107" s="2088" t="str">
        <f ca="1">IFERROR(ROUND(OFFSET(A1_原単位2027,50,3),1),"")</f>
        <v/>
      </c>
      <c r="T107" s="2065"/>
      <c r="U107" s="2088" t="str">
        <f ca="1">IFERROR(ROUND((1-U105/U106)*100,1),"-")</f>
        <v>-</v>
      </c>
      <c r="V107" s="2088" t="str">
        <f ca="1">IFERROR(ROUND((1-V105/V106)*100,1),"-")</f>
        <v>-</v>
      </c>
      <c r="W107" s="2088" t="str">
        <f ca="1">IFERROR(ROUND((1-W105/W106)*100,1),"-")</f>
        <v>-</v>
      </c>
      <c r="X107" s="2096"/>
      <c r="Y107" s="2095" t="str">
        <f ca="1">IFERROR(ROUND(OFFSET(A1_原単位2025,51,3),1),"")</f>
        <v/>
      </c>
      <c r="Z107" s="2095" t="str">
        <f ca="1">IFERROR(ROUND(OFFSET(A1_原単位2026,51,3),1),"")</f>
        <v/>
      </c>
      <c r="AA107" s="2095" t="str">
        <f ca="1">IFERROR(ROUND(OFFSET(A1_原単位2027,51,3),1),"")</f>
        <v/>
      </c>
      <c r="AB107" s="2096"/>
      <c r="AC107" s="2082"/>
      <c r="AD107" s="2082"/>
      <c r="AE107" s="2082"/>
      <c r="AF107" s="2096"/>
      <c r="AG107" s="2082"/>
      <c r="AH107" s="2082"/>
      <c r="AI107" s="2082"/>
      <c r="AJ107" s="2096"/>
      <c r="AK107" s="2082"/>
      <c r="AL107" s="2082"/>
      <c r="AM107" s="2082"/>
      <c r="AN107" s="2096"/>
      <c r="AO107" s="2082"/>
      <c r="AP107" s="2082"/>
      <c r="AQ107" s="2082"/>
      <c r="AR107" s="2096"/>
      <c r="AS107" s="2082"/>
      <c r="AT107" s="2082"/>
      <c r="AU107" s="2082"/>
      <c r="AV107" s="2096"/>
      <c r="AW107" s="2082"/>
      <c r="AX107" s="2082"/>
      <c r="AY107" s="2082"/>
      <c r="AZ107" s="2096"/>
      <c r="BA107" s="2082"/>
      <c r="BB107" s="2082"/>
      <c r="BC107" s="2082"/>
      <c r="BD107" s="2096"/>
      <c r="BE107" s="2082"/>
      <c r="BF107" s="2082"/>
      <c r="BG107" s="2082"/>
      <c r="BH107" s="2096"/>
      <c r="BI107" s="2082"/>
      <c r="BJ107" s="2082"/>
      <c r="BK107" s="2082"/>
      <c r="BL107" s="2096"/>
      <c r="BM107" s="2082"/>
      <c r="BN107" s="2082"/>
      <c r="BO107" s="2082"/>
      <c r="BP107" s="1862"/>
    </row>
    <row r="108" spans="1:68">
      <c r="A108" s="1842"/>
      <c r="B108" s="2074"/>
      <c r="C108" s="2074"/>
      <c r="D108" s="1945" t="s">
        <v>1022</v>
      </c>
      <c r="E108" s="2093"/>
      <c r="F108" s="2077" t="s">
        <v>1023</v>
      </c>
      <c r="G108" s="2080" t="s">
        <v>802</v>
      </c>
      <c r="H108" s="2065"/>
      <c r="I108" s="2065"/>
      <c r="J108" s="2065"/>
      <c r="K108" s="2065"/>
      <c r="L108" s="2065"/>
      <c r="M108" s="2065"/>
      <c r="N108" s="2065"/>
      <c r="O108" s="2065"/>
      <c r="P108" s="2065"/>
      <c r="Q108" s="2065"/>
      <c r="R108" s="2065"/>
      <c r="S108" s="2065"/>
      <c r="T108" s="2065"/>
      <c r="U108" s="2088" t="str">
        <f ca="1">IF(T102="-","-",OFFSET(A1_原単位2025,51,11))</f>
        <v/>
      </c>
      <c r="V108" s="2088" t="str">
        <f ca="1">IF(U102="-","-",OFFSET(A1_原単位2026,51,11))</f>
        <v/>
      </c>
      <c r="W108" s="2088" t="str">
        <f ca="1">IF(V102="-","-",OFFSET(A1_原単位2027,51,11))</f>
        <v/>
      </c>
      <c r="X108" s="2096"/>
      <c r="Y108" s="2095" t="str">
        <f ca="1">IFERROR(Y100/100*Y107/100*100,"")</f>
        <v/>
      </c>
      <c r="Z108" s="2095" t="str">
        <f ca="1">IFERROR(Z100/100*Z107/100*100,"")</f>
        <v/>
      </c>
      <c r="AA108" s="2095" t="str">
        <f ca="1">IFERROR(AA100/100*AA107/100*100,"")</f>
        <v/>
      </c>
      <c r="AB108" s="2096"/>
      <c r="AC108" s="2095"/>
      <c r="AD108" s="2095"/>
      <c r="AE108" s="2095"/>
      <c r="AF108" s="2096"/>
      <c r="AG108" s="2095"/>
      <c r="AH108" s="2095"/>
      <c r="AI108" s="2095"/>
      <c r="AJ108" s="2096"/>
      <c r="AK108" s="2095"/>
      <c r="AL108" s="2095"/>
      <c r="AM108" s="2095"/>
      <c r="AN108" s="2096"/>
      <c r="AO108" s="2095"/>
      <c r="AP108" s="2095"/>
      <c r="AQ108" s="2095"/>
      <c r="AR108" s="2096"/>
      <c r="AS108" s="2095"/>
      <c r="AT108" s="2095"/>
      <c r="AU108" s="2095"/>
      <c r="AV108" s="2096"/>
      <c r="AW108" s="2095"/>
      <c r="AX108" s="2095"/>
      <c r="AY108" s="2095"/>
      <c r="AZ108" s="2096"/>
      <c r="BA108" s="2095"/>
      <c r="BB108" s="2095"/>
      <c r="BC108" s="2095"/>
      <c r="BD108" s="2096"/>
      <c r="BE108" s="2095"/>
      <c r="BF108" s="2095"/>
      <c r="BG108" s="2095"/>
      <c r="BH108" s="2096"/>
      <c r="BI108" s="2095"/>
      <c r="BJ108" s="2095"/>
      <c r="BK108" s="2095"/>
      <c r="BL108" s="2096"/>
      <c r="BM108" s="2095"/>
      <c r="BN108" s="2095"/>
      <c r="BO108" s="2095"/>
      <c r="BP108" s="1862"/>
    </row>
    <row r="109" spans="1:68">
      <c r="A109" s="1842"/>
      <c r="B109" s="2074"/>
      <c r="C109" s="2074"/>
      <c r="D109" s="1945" t="s">
        <v>1024</v>
      </c>
      <c r="E109" s="2093"/>
      <c r="F109" s="2077" t="s">
        <v>1025</v>
      </c>
      <c r="G109" s="2080" t="s">
        <v>802</v>
      </c>
      <c r="H109" s="2065"/>
      <c r="I109" s="2065"/>
      <c r="J109" s="2065"/>
      <c r="K109" s="2065"/>
      <c r="L109" s="2065"/>
      <c r="M109" s="2088" t="str">
        <f ca="1">IF(L102="-","-",OFFSET(A1_原単位2025,50,11))</f>
        <v/>
      </c>
      <c r="N109" s="2088" t="str">
        <f ca="1">IF(M102="-","-",OFFSET(A1_原単位2026,50,11))</f>
        <v/>
      </c>
      <c r="O109" s="2088" t="str">
        <f ca="1">IF(N102="-","-",OFFSET(A1_原単位2026,50,11))</f>
        <v/>
      </c>
      <c r="P109" s="2065"/>
      <c r="Q109" s="2088" t="str">
        <f ca="1">IFERROR(Q101/100*Q107/100*100,"")</f>
        <v/>
      </c>
      <c r="R109" s="2088" t="str">
        <f ca="1">IFERROR(R101/100*R107/100*100,"")</f>
        <v/>
      </c>
      <c r="S109" s="2088" t="str">
        <f ca="1">IFERROR(S101/100*S107/100*100,"")</f>
        <v/>
      </c>
      <c r="T109" s="2065"/>
      <c r="U109" s="2011" t="str">
        <f ca="1">IFERROR(U101/100*U107/100*100,"")</f>
        <v/>
      </c>
      <c r="V109" s="2011" t="str">
        <f t="shared" ref="V109:W109" ca="1" si="49">IFERROR(V101/100*V107/100*100,"")</f>
        <v/>
      </c>
      <c r="W109" s="2011" t="str">
        <f t="shared" ca="1" si="49"/>
        <v/>
      </c>
      <c r="X109" s="2096"/>
      <c r="Y109" s="2095" t="str">
        <f ca="1">IFERROR(Y101/100*Y107/100*100,"")</f>
        <v/>
      </c>
      <c r="Z109" s="2095" t="str">
        <f ca="1">IFERROR(Z101/100*Z107/100*100,"")</f>
        <v/>
      </c>
      <c r="AA109" s="2095" t="str">
        <f ca="1">IFERROR(AA101/100*AA107/100*100,"")</f>
        <v/>
      </c>
      <c r="AB109" s="2096"/>
      <c r="AC109" s="2095"/>
      <c r="AD109" s="2095"/>
      <c r="AE109" s="2095"/>
      <c r="AF109" s="2096"/>
      <c r="AG109" s="2095"/>
      <c r="AH109" s="2095"/>
      <c r="AI109" s="2095"/>
      <c r="AJ109" s="2096"/>
      <c r="AK109" s="2095"/>
      <c r="AL109" s="2095"/>
      <c r="AM109" s="2095"/>
      <c r="AN109" s="2096"/>
      <c r="AO109" s="2095"/>
      <c r="AP109" s="2095"/>
      <c r="AQ109" s="2095"/>
      <c r="AR109" s="2096"/>
      <c r="AS109" s="2095"/>
      <c r="AT109" s="2095"/>
      <c r="AU109" s="2095"/>
      <c r="AV109" s="2096"/>
      <c r="AW109" s="2095"/>
      <c r="AX109" s="2095"/>
      <c r="AY109" s="2095"/>
      <c r="AZ109" s="2096"/>
      <c r="BA109" s="2095"/>
      <c r="BB109" s="2095"/>
      <c r="BC109" s="2095"/>
      <c r="BD109" s="2096"/>
      <c r="BE109" s="2095"/>
      <c r="BF109" s="2095"/>
      <c r="BG109" s="2095"/>
      <c r="BH109" s="2096"/>
      <c r="BI109" s="2095"/>
      <c r="BJ109" s="2095"/>
      <c r="BK109" s="2095"/>
      <c r="BL109" s="2096"/>
      <c r="BM109" s="2095"/>
      <c r="BN109" s="2095"/>
      <c r="BO109" s="2095"/>
      <c r="BP109" s="1862"/>
    </row>
    <row r="110" spans="1:68" ht="19.5" customHeight="1">
      <c r="A110" s="1842"/>
      <c r="B110" s="2097" t="s">
        <v>1026</v>
      </c>
      <c r="C110" s="2098"/>
      <c r="D110" s="1895" t="s">
        <v>1027</v>
      </c>
      <c r="E110" s="2093"/>
      <c r="F110" s="1887"/>
      <c r="G110" s="1225" t="s">
        <v>1028</v>
      </c>
      <c r="H110" s="2099"/>
      <c r="I110" s="2099"/>
      <c r="J110" s="2099"/>
      <c r="K110" s="2099"/>
      <c r="L110" s="2066">
        <f ca="1">参考3_排出量経年!L224/1000</f>
        <v>0</v>
      </c>
      <c r="M110" s="2066">
        <f ca="1">参考3_排出量経年!M224/1000</f>
        <v>0</v>
      </c>
      <c r="N110" s="2066">
        <f ca="1">参考3_排出量経年!N224/1000</f>
        <v>0</v>
      </c>
      <c r="O110" s="2066">
        <f ca="1">参考3_排出量経年!O224/1000</f>
        <v>0</v>
      </c>
      <c r="P110" s="2066">
        <f ca="1">参考3_排出量経年!P224/1000</f>
        <v>0</v>
      </c>
      <c r="Q110" s="2066">
        <f ca="1">参考3_排出量経年!Q224/1000</f>
        <v>0</v>
      </c>
      <c r="R110" s="2066">
        <f ca="1">参考3_排出量経年!R224/1000</f>
        <v>0</v>
      </c>
      <c r="S110" s="2066">
        <f ca="1">参考3_排出量経年!S224/1000</f>
        <v>0</v>
      </c>
      <c r="T110" s="2066">
        <f ca="1">参考3_排出量経年!T224/1000</f>
        <v>0</v>
      </c>
      <c r="U110" s="2066">
        <f ca="1">参考3_排出量経年!U224/1000</f>
        <v>0</v>
      </c>
      <c r="V110" s="2066">
        <f ca="1">参考3_排出量経年!V224/1000</f>
        <v>0</v>
      </c>
      <c r="W110" s="2066">
        <f ca="1">参考3_排出量経年!W224/1000</f>
        <v>0</v>
      </c>
      <c r="X110" s="2069"/>
      <c r="Y110" s="2069"/>
      <c r="Z110" s="2069"/>
      <c r="AA110" s="2069"/>
      <c r="AB110" s="2069"/>
      <c r="AC110" s="2069"/>
      <c r="AD110" s="2069"/>
      <c r="AE110" s="2069"/>
      <c r="AF110" s="2069"/>
      <c r="AG110" s="2069"/>
      <c r="AH110" s="2069"/>
      <c r="AI110" s="2069"/>
      <c r="AJ110" s="2069"/>
      <c r="AK110" s="2069"/>
      <c r="AL110" s="2069"/>
      <c r="AM110" s="2069"/>
      <c r="AN110" s="2069"/>
      <c r="AO110" s="2069"/>
      <c r="AP110" s="2069"/>
      <c r="AQ110" s="2069"/>
      <c r="AR110" s="2069"/>
      <c r="AS110" s="2069"/>
      <c r="AT110" s="2069"/>
      <c r="AU110" s="2069"/>
      <c r="AV110" s="2069"/>
      <c r="AW110" s="2069"/>
      <c r="AX110" s="2069"/>
      <c r="AY110" s="2069"/>
      <c r="AZ110" s="2069"/>
      <c r="BA110" s="2069"/>
      <c r="BB110" s="2069"/>
      <c r="BC110" s="2069"/>
      <c r="BD110" s="2069"/>
      <c r="BE110" s="2069"/>
      <c r="BF110" s="2069"/>
      <c r="BG110" s="2069"/>
      <c r="BH110" s="2069"/>
      <c r="BI110" s="2069"/>
      <c r="BJ110" s="2069"/>
      <c r="BK110" s="2069"/>
      <c r="BL110" s="2069"/>
      <c r="BM110" s="2069"/>
      <c r="BN110" s="2069"/>
      <c r="BO110" s="2069"/>
      <c r="BP110" s="1862"/>
    </row>
    <row r="111" spans="1:68">
      <c r="A111" s="1842">
        <v>17</v>
      </c>
      <c r="B111" s="2100"/>
      <c r="C111" s="2101"/>
      <c r="D111" s="1895" t="s">
        <v>1029</v>
      </c>
      <c r="E111" s="2093"/>
      <c r="F111" s="1887"/>
      <c r="G111" s="1225" t="s">
        <v>1028</v>
      </c>
      <c r="H111" s="2099"/>
      <c r="I111" s="2099"/>
      <c r="J111" s="2099"/>
      <c r="K111" s="2099"/>
      <c r="L111" s="2012">
        <f t="shared" ref="L111:O113" ca="1" si="50">P111+T111</f>
        <v>0</v>
      </c>
      <c r="M111" s="2012">
        <f t="shared" ca="1" si="50"/>
        <v>0</v>
      </c>
      <c r="N111" s="2012">
        <f t="shared" ca="1" si="50"/>
        <v>0</v>
      </c>
      <c r="O111" s="2012">
        <f t="shared" ca="1" si="50"/>
        <v>0</v>
      </c>
      <c r="P111" s="2066">
        <f ca="1">SUM(SUMIFS(OFFSET(A1_集計2024,$A111,9,1,199),OFFSET(貼付け_2024実績,4,9,1,199),{"横浜*","川崎*"}))</f>
        <v>0</v>
      </c>
      <c r="Q111" s="2066">
        <f ca="1">SUM(SUMIFS(OFFSET(A1_集計2025,$A111,9,1,199),OFFSET(貼付け_2025実績,4,9,1,199),{"横浜*","川崎*"}))</f>
        <v>0</v>
      </c>
      <c r="R111" s="2066">
        <f ca="1">SUM(SUMIFS(OFFSET(A1_集計2026,$A111,9,1,199),OFFSET(貼付け_2026実績,4,9,1,199),{"横浜*","川崎*"}))</f>
        <v>0</v>
      </c>
      <c r="S111" s="2066">
        <f ca="1">SUM(SUMIFS(OFFSET(A1_集計2027,$A111,9,1,199),OFFSET(貼付け_2027実績,4,9,1,199),{"横浜*","川崎*"}))</f>
        <v>0</v>
      </c>
      <c r="T111" s="2066">
        <f ca="1">SUM(SUMIFS(OFFSET(A1_集計2024,$A111,9,1,199),OFFSET(貼付け_2024実績,4,9,1,199),{"県域*","エネルギー管理指定工場等*"}))</f>
        <v>0</v>
      </c>
      <c r="U111" s="2066">
        <f ca="1">SUM(SUMIFS(OFFSET(A1_集計2025,$A111,9,1,199),OFFSET(貼付け_2025実績,4,9,1,199),{"県域*","エネルギー管理指定工場等*"}))</f>
        <v>0</v>
      </c>
      <c r="V111" s="2066">
        <f ca="1">SUM(SUMIFS(OFFSET(A1_集計2026,$A111,9,1,199),OFFSET(貼付け_2026実績,4,9,1,199),{"県域*","エネルギー管理指定工場等*"}))</f>
        <v>0</v>
      </c>
      <c r="W111" s="2066">
        <f ca="1">SUM(SUMIFS(OFFSET(A1_集計2027,$A111,9,1,199),OFFSET(貼付け_2027実績,4,9,1,199),{"県域*","エネルギー管理指定工場等*"}))</f>
        <v>0</v>
      </c>
      <c r="X111" s="2069"/>
      <c r="Y111" s="2069"/>
      <c r="Z111" s="2069"/>
      <c r="AA111" s="2069"/>
      <c r="AB111" s="2069"/>
      <c r="AC111" s="2069"/>
      <c r="AD111" s="2069"/>
      <c r="AE111" s="2069"/>
      <c r="AF111" s="2069"/>
      <c r="AG111" s="2069"/>
      <c r="AH111" s="2069"/>
      <c r="AI111" s="2069"/>
      <c r="AJ111" s="2069"/>
      <c r="AK111" s="2069"/>
      <c r="AL111" s="2069"/>
      <c r="AM111" s="2069"/>
      <c r="AN111" s="2069"/>
      <c r="AO111" s="2069"/>
      <c r="AP111" s="2069"/>
      <c r="AQ111" s="2069"/>
      <c r="AR111" s="2069"/>
      <c r="AS111" s="2069"/>
      <c r="AT111" s="2069"/>
      <c r="AU111" s="2069"/>
      <c r="AV111" s="2069"/>
      <c r="AW111" s="2069"/>
      <c r="AX111" s="2069"/>
      <c r="AY111" s="2069"/>
      <c r="AZ111" s="2069"/>
      <c r="BA111" s="2069"/>
      <c r="BB111" s="2069"/>
      <c r="BC111" s="2069"/>
      <c r="BD111" s="2069"/>
      <c r="BE111" s="2069"/>
      <c r="BF111" s="2069"/>
      <c r="BG111" s="2069"/>
      <c r="BH111" s="2069"/>
      <c r="BI111" s="2069"/>
      <c r="BJ111" s="2069"/>
      <c r="BK111" s="2069"/>
      <c r="BL111" s="2069"/>
      <c r="BM111" s="2069"/>
      <c r="BN111" s="2069"/>
      <c r="BO111" s="2069"/>
      <c r="BP111" s="1862"/>
    </row>
    <row r="112" spans="1:68" ht="19.5" customHeight="1">
      <c r="A112" s="1842"/>
      <c r="B112" s="2100"/>
      <c r="C112" s="2101"/>
      <c r="D112" s="1885" t="s">
        <v>1030</v>
      </c>
      <c r="E112" s="2086"/>
      <c r="F112" s="1887"/>
      <c r="G112" s="1225" t="s">
        <v>1028</v>
      </c>
      <c r="H112" s="2099"/>
      <c r="I112" s="2099"/>
      <c r="J112" s="2099"/>
      <c r="K112" s="2099"/>
      <c r="L112" s="2012">
        <f t="shared" ca="1" si="50"/>
        <v>0</v>
      </c>
      <c r="M112" s="2012">
        <f t="shared" ca="1" si="50"/>
        <v>0</v>
      </c>
      <c r="N112" s="2012">
        <f t="shared" ca="1" si="50"/>
        <v>0</v>
      </c>
      <c r="O112" s="2012">
        <f t="shared" ca="1" si="50"/>
        <v>0</v>
      </c>
      <c r="P112" s="2066">
        <f t="shared" ref="P112:W112" ca="1" si="51">P69+P70+P72+P74+P75+P77+P79+P81+P83+P85+P88+P90</f>
        <v>0</v>
      </c>
      <c r="Q112" s="2066">
        <f t="shared" ca="1" si="51"/>
        <v>0</v>
      </c>
      <c r="R112" s="2066">
        <f t="shared" ca="1" si="51"/>
        <v>0</v>
      </c>
      <c r="S112" s="2066">
        <f t="shared" ca="1" si="51"/>
        <v>0</v>
      </c>
      <c r="T112" s="2066">
        <f t="shared" ca="1" si="51"/>
        <v>0</v>
      </c>
      <c r="U112" s="2066">
        <f t="shared" ca="1" si="51"/>
        <v>0</v>
      </c>
      <c r="V112" s="2066">
        <f t="shared" ca="1" si="51"/>
        <v>0</v>
      </c>
      <c r="W112" s="2066">
        <f t="shared" ca="1" si="51"/>
        <v>0</v>
      </c>
      <c r="X112" s="2069"/>
      <c r="Y112" s="2073"/>
      <c r="Z112" s="2073"/>
      <c r="AA112" s="2073"/>
      <c r="AB112" s="2069"/>
      <c r="AC112" s="2073"/>
      <c r="AD112" s="2073"/>
      <c r="AE112" s="2073"/>
      <c r="AF112" s="2069"/>
      <c r="AG112" s="2073"/>
      <c r="AH112" s="2073"/>
      <c r="AI112" s="2073"/>
      <c r="AJ112" s="2069"/>
      <c r="AK112" s="2073"/>
      <c r="AL112" s="2073"/>
      <c r="AM112" s="2073"/>
      <c r="AN112" s="2069"/>
      <c r="AO112" s="2073"/>
      <c r="AP112" s="2073"/>
      <c r="AQ112" s="2073"/>
      <c r="AR112" s="2069"/>
      <c r="AS112" s="2073"/>
      <c r="AT112" s="2073"/>
      <c r="AU112" s="2073"/>
      <c r="AV112" s="2069"/>
      <c r="AW112" s="2073"/>
      <c r="AX112" s="2073"/>
      <c r="AY112" s="2073"/>
      <c r="AZ112" s="2069"/>
      <c r="BA112" s="2073"/>
      <c r="BB112" s="2073"/>
      <c r="BC112" s="2073"/>
      <c r="BD112" s="2069"/>
      <c r="BE112" s="2073"/>
      <c r="BF112" s="2073"/>
      <c r="BG112" s="2073"/>
      <c r="BH112" s="2069"/>
      <c r="BI112" s="2073"/>
      <c r="BJ112" s="2073"/>
      <c r="BK112" s="2073"/>
      <c r="BL112" s="2069"/>
      <c r="BM112" s="2073"/>
      <c r="BN112" s="2073"/>
      <c r="BO112" s="2073"/>
      <c r="BP112" s="1862"/>
    </row>
    <row r="113" spans="1:68">
      <c r="A113" s="1842"/>
      <c r="B113" s="2100"/>
      <c r="C113" s="2101"/>
      <c r="D113" s="1885" t="s">
        <v>1031</v>
      </c>
      <c r="E113" s="2086"/>
      <c r="F113" s="1887"/>
      <c r="G113" s="1225" t="s">
        <v>1028</v>
      </c>
      <c r="H113" s="2099"/>
      <c r="I113" s="2099"/>
      <c r="J113" s="2099"/>
      <c r="K113" s="2099"/>
      <c r="L113" s="2012">
        <f t="shared" ca="1" si="50"/>
        <v>0</v>
      </c>
      <c r="M113" s="2012">
        <f t="shared" ca="1" si="50"/>
        <v>0</v>
      </c>
      <c r="N113" s="2012">
        <f t="shared" ca="1" si="50"/>
        <v>0</v>
      </c>
      <c r="O113" s="2012">
        <f t="shared" ca="1" si="50"/>
        <v>0</v>
      </c>
      <c r="P113" s="2066">
        <f t="shared" ref="P113:W113" ca="1" si="52">P112-P338</f>
        <v>0</v>
      </c>
      <c r="Q113" s="2066">
        <f t="shared" ca="1" si="52"/>
        <v>0</v>
      </c>
      <c r="R113" s="2066">
        <f t="shared" ca="1" si="52"/>
        <v>0</v>
      </c>
      <c r="S113" s="2066">
        <f t="shared" ca="1" si="52"/>
        <v>0</v>
      </c>
      <c r="T113" s="2066">
        <f t="shared" ca="1" si="52"/>
        <v>0</v>
      </c>
      <c r="U113" s="2066">
        <f t="shared" ca="1" si="52"/>
        <v>0</v>
      </c>
      <c r="V113" s="2066">
        <f t="shared" ca="1" si="52"/>
        <v>0</v>
      </c>
      <c r="W113" s="2066">
        <f t="shared" ca="1" si="52"/>
        <v>0</v>
      </c>
      <c r="X113" s="2069"/>
      <c r="Y113" s="2073"/>
      <c r="Z113" s="2073"/>
      <c r="AA113" s="2073"/>
      <c r="AB113" s="2069"/>
      <c r="AC113" s="2073"/>
      <c r="AD113" s="2073"/>
      <c r="AE113" s="2073"/>
      <c r="AF113" s="2069"/>
      <c r="AG113" s="2073"/>
      <c r="AH113" s="2073"/>
      <c r="AI113" s="2073"/>
      <c r="AJ113" s="2069"/>
      <c r="AK113" s="2073"/>
      <c r="AL113" s="2073"/>
      <c r="AM113" s="2073"/>
      <c r="AN113" s="2069"/>
      <c r="AO113" s="2073"/>
      <c r="AP113" s="2073"/>
      <c r="AQ113" s="2073"/>
      <c r="AR113" s="2069"/>
      <c r="AS113" s="2073"/>
      <c r="AT113" s="2073"/>
      <c r="AU113" s="2073"/>
      <c r="AV113" s="2069"/>
      <c r="AW113" s="2073"/>
      <c r="AX113" s="2073"/>
      <c r="AY113" s="2073"/>
      <c r="AZ113" s="2069"/>
      <c r="BA113" s="2073"/>
      <c r="BB113" s="2073"/>
      <c r="BC113" s="2073"/>
      <c r="BD113" s="2069"/>
      <c r="BE113" s="2073"/>
      <c r="BF113" s="2073"/>
      <c r="BG113" s="2073"/>
      <c r="BH113" s="2069"/>
      <c r="BI113" s="2073"/>
      <c r="BJ113" s="2073"/>
      <c r="BK113" s="2073"/>
      <c r="BL113" s="2069"/>
      <c r="BM113" s="2073"/>
      <c r="BN113" s="2073"/>
      <c r="BO113" s="2073"/>
      <c r="BP113" s="1862"/>
    </row>
    <row r="114" spans="1:68">
      <c r="A114" s="1842"/>
      <c r="B114" s="2100"/>
      <c r="C114" s="2101"/>
      <c r="D114" s="1885" t="s">
        <v>1032</v>
      </c>
      <c r="E114" s="2086"/>
      <c r="F114" s="1887"/>
      <c r="G114" s="1225" t="s">
        <v>1028</v>
      </c>
      <c r="H114" s="2099"/>
      <c r="I114" s="2099"/>
      <c r="J114" s="2099"/>
      <c r="K114" s="2099"/>
      <c r="L114" s="2066">
        <f t="shared" ref="L114:W114" ca="1" si="53">SUM(L68:L71,L73,L75,L77,L79,L81,L83,L85,L87:L90,)</f>
        <v>0</v>
      </c>
      <c r="M114" s="2066">
        <f t="shared" ca="1" si="53"/>
        <v>0</v>
      </c>
      <c r="N114" s="2066">
        <f t="shared" ca="1" si="53"/>
        <v>0</v>
      </c>
      <c r="O114" s="2066">
        <f t="shared" ca="1" si="53"/>
        <v>0</v>
      </c>
      <c r="P114" s="2066">
        <f t="shared" ca="1" si="53"/>
        <v>0</v>
      </c>
      <c r="Q114" s="2066">
        <f t="shared" ca="1" si="53"/>
        <v>0</v>
      </c>
      <c r="R114" s="2066">
        <f t="shared" ca="1" si="53"/>
        <v>0</v>
      </c>
      <c r="S114" s="2066">
        <f t="shared" ca="1" si="53"/>
        <v>0</v>
      </c>
      <c r="T114" s="2066">
        <f t="shared" ca="1" si="53"/>
        <v>0</v>
      </c>
      <c r="U114" s="2066">
        <f t="shared" ca="1" si="53"/>
        <v>0</v>
      </c>
      <c r="V114" s="2066">
        <f t="shared" ca="1" si="53"/>
        <v>0</v>
      </c>
      <c r="W114" s="2066">
        <f t="shared" ca="1" si="53"/>
        <v>0</v>
      </c>
      <c r="X114" s="2069"/>
      <c r="Y114" s="2073"/>
      <c r="Z114" s="2073"/>
      <c r="AA114" s="2073"/>
      <c r="AB114" s="2069"/>
      <c r="AC114" s="2073"/>
      <c r="AD114" s="2073"/>
      <c r="AE114" s="2073"/>
      <c r="AF114" s="2069"/>
      <c r="AG114" s="2073"/>
      <c r="AH114" s="2073"/>
      <c r="AI114" s="2073"/>
      <c r="AJ114" s="2069"/>
      <c r="AK114" s="2073"/>
      <c r="AL114" s="2073"/>
      <c r="AM114" s="2073"/>
      <c r="AN114" s="2069"/>
      <c r="AO114" s="2073"/>
      <c r="AP114" s="2073"/>
      <c r="AQ114" s="2073"/>
      <c r="AR114" s="2069"/>
      <c r="AS114" s="2073"/>
      <c r="AT114" s="2073"/>
      <c r="AU114" s="2073"/>
      <c r="AV114" s="2069"/>
      <c r="AW114" s="2073"/>
      <c r="AX114" s="2073"/>
      <c r="AY114" s="2073"/>
      <c r="AZ114" s="2069"/>
      <c r="BA114" s="2073"/>
      <c r="BB114" s="2073"/>
      <c r="BC114" s="2073"/>
      <c r="BD114" s="2069"/>
      <c r="BE114" s="2073"/>
      <c r="BF114" s="2073"/>
      <c r="BG114" s="2073"/>
      <c r="BH114" s="2069"/>
      <c r="BI114" s="2073"/>
      <c r="BJ114" s="2073"/>
      <c r="BK114" s="2073"/>
      <c r="BL114" s="2069"/>
      <c r="BM114" s="2073"/>
      <c r="BN114" s="2073"/>
      <c r="BO114" s="2073"/>
      <c r="BP114" s="1862"/>
    </row>
    <row r="115" spans="1:68">
      <c r="A115" s="1842"/>
      <c r="B115" s="2100"/>
      <c r="C115" s="2101"/>
      <c r="D115" s="1885" t="s">
        <v>1031</v>
      </c>
      <c r="E115" s="2086"/>
      <c r="F115" s="1887"/>
      <c r="G115" s="1225" t="s">
        <v>1028</v>
      </c>
      <c r="H115" s="2099"/>
      <c r="I115" s="2099"/>
      <c r="J115" s="2099"/>
      <c r="K115" s="2099"/>
      <c r="L115" s="2066">
        <f t="shared" ref="L115:W115" ca="1" si="54">L114-L339</f>
        <v>0</v>
      </c>
      <c r="M115" s="2066">
        <f t="shared" ca="1" si="54"/>
        <v>0</v>
      </c>
      <c r="N115" s="2066">
        <f t="shared" ca="1" si="54"/>
        <v>0</v>
      </c>
      <c r="O115" s="2066">
        <f t="shared" ca="1" si="54"/>
        <v>0</v>
      </c>
      <c r="P115" s="2066">
        <f t="shared" ca="1" si="54"/>
        <v>0</v>
      </c>
      <c r="Q115" s="2066">
        <f t="shared" ca="1" si="54"/>
        <v>0</v>
      </c>
      <c r="R115" s="2066">
        <f t="shared" ca="1" si="54"/>
        <v>0</v>
      </c>
      <c r="S115" s="2066">
        <f t="shared" ca="1" si="54"/>
        <v>0</v>
      </c>
      <c r="T115" s="2066">
        <f t="shared" ca="1" si="54"/>
        <v>0</v>
      </c>
      <c r="U115" s="2066">
        <f t="shared" ca="1" si="54"/>
        <v>0</v>
      </c>
      <c r="V115" s="2066">
        <f t="shared" ca="1" si="54"/>
        <v>0</v>
      </c>
      <c r="W115" s="2066">
        <f t="shared" ca="1" si="54"/>
        <v>0</v>
      </c>
      <c r="X115" s="2069"/>
      <c r="Y115" s="2073"/>
      <c r="Z115" s="2073"/>
      <c r="AA115" s="2073"/>
      <c r="AB115" s="2069"/>
      <c r="AC115" s="2073"/>
      <c r="AD115" s="2073"/>
      <c r="AE115" s="2073"/>
      <c r="AF115" s="2069"/>
      <c r="AG115" s="2073"/>
      <c r="AH115" s="2073"/>
      <c r="AI115" s="2073"/>
      <c r="AJ115" s="2069"/>
      <c r="AK115" s="2073"/>
      <c r="AL115" s="2073"/>
      <c r="AM115" s="2073"/>
      <c r="AN115" s="2069"/>
      <c r="AO115" s="2073"/>
      <c r="AP115" s="2073"/>
      <c r="AQ115" s="2073"/>
      <c r="AR115" s="2069"/>
      <c r="AS115" s="2073"/>
      <c r="AT115" s="2073"/>
      <c r="AU115" s="2073"/>
      <c r="AV115" s="2069"/>
      <c r="AW115" s="2073"/>
      <c r="AX115" s="2073"/>
      <c r="AY115" s="2073"/>
      <c r="AZ115" s="2069"/>
      <c r="BA115" s="2073"/>
      <c r="BB115" s="2073"/>
      <c r="BC115" s="2073"/>
      <c r="BD115" s="2069"/>
      <c r="BE115" s="2073"/>
      <c r="BF115" s="2073"/>
      <c r="BG115" s="2073"/>
      <c r="BH115" s="2069"/>
      <c r="BI115" s="2073"/>
      <c r="BJ115" s="2073"/>
      <c r="BK115" s="2073"/>
      <c r="BL115" s="2069"/>
      <c r="BM115" s="2073"/>
      <c r="BN115" s="2073"/>
      <c r="BO115" s="2073"/>
      <c r="BP115" s="1862"/>
    </row>
    <row r="116" spans="1:68">
      <c r="A116" s="1842"/>
      <c r="B116" s="2102"/>
      <c r="C116" s="2103"/>
      <c r="D116" s="1885" t="s">
        <v>1033</v>
      </c>
      <c r="E116" s="2086"/>
      <c r="F116" s="1887"/>
      <c r="G116" s="1225" t="s">
        <v>802</v>
      </c>
      <c r="H116" s="2099"/>
      <c r="I116" s="2099"/>
      <c r="J116" s="2099"/>
      <c r="K116" s="2099"/>
      <c r="L116" s="2104" t="str">
        <f ca="1">IFERROR(IF(((L110+L111+L113)/L115*100)&gt;100,100,(L110+L111+L113)/L115*100),"")</f>
        <v/>
      </c>
      <c r="M116" s="2104" t="str">
        <f t="shared" ref="M116:BO116" ca="1" si="55">IFERROR(IF(((M110+M111+M113)/M115*100)&gt;100,100,(M110+M111+M113)/M115*100),"")</f>
        <v/>
      </c>
      <c r="N116" s="2104" t="str">
        <f t="shared" ca="1" si="55"/>
        <v/>
      </c>
      <c r="O116" s="2104" t="str">
        <f t="shared" ca="1" si="55"/>
        <v/>
      </c>
      <c r="P116" s="2104" t="str">
        <f t="shared" ca="1" si="55"/>
        <v/>
      </c>
      <c r="Q116" s="2104" t="str">
        <f t="shared" ca="1" si="55"/>
        <v/>
      </c>
      <c r="R116" s="2104" t="str">
        <f t="shared" ca="1" si="55"/>
        <v/>
      </c>
      <c r="S116" s="2104" t="str">
        <f t="shared" ca="1" si="55"/>
        <v/>
      </c>
      <c r="T116" s="2104" t="str">
        <f t="shared" ca="1" si="55"/>
        <v/>
      </c>
      <c r="U116" s="2104" t="str">
        <f t="shared" ca="1" si="55"/>
        <v/>
      </c>
      <c r="V116" s="2104" t="str">
        <f t="shared" ca="1" si="55"/>
        <v/>
      </c>
      <c r="W116" s="2104" t="str">
        <f t="shared" ca="1" si="55"/>
        <v/>
      </c>
      <c r="X116" s="2105" t="str">
        <f t="shared" si="55"/>
        <v/>
      </c>
      <c r="Y116" s="2105" t="str">
        <f t="shared" si="55"/>
        <v/>
      </c>
      <c r="Z116" s="2105" t="str">
        <f t="shared" si="55"/>
        <v/>
      </c>
      <c r="AA116" s="2105" t="str">
        <f t="shared" si="55"/>
        <v/>
      </c>
      <c r="AB116" s="2105" t="str">
        <f t="shared" si="55"/>
        <v/>
      </c>
      <c r="AC116" s="2105" t="str">
        <f t="shared" si="55"/>
        <v/>
      </c>
      <c r="AD116" s="2105" t="str">
        <f t="shared" si="55"/>
        <v/>
      </c>
      <c r="AE116" s="2105" t="str">
        <f t="shared" si="55"/>
        <v/>
      </c>
      <c r="AF116" s="2105" t="str">
        <f t="shared" si="55"/>
        <v/>
      </c>
      <c r="AG116" s="2105" t="str">
        <f t="shared" si="55"/>
        <v/>
      </c>
      <c r="AH116" s="2105" t="str">
        <f t="shared" si="55"/>
        <v/>
      </c>
      <c r="AI116" s="2105" t="str">
        <f t="shared" si="55"/>
        <v/>
      </c>
      <c r="AJ116" s="2105" t="str">
        <f t="shared" si="55"/>
        <v/>
      </c>
      <c r="AK116" s="2105" t="str">
        <f t="shared" si="55"/>
        <v/>
      </c>
      <c r="AL116" s="2105" t="str">
        <f t="shared" si="55"/>
        <v/>
      </c>
      <c r="AM116" s="2105" t="str">
        <f t="shared" si="55"/>
        <v/>
      </c>
      <c r="AN116" s="2105" t="str">
        <f t="shared" si="55"/>
        <v/>
      </c>
      <c r="AO116" s="2105" t="str">
        <f t="shared" si="55"/>
        <v/>
      </c>
      <c r="AP116" s="2105" t="str">
        <f t="shared" si="55"/>
        <v/>
      </c>
      <c r="AQ116" s="2105" t="str">
        <f t="shared" si="55"/>
        <v/>
      </c>
      <c r="AR116" s="2105" t="str">
        <f t="shared" si="55"/>
        <v/>
      </c>
      <c r="AS116" s="2105" t="str">
        <f t="shared" si="55"/>
        <v/>
      </c>
      <c r="AT116" s="2105" t="str">
        <f t="shared" si="55"/>
        <v/>
      </c>
      <c r="AU116" s="2105" t="str">
        <f t="shared" si="55"/>
        <v/>
      </c>
      <c r="AV116" s="2105" t="str">
        <f t="shared" si="55"/>
        <v/>
      </c>
      <c r="AW116" s="2105" t="str">
        <f t="shared" si="55"/>
        <v/>
      </c>
      <c r="AX116" s="2105" t="str">
        <f t="shared" si="55"/>
        <v/>
      </c>
      <c r="AY116" s="2105" t="str">
        <f t="shared" si="55"/>
        <v/>
      </c>
      <c r="AZ116" s="2105" t="str">
        <f t="shared" si="55"/>
        <v/>
      </c>
      <c r="BA116" s="2105" t="str">
        <f t="shared" si="55"/>
        <v/>
      </c>
      <c r="BB116" s="2105" t="str">
        <f t="shared" si="55"/>
        <v/>
      </c>
      <c r="BC116" s="2105" t="str">
        <f t="shared" si="55"/>
        <v/>
      </c>
      <c r="BD116" s="2105" t="str">
        <f t="shared" si="55"/>
        <v/>
      </c>
      <c r="BE116" s="2105" t="str">
        <f t="shared" si="55"/>
        <v/>
      </c>
      <c r="BF116" s="2105" t="str">
        <f t="shared" si="55"/>
        <v/>
      </c>
      <c r="BG116" s="2105" t="str">
        <f t="shared" si="55"/>
        <v/>
      </c>
      <c r="BH116" s="2105" t="str">
        <f t="shared" si="55"/>
        <v/>
      </c>
      <c r="BI116" s="2105" t="str">
        <f t="shared" si="55"/>
        <v/>
      </c>
      <c r="BJ116" s="2105" t="str">
        <f t="shared" si="55"/>
        <v/>
      </c>
      <c r="BK116" s="2105" t="str">
        <f t="shared" si="55"/>
        <v/>
      </c>
      <c r="BL116" s="2105" t="str">
        <f t="shared" si="55"/>
        <v/>
      </c>
      <c r="BM116" s="2105" t="str">
        <f t="shared" si="55"/>
        <v/>
      </c>
      <c r="BN116" s="2105" t="str">
        <f t="shared" si="55"/>
        <v/>
      </c>
      <c r="BO116" s="2105" t="str">
        <f t="shared" si="55"/>
        <v/>
      </c>
      <c r="BP116" s="1862"/>
    </row>
    <row r="117" spans="1:68" ht="20.100000000000001" customHeight="1">
      <c r="A117" s="1842"/>
      <c r="B117" s="2106" t="str">
        <f>参考1_評価結果!B27</f>
        <v>自動車に関する削減計画策定者</v>
      </c>
      <c r="C117" s="2106"/>
      <c r="D117" s="1839"/>
      <c r="E117" s="1839"/>
      <c r="F117" s="1839"/>
      <c r="G117" s="1839"/>
      <c r="H117" s="2008"/>
      <c r="I117" s="2008"/>
      <c r="J117" s="2008"/>
      <c r="K117" s="2008"/>
      <c r="L117" s="2008"/>
      <c r="M117" s="2008"/>
      <c r="N117" s="2008"/>
      <c r="O117" s="2008"/>
      <c r="P117" s="2008"/>
      <c r="Q117" s="2008"/>
      <c r="R117" s="2008"/>
      <c r="S117" s="2008"/>
      <c r="T117" s="2008"/>
      <c r="U117" s="2008"/>
      <c r="V117" s="2008"/>
      <c r="W117" s="2008"/>
      <c r="X117" s="1841"/>
      <c r="Y117" s="1841"/>
      <c r="Z117" s="1841"/>
      <c r="AA117" s="1841"/>
      <c r="AB117" s="1841"/>
      <c r="AC117" s="1841"/>
      <c r="AD117" s="1841"/>
      <c r="AE117" s="1841"/>
      <c r="AF117" s="1841"/>
      <c r="AG117" s="1841"/>
      <c r="AH117" s="1841"/>
      <c r="AI117" s="1841"/>
      <c r="AJ117" s="1841"/>
      <c r="AK117" s="1841"/>
      <c r="AL117" s="1841"/>
      <c r="AM117" s="1841"/>
      <c r="AN117" s="1841"/>
      <c r="AO117" s="1841"/>
      <c r="AP117" s="1841"/>
      <c r="AQ117" s="1841"/>
      <c r="AR117" s="1841"/>
      <c r="AS117" s="1841"/>
      <c r="AT117" s="1841"/>
      <c r="AU117" s="1841"/>
      <c r="AV117" s="1841"/>
      <c r="AW117" s="1841"/>
      <c r="AX117" s="1841"/>
      <c r="AY117" s="1841"/>
      <c r="AZ117" s="1841"/>
      <c r="BA117" s="1841"/>
      <c r="BB117" s="1841"/>
      <c r="BC117" s="1841"/>
      <c r="BD117" s="1841"/>
      <c r="BE117" s="1841"/>
      <c r="BF117" s="1841"/>
      <c r="BG117" s="1841"/>
      <c r="BH117" s="1841"/>
      <c r="BI117" s="1841"/>
      <c r="BJ117" s="1841"/>
      <c r="BK117" s="1841"/>
      <c r="BL117" s="1841"/>
      <c r="BM117" s="1841"/>
      <c r="BN117" s="1841"/>
      <c r="BO117" s="1841"/>
    </row>
    <row r="118" spans="1:68" ht="20.100000000000001" customHeight="1">
      <c r="A118" s="1842">
        <v>200</v>
      </c>
      <c r="B118" s="2107" t="s">
        <v>1034</v>
      </c>
      <c r="C118" s="2108"/>
      <c r="D118" s="2109"/>
      <c r="E118" s="2109"/>
      <c r="F118" s="2110"/>
      <c r="G118" s="2010" t="s">
        <v>839</v>
      </c>
      <c r="H118" s="2065"/>
      <c r="I118" s="2065"/>
      <c r="J118" s="2065"/>
      <c r="K118" s="2065"/>
      <c r="L118" s="2012">
        <f t="shared" ref="L118:L157" ca="1" si="56">P118+T118</f>
        <v>0</v>
      </c>
      <c r="M118" s="2012">
        <f t="shared" ref="M118:M157" ca="1" si="57">Q118+U118</f>
        <v>0</v>
      </c>
      <c r="N118" s="2012">
        <f t="shared" ref="N118:N157" ca="1" si="58">R118+V118</f>
        <v>0</v>
      </c>
      <c r="O118" s="2012">
        <f t="shared" ref="O118:O157" ca="1" si="59">S118+W118</f>
        <v>0</v>
      </c>
      <c r="P118" s="2012">
        <f ca="1">OFFSET(貼付け_2024実績,$A118,10)+OFFSET(貼付け_2024実績,$A118+2,10)-OFFSET(貼付け_2024実績,$A118+1,10)-OFFSET(貼付け_2024実績,$A118+3,10)</f>
        <v>0</v>
      </c>
      <c r="Q118" s="2012">
        <f ca="1">OFFSET(貼付け_2025実績,$A118,10)+OFFSET(貼付け_2025実績,$A118+2,10)-OFFSET(貼付け_2025実績,$A118+1,10)-OFFSET(貼付け_2025実績,$A118+3,10)</f>
        <v>0</v>
      </c>
      <c r="R118" s="2012">
        <f ca="1">OFFSET(貼付け_2026実績,$A118,10)+OFFSET(貼付け_2026実績,$A118+2,10)-OFFSET(貼付け_2026実績,$A118+1,10)-OFFSET(貼付け_2026実績,$A118+3,10)</f>
        <v>0</v>
      </c>
      <c r="S118" s="2012">
        <f ca="1">OFFSET(貼付け_2027実績,$A118,10)+OFFSET(貼付け_2027実績,$A118+2,10)-OFFSET(貼付け_2027実績,$A118+1,10)-OFFSET(貼付け_2027実績,$A118+3,10)</f>
        <v>0</v>
      </c>
      <c r="T118" s="2012">
        <f ca="1">OFFSET(貼付け_2024実績,$A118,11)+OFFSET(貼付け_2024実績,$A118+2,11)-OFFSET(貼付け_2024実績,$A118+1,11)-OFFSET(貼付け_2024実績,$A118+3,11)</f>
        <v>0</v>
      </c>
      <c r="U118" s="2012">
        <f ca="1">OFFSET(貼付け_2025実績,$A118,11)+OFFSET(貼付け_2025実績,$A118+2,11)-OFFSET(貼付け_2025実績,$A118+1,11)-OFFSET(貼付け_2025実績,$A118+3,11)</f>
        <v>0</v>
      </c>
      <c r="V118" s="2012">
        <f ca="1">OFFSET(貼付け_2026実績,$A118,11)+OFFSET(貼付け_2026実績,$A118+2,11)-OFFSET(貼付け_2026実績,$A118+1,11)-OFFSET(貼付け_2026実績,$A118+3,11)</f>
        <v>0</v>
      </c>
      <c r="W118" s="2012">
        <f ca="1">OFFSET(貼付け_2027実績,$A118,11)+OFFSET(貼付け_2027実績,$A118+2,11)-OFFSET(貼付け_2027実績,$A118+1,11)-OFFSET(貼付け_2027実績,$A118+3,11)</f>
        <v>0</v>
      </c>
      <c r="X118" s="2111"/>
      <c r="Y118" s="2111"/>
      <c r="Z118" s="2111"/>
      <c r="AA118" s="2111"/>
      <c r="AB118" s="2111"/>
      <c r="AC118" s="2111"/>
      <c r="AD118" s="2111"/>
      <c r="AE118" s="2111"/>
      <c r="AF118" s="2111"/>
      <c r="AG118" s="2111"/>
      <c r="AH118" s="2111"/>
      <c r="AI118" s="2111"/>
      <c r="AJ118" s="2111"/>
      <c r="AK118" s="2111"/>
      <c r="AL118" s="2111"/>
      <c r="AM118" s="2111"/>
      <c r="AN118" s="2111"/>
      <c r="AO118" s="2111"/>
      <c r="AP118" s="2111"/>
      <c r="AQ118" s="2111"/>
      <c r="AR118" s="2111"/>
      <c r="AS118" s="2111"/>
      <c r="AT118" s="2111"/>
      <c r="AU118" s="2111"/>
      <c r="AV118" s="2111"/>
      <c r="AW118" s="2111"/>
      <c r="AX118" s="2111"/>
      <c r="AY118" s="2111"/>
      <c r="AZ118" s="2111"/>
      <c r="BA118" s="2111"/>
      <c r="BB118" s="2111"/>
      <c r="BC118" s="2111"/>
      <c r="BD118" s="2111"/>
      <c r="BE118" s="2111"/>
      <c r="BF118" s="2111"/>
      <c r="BG118" s="2111"/>
      <c r="BH118" s="2111"/>
      <c r="BI118" s="2111"/>
      <c r="BJ118" s="2111"/>
      <c r="BK118" s="2111"/>
      <c r="BL118" s="2111"/>
      <c r="BM118" s="2111"/>
      <c r="BN118" s="2111"/>
      <c r="BO118" s="2111"/>
    </row>
    <row r="119" spans="1:68" ht="20.100000000000001" customHeight="1">
      <c r="A119" s="1842">
        <v>204</v>
      </c>
      <c r="B119" s="2112" t="s">
        <v>1035</v>
      </c>
      <c r="C119" s="2113"/>
      <c r="D119" s="1869" t="s">
        <v>1036</v>
      </c>
      <c r="E119" s="2109"/>
      <c r="F119" s="2110"/>
      <c r="G119" s="2010" t="s">
        <v>839</v>
      </c>
      <c r="H119" s="2065"/>
      <c r="I119" s="2065"/>
      <c r="J119" s="2065"/>
      <c r="K119" s="2065"/>
      <c r="L119" s="2012">
        <f t="shared" ca="1" si="56"/>
        <v>0</v>
      </c>
      <c r="M119" s="2012">
        <f t="shared" ca="1" si="57"/>
        <v>0</v>
      </c>
      <c r="N119" s="2012">
        <f t="shared" ca="1" si="58"/>
        <v>0</v>
      </c>
      <c r="O119" s="2012">
        <f t="shared" ca="1" si="59"/>
        <v>0</v>
      </c>
      <c r="P119" s="2012">
        <f ca="1">OFFSET(貼付け_2024実績,$A119,10)</f>
        <v>0</v>
      </c>
      <c r="Q119" s="2012">
        <f ca="1">OFFSET(貼付け_2025実績,$A119,10)</f>
        <v>0</v>
      </c>
      <c r="R119" s="2012">
        <f ca="1">OFFSET(貼付け_2026実績,$A119,10)</f>
        <v>0</v>
      </c>
      <c r="S119" s="2012">
        <f ca="1">OFFSET(貼付け_2027実績,$A119,10)</f>
        <v>0</v>
      </c>
      <c r="T119" s="2012">
        <f ca="1">OFFSET(貼付け_2024実績,$A119,11)</f>
        <v>0</v>
      </c>
      <c r="U119" s="2012">
        <f ca="1">OFFSET(貼付け_2025実績,$A119,11)</f>
        <v>0</v>
      </c>
      <c r="V119" s="2012">
        <f ca="1">OFFSET(貼付け_2026実績,$A119,11)</f>
        <v>0</v>
      </c>
      <c r="W119" s="2012">
        <f ca="1">OFFSET(貼付け_2027実績,$A119,11)</f>
        <v>0</v>
      </c>
      <c r="X119" s="2111"/>
      <c r="Y119" s="2111"/>
      <c r="Z119" s="2111"/>
      <c r="AA119" s="2111"/>
      <c r="AB119" s="2111"/>
      <c r="AC119" s="2111"/>
      <c r="AD119" s="2111"/>
      <c r="AE119" s="2111"/>
      <c r="AF119" s="2111"/>
      <c r="AG119" s="2111"/>
      <c r="AH119" s="2111"/>
      <c r="AI119" s="2111"/>
      <c r="AJ119" s="2111"/>
      <c r="AK119" s="2111"/>
      <c r="AL119" s="2111"/>
      <c r="AM119" s="2111"/>
      <c r="AN119" s="2111"/>
      <c r="AO119" s="2111"/>
      <c r="AP119" s="2111"/>
      <c r="AQ119" s="2111"/>
      <c r="AR119" s="2111"/>
      <c r="AS119" s="2111"/>
      <c r="AT119" s="2111"/>
      <c r="AU119" s="2111"/>
      <c r="AV119" s="2111"/>
      <c r="AW119" s="2111"/>
      <c r="AX119" s="2111"/>
      <c r="AY119" s="2111"/>
      <c r="AZ119" s="2111"/>
      <c r="BA119" s="2111"/>
      <c r="BB119" s="2111"/>
      <c r="BC119" s="2111"/>
      <c r="BD119" s="2111"/>
      <c r="BE119" s="2111"/>
      <c r="BF119" s="2111"/>
      <c r="BG119" s="2111"/>
      <c r="BH119" s="2111"/>
      <c r="BI119" s="2111"/>
      <c r="BJ119" s="2111"/>
      <c r="BK119" s="2111"/>
      <c r="BL119" s="2111"/>
      <c r="BM119" s="2111"/>
      <c r="BN119" s="2111"/>
      <c r="BO119" s="2111"/>
    </row>
    <row r="120" spans="1:68" ht="20.100000000000001" customHeight="1">
      <c r="A120" s="1842">
        <v>205</v>
      </c>
      <c r="B120" s="2114"/>
      <c r="C120" s="2115"/>
      <c r="D120" s="1869" t="s">
        <v>1037</v>
      </c>
      <c r="E120" s="2109"/>
      <c r="F120" s="2110"/>
      <c r="G120" s="2010" t="s">
        <v>839</v>
      </c>
      <c r="H120" s="2065"/>
      <c r="I120" s="2065"/>
      <c r="J120" s="2065"/>
      <c r="K120" s="2065"/>
      <c r="L120" s="2012">
        <f t="shared" ca="1" si="56"/>
        <v>0</v>
      </c>
      <c r="M120" s="2012">
        <f t="shared" ca="1" si="57"/>
        <v>0</v>
      </c>
      <c r="N120" s="2012">
        <f t="shared" ca="1" si="58"/>
        <v>0</v>
      </c>
      <c r="O120" s="2012">
        <f t="shared" ca="1" si="59"/>
        <v>0</v>
      </c>
      <c r="P120" s="2012">
        <f ca="1">OFFSET(貼付け_2024実績,$A120,10)</f>
        <v>0</v>
      </c>
      <c r="Q120" s="2012">
        <f ca="1">OFFSET(貼付け_2025実績,$A120,10)</f>
        <v>0</v>
      </c>
      <c r="R120" s="2012">
        <f ca="1">OFFSET(貼付け_2026実績,$A120,10)</f>
        <v>0</v>
      </c>
      <c r="S120" s="2012">
        <f ca="1">OFFSET(貼付け_2027実績,$A120,10)</f>
        <v>0</v>
      </c>
      <c r="T120" s="2012">
        <f ca="1">OFFSET(貼付け_2024実績,$A120,11)</f>
        <v>0</v>
      </c>
      <c r="U120" s="2012">
        <f ca="1">OFFSET(貼付け_2025実績,$A120,11)</f>
        <v>0</v>
      </c>
      <c r="V120" s="2012">
        <f ca="1">OFFSET(貼付け_2026実績,$A120,11)</f>
        <v>0</v>
      </c>
      <c r="W120" s="2012">
        <f ca="1">OFFSET(貼付け_2027実績,$A120,11)</f>
        <v>0</v>
      </c>
      <c r="X120" s="2111"/>
      <c r="Y120" s="2111"/>
      <c r="Z120" s="2111"/>
      <c r="AA120" s="2111"/>
      <c r="AB120" s="2111"/>
      <c r="AC120" s="2111"/>
      <c r="AD120" s="2111"/>
      <c r="AE120" s="2111"/>
      <c r="AF120" s="2111"/>
      <c r="AG120" s="2111"/>
      <c r="AH120" s="2111"/>
      <c r="AI120" s="2111"/>
      <c r="AJ120" s="2111"/>
      <c r="AK120" s="2111"/>
      <c r="AL120" s="2111"/>
      <c r="AM120" s="2111"/>
      <c r="AN120" s="2111"/>
      <c r="AO120" s="2111"/>
      <c r="AP120" s="2111"/>
      <c r="AQ120" s="2111"/>
      <c r="AR120" s="2111"/>
      <c r="AS120" s="2111"/>
      <c r="AT120" s="2111"/>
      <c r="AU120" s="2111"/>
      <c r="AV120" s="2111"/>
      <c r="AW120" s="2111"/>
      <c r="AX120" s="2111"/>
      <c r="AY120" s="2111"/>
      <c r="AZ120" s="2111"/>
      <c r="BA120" s="2111"/>
      <c r="BB120" s="2111"/>
      <c r="BC120" s="2111"/>
      <c r="BD120" s="2111"/>
      <c r="BE120" s="2111"/>
      <c r="BF120" s="2111"/>
      <c r="BG120" s="2111"/>
      <c r="BH120" s="2111"/>
      <c r="BI120" s="2111"/>
      <c r="BJ120" s="2111"/>
      <c r="BK120" s="2111"/>
      <c r="BL120" s="2111"/>
      <c r="BM120" s="2111"/>
      <c r="BN120" s="2111"/>
      <c r="BO120" s="2111"/>
    </row>
    <row r="121" spans="1:68" ht="20.100000000000001" customHeight="1">
      <c r="A121" s="1842">
        <v>206</v>
      </c>
      <c r="B121" s="2116"/>
      <c r="C121" s="2117"/>
      <c r="D121" s="1869" t="s">
        <v>446</v>
      </c>
      <c r="E121" s="2109"/>
      <c r="F121" s="2110"/>
      <c r="G121" s="2010" t="s">
        <v>839</v>
      </c>
      <c r="H121" s="2065"/>
      <c r="I121" s="2065"/>
      <c r="J121" s="2065"/>
      <c r="K121" s="2065"/>
      <c r="L121" s="2012">
        <f t="shared" ca="1" si="56"/>
        <v>0</v>
      </c>
      <c r="M121" s="2012">
        <f t="shared" ca="1" si="57"/>
        <v>0</v>
      </c>
      <c r="N121" s="2012">
        <f t="shared" ca="1" si="58"/>
        <v>0</v>
      </c>
      <c r="O121" s="2012">
        <f t="shared" ca="1" si="59"/>
        <v>0</v>
      </c>
      <c r="P121" s="2012">
        <f ca="1">OFFSET(貼付け_2024実績,$A121,10)+OFFSET(貼付け_2024実績,$A121+1,10)+OFFSET(貼付け_2024実績,$A121+2,10)</f>
        <v>0</v>
      </c>
      <c r="Q121" s="2012">
        <f ca="1">OFFSET(貼付け_2025実績,$A121,10)+OFFSET(貼付け_2025実績,$A121+1,10)+OFFSET(貼付け_2025実績,$A121+2,10)</f>
        <v>0</v>
      </c>
      <c r="R121" s="2012">
        <f ca="1">OFFSET(貼付け_2026実績,$A121,10)+OFFSET(貼付け_2026実績,$A121+1,10)+OFFSET(貼付け_2026実績,$A121+2,10)</f>
        <v>0</v>
      </c>
      <c r="S121" s="2012">
        <f ca="1">OFFSET(貼付け_2027実績,$A121,10)+OFFSET(貼付け_2027実績,$A121+1,10)+OFFSET(貼付け_2027実績,$A121+2,10)</f>
        <v>0</v>
      </c>
      <c r="T121" s="2012">
        <f ca="1">OFFSET(貼付け_2024実績,$A121,11)+OFFSET(貼付け_2024実績,$A121+1,11)+OFFSET(貼付け_2024実績,$A121+2,11)</f>
        <v>0</v>
      </c>
      <c r="U121" s="2012">
        <f ca="1">OFFSET(貼付け_2025実績,$A121,11)+OFFSET(貼付け_2025実績,$A121+1,11)+OFFSET(貼付け_2025実績,$A121+2,11)</f>
        <v>0</v>
      </c>
      <c r="V121" s="2012">
        <f ca="1">OFFSET(貼付け_2026実績,$A121,11)+OFFSET(貼付け_2026実績,$A121+1,11)+OFFSET(貼付け_2026実績,$A121+2,11)</f>
        <v>0</v>
      </c>
      <c r="W121" s="2012">
        <f ca="1">OFFSET(貼付け_2027実績,$A121,11)+OFFSET(貼付け_2027実績,$A121+1,11)+OFFSET(貼付け_2027実績,$A121+2,11)</f>
        <v>0</v>
      </c>
      <c r="X121" s="2111"/>
      <c r="Y121" s="2111"/>
      <c r="Z121" s="2111"/>
      <c r="AA121" s="2111"/>
      <c r="AB121" s="2111"/>
      <c r="AC121" s="2111"/>
      <c r="AD121" s="2111"/>
      <c r="AE121" s="2111"/>
      <c r="AF121" s="2111"/>
      <c r="AG121" s="2111"/>
      <c r="AH121" s="2111"/>
      <c r="AI121" s="2111"/>
      <c r="AJ121" s="2111"/>
      <c r="AK121" s="2111"/>
      <c r="AL121" s="2111"/>
      <c r="AM121" s="2111"/>
      <c r="AN121" s="2111"/>
      <c r="AO121" s="2111"/>
      <c r="AP121" s="2111"/>
      <c r="AQ121" s="2111"/>
      <c r="AR121" s="2111"/>
      <c r="AS121" s="2111"/>
      <c r="AT121" s="2111"/>
      <c r="AU121" s="2111"/>
      <c r="AV121" s="2111"/>
      <c r="AW121" s="2111"/>
      <c r="AX121" s="2111"/>
      <c r="AY121" s="2111"/>
      <c r="AZ121" s="2111"/>
      <c r="BA121" s="2111"/>
      <c r="BB121" s="2111"/>
      <c r="BC121" s="2111"/>
      <c r="BD121" s="2111"/>
      <c r="BE121" s="2111"/>
      <c r="BF121" s="2111"/>
      <c r="BG121" s="2111"/>
      <c r="BH121" s="2111"/>
      <c r="BI121" s="2111"/>
      <c r="BJ121" s="2111"/>
      <c r="BK121" s="2111"/>
      <c r="BL121" s="2111"/>
      <c r="BM121" s="2111"/>
      <c r="BN121" s="2111"/>
      <c r="BO121" s="2111"/>
    </row>
    <row r="122" spans="1:68" ht="20.100000000000001" customHeight="1">
      <c r="A122" s="1842">
        <v>209</v>
      </c>
      <c r="B122" s="2114" t="s">
        <v>1038</v>
      </c>
      <c r="C122" s="2118"/>
      <c r="D122" s="2071"/>
      <c r="E122" s="2109"/>
      <c r="F122" s="2110"/>
      <c r="G122" s="2010" t="s">
        <v>839</v>
      </c>
      <c r="H122" s="2099"/>
      <c r="I122" s="2099"/>
      <c r="J122" s="2099"/>
      <c r="K122" s="2099"/>
      <c r="L122" s="2012">
        <f t="shared" ca="1" si="56"/>
        <v>0</v>
      </c>
      <c r="M122" s="2012">
        <f t="shared" ca="1" si="57"/>
        <v>0</v>
      </c>
      <c r="N122" s="2012">
        <f t="shared" ca="1" si="58"/>
        <v>0</v>
      </c>
      <c r="O122" s="2012">
        <f t="shared" ca="1" si="59"/>
        <v>0</v>
      </c>
      <c r="P122" s="2012">
        <f ca="1">OFFSET(貼付け_2024実績,$A122,10)+OFFSET(貼付け_2024実績,$A122+1,10)</f>
        <v>0</v>
      </c>
      <c r="Q122" s="2012">
        <f ca="1">OFFSET(貼付け_2025実績,$A122,10)+OFFSET(貼付け_2025実績,$A122+1,10)</f>
        <v>0</v>
      </c>
      <c r="R122" s="2012">
        <f ca="1">OFFSET(貼付け_2026実績,$A122,10)+OFFSET(貼付け_2026実績,$A122+1,10)</f>
        <v>0</v>
      </c>
      <c r="S122" s="2012">
        <f ca="1">OFFSET(貼付け_2027実績,$A122,10)+OFFSET(貼付け_2027実績,$A122+1,10)</f>
        <v>0</v>
      </c>
      <c r="T122" s="2012">
        <f ca="1">OFFSET(貼付け_2024実績,$A122,11)+OFFSET(貼付け_2024実績,$A122+1,11)</f>
        <v>0</v>
      </c>
      <c r="U122" s="2012">
        <f ca="1">OFFSET(貼付け_2025実績,$A122,11)+OFFSET(貼付け_2025実績,$A122+1,11)</f>
        <v>0</v>
      </c>
      <c r="V122" s="2012">
        <f ca="1">OFFSET(貼付け_2026実績,$A122,11)+OFFSET(貼付け_2026実績,$A122+1,11)</f>
        <v>0</v>
      </c>
      <c r="W122" s="2012">
        <f ca="1">OFFSET(貼付け_2027実績,$A122,11)+OFFSET(貼付け_2027実績,$A122+1,11)</f>
        <v>0</v>
      </c>
      <c r="X122" s="2111"/>
      <c r="Y122" s="2111"/>
      <c r="Z122" s="2111"/>
      <c r="AA122" s="2111"/>
      <c r="AB122" s="2111"/>
      <c r="AC122" s="2111"/>
      <c r="AD122" s="2111"/>
      <c r="AE122" s="2111"/>
      <c r="AF122" s="2111"/>
      <c r="AG122" s="2111"/>
      <c r="AH122" s="2111"/>
      <c r="AI122" s="2111"/>
      <c r="AJ122" s="2111"/>
      <c r="AK122" s="2111"/>
      <c r="AL122" s="2111"/>
      <c r="AM122" s="2111"/>
      <c r="AN122" s="2111"/>
      <c r="AO122" s="2111"/>
      <c r="AP122" s="2111"/>
      <c r="AQ122" s="2111"/>
      <c r="AR122" s="2111"/>
      <c r="AS122" s="2111"/>
      <c r="AT122" s="2111"/>
      <c r="AU122" s="2111"/>
      <c r="AV122" s="2111"/>
      <c r="AW122" s="2111"/>
      <c r="AX122" s="2111"/>
      <c r="AY122" s="2111"/>
      <c r="AZ122" s="2111"/>
      <c r="BA122" s="2111"/>
      <c r="BB122" s="2111"/>
      <c r="BC122" s="2111"/>
      <c r="BD122" s="2111"/>
      <c r="BE122" s="2111"/>
      <c r="BF122" s="2111"/>
      <c r="BG122" s="2111"/>
      <c r="BH122" s="2111"/>
      <c r="BI122" s="2111"/>
      <c r="BJ122" s="2111"/>
      <c r="BK122" s="2111"/>
      <c r="BL122" s="2111"/>
      <c r="BM122" s="2111"/>
      <c r="BN122" s="2111"/>
      <c r="BO122" s="2111"/>
    </row>
    <row r="123" spans="1:68" ht="20.100000000000001" customHeight="1">
      <c r="A123" s="1842">
        <v>10</v>
      </c>
      <c r="B123" s="1846" t="s">
        <v>918</v>
      </c>
      <c r="C123" s="2016" t="s">
        <v>919</v>
      </c>
      <c r="D123" s="1848" t="s">
        <v>921</v>
      </c>
      <c r="E123" s="1848"/>
      <c r="F123" s="1849"/>
      <c r="G123" s="2010" t="s">
        <v>1039</v>
      </c>
      <c r="H123" s="2011">
        <f t="shared" ref="H123:H129" ca="1" si="60">IFERROR(OFFSET(貼付け_2024実績,$A123,5),"")</f>
        <v>33.4</v>
      </c>
      <c r="I123" s="2011">
        <f t="shared" ref="I123:I129" ca="1" si="61">IFERROR(OFFSET(貼付け_2025実績,$A123,5),"")</f>
        <v>33.4</v>
      </c>
      <c r="J123" s="2011">
        <f t="shared" ref="J123:J129" ca="1" si="62">IFERROR(OFFSET(貼付け_2026実績,$A123,5),"")</f>
        <v>33.4</v>
      </c>
      <c r="K123" s="2011">
        <f t="shared" ref="K123:K129" ca="1" si="63">IFERROR(OFFSET(貼付け_2027実績,$A123,5),"")</f>
        <v>33.4</v>
      </c>
      <c r="L123" s="2012">
        <f t="shared" ca="1" si="56"/>
        <v>0</v>
      </c>
      <c r="M123" s="2012">
        <f t="shared" ca="1" si="57"/>
        <v>0</v>
      </c>
      <c r="N123" s="2012">
        <f t="shared" ca="1" si="58"/>
        <v>0</v>
      </c>
      <c r="O123" s="2012">
        <f t="shared" ca="1" si="59"/>
        <v>0</v>
      </c>
      <c r="P123" s="2013">
        <f t="shared" ref="P123:P130" ca="1" si="64">IFERROR(OFFSET(貼付け_2024実績,$A123,7),"")</f>
        <v>0</v>
      </c>
      <c r="Q123" s="2013">
        <f t="shared" ref="Q123:Q130" ca="1" si="65">IFERROR(OFFSET(貼付け_2025実績,$A123,7),"")</f>
        <v>0</v>
      </c>
      <c r="R123" s="2013">
        <f t="shared" ref="R123:R130" ca="1" si="66">IFERROR(OFFSET(貼付け_2026実績,$A123,7),"")</f>
        <v>0</v>
      </c>
      <c r="S123" s="2013">
        <f t="shared" ref="S123:S130" ca="1" si="67">IFERROR(OFFSET(貼付け_2027実績,$A123,7),"")</f>
        <v>0</v>
      </c>
      <c r="T123" s="2013">
        <f t="shared" ref="T123:T130" ca="1" si="68">IFERROR(OFFSET(貼付け_2024実績,$A123,8),"")</f>
        <v>0</v>
      </c>
      <c r="U123" s="2013">
        <f t="shared" ref="U123:U130" ca="1" si="69">IFERROR(OFFSET(貼付け_2025実績,$A123,8),"")</f>
        <v>0</v>
      </c>
      <c r="V123" s="2013">
        <f t="shared" ref="V123:V130" ca="1" si="70">IFERROR(OFFSET(貼付け_2026実績,$A123,8),"")</f>
        <v>0</v>
      </c>
      <c r="W123" s="2013">
        <f t="shared" ref="W123:W130" ca="1" si="71">IFERROR(OFFSET(貼付け_2027実績,$A123,8),"")</f>
        <v>0</v>
      </c>
      <c r="X123" s="2111"/>
      <c r="Y123" s="2111"/>
      <c r="Z123" s="2111"/>
      <c r="AA123" s="2111"/>
      <c r="AB123" s="2111"/>
      <c r="AC123" s="2111"/>
      <c r="AD123" s="2111"/>
      <c r="AE123" s="2111"/>
      <c r="AF123" s="2111"/>
      <c r="AG123" s="2111"/>
      <c r="AH123" s="2111"/>
      <c r="AI123" s="2111"/>
      <c r="AJ123" s="2111"/>
      <c r="AK123" s="2111"/>
      <c r="AL123" s="2111"/>
      <c r="AM123" s="2111"/>
      <c r="AN123" s="2111"/>
      <c r="AO123" s="2111"/>
      <c r="AP123" s="2111"/>
      <c r="AQ123" s="2111"/>
      <c r="AR123" s="2111"/>
      <c r="AS123" s="2111"/>
      <c r="AT123" s="2111"/>
      <c r="AU123" s="2111"/>
      <c r="AV123" s="2111"/>
      <c r="AW123" s="2111"/>
      <c r="AX123" s="2111"/>
      <c r="AY123" s="2111"/>
      <c r="AZ123" s="2111"/>
      <c r="BA123" s="2111"/>
      <c r="BB123" s="2111"/>
      <c r="BC123" s="2111"/>
      <c r="BD123" s="2111"/>
      <c r="BE123" s="2111"/>
      <c r="BF123" s="2111"/>
      <c r="BG123" s="2111"/>
      <c r="BH123" s="2111"/>
      <c r="BI123" s="2111"/>
      <c r="BJ123" s="2111"/>
      <c r="BK123" s="2111"/>
      <c r="BL123" s="2111"/>
      <c r="BM123" s="2111"/>
      <c r="BN123" s="2111"/>
      <c r="BO123" s="2111"/>
    </row>
    <row r="124" spans="1:68" ht="20.100000000000001" customHeight="1">
      <c r="A124" s="1842">
        <v>12</v>
      </c>
      <c r="B124" s="1854"/>
      <c r="C124" s="2119"/>
      <c r="D124" s="1848" t="s">
        <v>922</v>
      </c>
      <c r="E124" s="1848"/>
      <c r="F124" s="1849"/>
      <c r="G124" s="2010" t="s">
        <v>1039</v>
      </c>
      <c r="H124" s="2011">
        <f t="shared" ca="1" si="60"/>
        <v>36.299999999999997</v>
      </c>
      <c r="I124" s="2011">
        <f t="shared" ca="1" si="61"/>
        <v>36.299999999999997</v>
      </c>
      <c r="J124" s="2011">
        <f t="shared" ca="1" si="62"/>
        <v>36.299999999999997</v>
      </c>
      <c r="K124" s="2011">
        <f t="shared" ca="1" si="63"/>
        <v>36.299999999999997</v>
      </c>
      <c r="L124" s="2012">
        <f t="shared" ca="1" si="56"/>
        <v>0</v>
      </c>
      <c r="M124" s="2012">
        <f t="shared" ca="1" si="57"/>
        <v>0</v>
      </c>
      <c r="N124" s="2012">
        <f t="shared" ca="1" si="58"/>
        <v>0</v>
      </c>
      <c r="O124" s="2012">
        <f t="shared" ca="1" si="59"/>
        <v>0</v>
      </c>
      <c r="P124" s="2013">
        <f t="shared" ca="1" si="64"/>
        <v>0</v>
      </c>
      <c r="Q124" s="2013">
        <f t="shared" ca="1" si="65"/>
        <v>0</v>
      </c>
      <c r="R124" s="2013">
        <f t="shared" ca="1" si="66"/>
        <v>0</v>
      </c>
      <c r="S124" s="2013">
        <f t="shared" ca="1" si="67"/>
        <v>0</v>
      </c>
      <c r="T124" s="2013">
        <f t="shared" ca="1" si="68"/>
        <v>0</v>
      </c>
      <c r="U124" s="2013">
        <f t="shared" ca="1" si="69"/>
        <v>0</v>
      </c>
      <c r="V124" s="2013">
        <f t="shared" ca="1" si="70"/>
        <v>0</v>
      </c>
      <c r="W124" s="2013">
        <f t="shared" ca="1" si="71"/>
        <v>0</v>
      </c>
      <c r="X124" s="2111"/>
      <c r="Y124" s="2111"/>
      <c r="Z124" s="2111"/>
      <c r="AA124" s="2111"/>
      <c r="AB124" s="2111"/>
      <c r="AC124" s="2111"/>
      <c r="AD124" s="2111"/>
      <c r="AE124" s="2111"/>
      <c r="AF124" s="2111"/>
      <c r="AG124" s="2111"/>
      <c r="AH124" s="2111"/>
      <c r="AI124" s="2111"/>
      <c r="AJ124" s="2111"/>
      <c r="AK124" s="2111"/>
      <c r="AL124" s="2111"/>
      <c r="AM124" s="2111"/>
      <c r="AN124" s="2111"/>
      <c r="AO124" s="2111"/>
      <c r="AP124" s="2111"/>
      <c r="AQ124" s="2111"/>
      <c r="AR124" s="2111"/>
      <c r="AS124" s="2111"/>
      <c r="AT124" s="2111"/>
      <c r="AU124" s="2111"/>
      <c r="AV124" s="2111"/>
      <c r="AW124" s="2111"/>
      <c r="AX124" s="2111"/>
      <c r="AY124" s="2111"/>
      <c r="AZ124" s="2111"/>
      <c r="BA124" s="2111"/>
      <c r="BB124" s="2111"/>
      <c r="BC124" s="2111"/>
      <c r="BD124" s="2111"/>
      <c r="BE124" s="2111"/>
      <c r="BF124" s="2111"/>
      <c r="BG124" s="2111"/>
      <c r="BH124" s="2111"/>
      <c r="BI124" s="2111"/>
      <c r="BJ124" s="2111"/>
      <c r="BK124" s="2111"/>
      <c r="BL124" s="2111"/>
      <c r="BM124" s="2111"/>
      <c r="BN124" s="2111"/>
      <c r="BO124" s="2111"/>
    </row>
    <row r="125" spans="1:68" ht="20.100000000000001" customHeight="1">
      <c r="A125" s="1842">
        <v>14</v>
      </c>
      <c r="B125" s="1854"/>
      <c r="C125" s="2119"/>
      <c r="D125" s="1848" t="s">
        <v>544</v>
      </c>
      <c r="E125" s="1848"/>
      <c r="F125" s="1849"/>
      <c r="G125" s="2010" t="s">
        <v>1039</v>
      </c>
      <c r="H125" s="2011">
        <f t="shared" ca="1" si="60"/>
        <v>38</v>
      </c>
      <c r="I125" s="2011">
        <f t="shared" ca="1" si="61"/>
        <v>38</v>
      </c>
      <c r="J125" s="2011">
        <f t="shared" ca="1" si="62"/>
        <v>38</v>
      </c>
      <c r="K125" s="2011">
        <f t="shared" ca="1" si="63"/>
        <v>38</v>
      </c>
      <c r="L125" s="2012">
        <f t="shared" ca="1" si="56"/>
        <v>0</v>
      </c>
      <c r="M125" s="2012">
        <f t="shared" ca="1" si="57"/>
        <v>0</v>
      </c>
      <c r="N125" s="2012">
        <f t="shared" ca="1" si="58"/>
        <v>0</v>
      </c>
      <c r="O125" s="2012">
        <f t="shared" ca="1" si="59"/>
        <v>0</v>
      </c>
      <c r="P125" s="2013">
        <f t="shared" ca="1" si="64"/>
        <v>0</v>
      </c>
      <c r="Q125" s="2013">
        <f t="shared" ca="1" si="65"/>
        <v>0</v>
      </c>
      <c r="R125" s="2013">
        <f t="shared" ca="1" si="66"/>
        <v>0</v>
      </c>
      <c r="S125" s="2013">
        <f t="shared" ca="1" si="67"/>
        <v>0</v>
      </c>
      <c r="T125" s="2013">
        <f t="shared" ca="1" si="68"/>
        <v>0</v>
      </c>
      <c r="U125" s="2013">
        <f t="shared" ca="1" si="69"/>
        <v>0</v>
      </c>
      <c r="V125" s="2013">
        <f t="shared" ca="1" si="70"/>
        <v>0</v>
      </c>
      <c r="W125" s="2013">
        <f t="shared" ca="1" si="71"/>
        <v>0</v>
      </c>
      <c r="X125" s="2111"/>
      <c r="Y125" s="2111"/>
      <c r="Z125" s="2111"/>
      <c r="AA125" s="2111"/>
      <c r="AB125" s="2111"/>
      <c r="AC125" s="2111"/>
      <c r="AD125" s="2111"/>
      <c r="AE125" s="2111"/>
      <c r="AF125" s="2111"/>
      <c r="AG125" s="2111"/>
      <c r="AH125" s="2111"/>
      <c r="AI125" s="2111"/>
      <c r="AJ125" s="2111"/>
      <c r="AK125" s="2111"/>
      <c r="AL125" s="2111"/>
      <c r="AM125" s="2111"/>
      <c r="AN125" s="2111"/>
      <c r="AO125" s="2111"/>
      <c r="AP125" s="2111"/>
      <c r="AQ125" s="2111"/>
      <c r="AR125" s="2111"/>
      <c r="AS125" s="2111"/>
      <c r="AT125" s="2111"/>
      <c r="AU125" s="2111"/>
      <c r="AV125" s="2111"/>
      <c r="AW125" s="2111"/>
      <c r="AX125" s="2111"/>
      <c r="AY125" s="2111"/>
      <c r="AZ125" s="2111"/>
      <c r="BA125" s="2111"/>
      <c r="BB125" s="2111"/>
      <c r="BC125" s="2111"/>
      <c r="BD125" s="2111"/>
      <c r="BE125" s="2111"/>
      <c r="BF125" s="2111"/>
      <c r="BG125" s="2111"/>
      <c r="BH125" s="2111"/>
      <c r="BI125" s="2111"/>
      <c r="BJ125" s="2111"/>
      <c r="BK125" s="2111"/>
      <c r="BL125" s="2111"/>
      <c r="BM125" s="2111"/>
      <c r="BN125" s="2111"/>
      <c r="BO125" s="2111"/>
    </row>
    <row r="126" spans="1:68" ht="20.100000000000001" customHeight="1">
      <c r="A126" s="1842">
        <v>15</v>
      </c>
      <c r="B126" s="1854"/>
      <c r="C126" s="2119"/>
      <c r="D126" s="1848" t="s">
        <v>545</v>
      </c>
      <c r="E126" s="1848"/>
      <c r="F126" s="1849"/>
      <c r="G126" s="2010" t="s">
        <v>1039</v>
      </c>
      <c r="H126" s="2011">
        <f t="shared" ca="1" si="60"/>
        <v>38.9</v>
      </c>
      <c r="I126" s="2011">
        <f t="shared" ca="1" si="61"/>
        <v>38.9</v>
      </c>
      <c r="J126" s="2011">
        <f t="shared" ca="1" si="62"/>
        <v>38.9</v>
      </c>
      <c r="K126" s="2011">
        <f t="shared" ca="1" si="63"/>
        <v>38.9</v>
      </c>
      <c r="L126" s="2012">
        <f t="shared" ca="1" si="56"/>
        <v>0</v>
      </c>
      <c r="M126" s="2012">
        <f t="shared" ca="1" si="57"/>
        <v>0</v>
      </c>
      <c r="N126" s="2012">
        <f t="shared" ca="1" si="58"/>
        <v>0</v>
      </c>
      <c r="O126" s="2012">
        <f t="shared" ca="1" si="59"/>
        <v>0</v>
      </c>
      <c r="P126" s="2013">
        <f t="shared" ca="1" si="64"/>
        <v>0</v>
      </c>
      <c r="Q126" s="2013">
        <f t="shared" ca="1" si="65"/>
        <v>0</v>
      </c>
      <c r="R126" s="2013">
        <f t="shared" ca="1" si="66"/>
        <v>0</v>
      </c>
      <c r="S126" s="2013">
        <f t="shared" ca="1" si="67"/>
        <v>0</v>
      </c>
      <c r="T126" s="2013">
        <f t="shared" ca="1" si="68"/>
        <v>0</v>
      </c>
      <c r="U126" s="2013">
        <f t="shared" ca="1" si="69"/>
        <v>0</v>
      </c>
      <c r="V126" s="2013">
        <f t="shared" ca="1" si="70"/>
        <v>0</v>
      </c>
      <c r="W126" s="2013">
        <f t="shared" ca="1" si="71"/>
        <v>0</v>
      </c>
      <c r="X126" s="2111"/>
      <c r="Y126" s="2111"/>
      <c r="Z126" s="2111"/>
      <c r="AA126" s="2111"/>
      <c r="AB126" s="2111"/>
      <c r="AC126" s="2111"/>
      <c r="AD126" s="2111"/>
      <c r="AE126" s="2111"/>
      <c r="AF126" s="2111"/>
      <c r="AG126" s="2111"/>
      <c r="AH126" s="2111"/>
      <c r="AI126" s="2111"/>
      <c r="AJ126" s="2111"/>
      <c r="AK126" s="2111"/>
      <c r="AL126" s="2111"/>
      <c r="AM126" s="2111"/>
      <c r="AN126" s="2111"/>
      <c r="AO126" s="2111"/>
      <c r="AP126" s="2111"/>
      <c r="AQ126" s="2111"/>
      <c r="AR126" s="2111"/>
      <c r="AS126" s="2111"/>
      <c r="AT126" s="2111"/>
      <c r="AU126" s="2111"/>
      <c r="AV126" s="2111"/>
      <c r="AW126" s="2111"/>
      <c r="AX126" s="2111"/>
      <c r="AY126" s="2111"/>
      <c r="AZ126" s="2111"/>
      <c r="BA126" s="2111"/>
      <c r="BB126" s="2111"/>
      <c r="BC126" s="2111"/>
      <c r="BD126" s="2111"/>
      <c r="BE126" s="2111"/>
      <c r="BF126" s="2111"/>
      <c r="BG126" s="2111"/>
      <c r="BH126" s="2111"/>
      <c r="BI126" s="2111"/>
      <c r="BJ126" s="2111"/>
      <c r="BK126" s="2111"/>
      <c r="BL126" s="2111"/>
      <c r="BM126" s="2111"/>
      <c r="BN126" s="2111"/>
      <c r="BO126" s="2111"/>
    </row>
    <row r="127" spans="1:68" ht="20.100000000000001" customHeight="1">
      <c r="A127" s="1842">
        <v>16</v>
      </c>
      <c r="B127" s="1854"/>
      <c r="C127" s="2119"/>
      <c r="D127" s="1848" t="s">
        <v>546</v>
      </c>
      <c r="E127" s="1837"/>
      <c r="F127" s="1849"/>
      <c r="G127" s="2010" t="s">
        <v>1039</v>
      </c>
      <c r="H127" s="2011">
        <f t="shared" ca="1" si="60"/>
        <v>41.8</v>
      </c>
      <c r="I127" s="2011">
        <f t="shared" ca="1" si="61"/>
        <v>41.8</v>
      </c>
      <c r="J127" s="2011">
        <f t="shared" ca="1" si="62"/>
        <v>41.8</v>
      </c>
      <c r="K127" s="2011">
        <f t="shared" ca="1" si="63"/>
        <v>41.8</v>
      </c>
      <c r="L127" s="2012">
        <f t="shared" ca="1" si="56"/>
        <v>0</v>
      </c>
      <c r="M127" s="2012">
        <f t="shared" ca="1" si="57"/>
        <v>0</v>
      </c>
      <c r="N127" s="2012">
        <f t="shared" ca="1" si="58"/>
        <v>0</v>
      </c>
      <c r="O127" s="2012">
        <f t="shared" ca="1" si="59"/>
        <v>0</v>
      </c>
      <c r="P127" s="2013">
        <f t="shared" ca="1" si="64"/>
        <v>0</v>
      </c>
      <c r="Q127" s="2013">
        <f t="shared" ca="1" si="65"/>
        <v>0</v>
      </c>
      <c r="R127" s="2013">
        <f t="shared" ca="1" si="66"/>
        <v>0</v>
      </c>
      <c r="S127" s="2013">
        <f t="shared" ca="1" si="67"/>
        <v>0</v>
      </c>
      <c r="T127" s="2013">
        <f t="shared" ca="1" si="68"/>
        <v>0</v>
      </c>
      <c r="U127" s="2013">
        <f t="shared" ca="1" si="69"/>
        <v>0</v>
      </c>
      <c r="V127" s="2013">
        <f t="shared" ca="1" si="70"/>
        <v>0</v>
      </c>
      <c r="W127" s="2013">
        <f t="shared" ca="1" si="71"/>
        <v>0</v>
      </c>
      <c r="X127" s="2111"/>
      <c r="Y127" s="2111"/>
      <c r="Z127" s="2111"/>
      <c r="AA127" s="2111"/>
      <c r="AB127" s="2111"/>
      <c r="AC127" s="2111"/>
      <c r="AD127" s="2111"/>
      <c r="AE127" s="2111"/>
      <c r="AF127" s="2111"/>
      <c r="AG127" s="2111"/>
      <c r="AH127" s="2111"/>
      <c r="AI127" s="2111"/>
      <c r="AJ127" s="2111"/>
      <c r="AK127" s="2111"/>
      <c r="AL127" s="2111"/>
      <c r="AM127" s="2111"/>
      <c r="AN127" s="2111"/>
      <c r="AO127" s="2111"/>
      <c r="AP127" s="2111"/>
      <c r="AQ127" s="2111"/>
      <c r="AR127" s="2111"/>
      <c r="AS127" s="2111"/>
      <c r="AT127" s="2111"/>
      <c r="AU127" s="2111"/>
      <c r="AV127" s="2111"/>
      <c r="AW127" s="2111"/>
      <c r="AX127" s="2111"/>
      <c r="AY127" s="2111"/>
      <c r="AZ127" s="2111"/>
      <c r="BA127" s="2111"/>
      <c r="BB127" s="2111"/>
      <c r="BC127" s="2111"/>
      <c r="BD127" s="2111"/>
      <c r="BE127" s="2111"/>
      <c r="BF127" s="2111"/>
      <c r="BG127" s="2111"/>
      <c r="BH127" s="2111"/>
      <c r="BI127" s="2111"/>
      <c r="BJ127" s="2111"/>
      <c r="BK127" s="2111"/>
      <c r="BL127" s="2111"/>
      <c r="BM127" s="2111"/>
      <c r="BN127" s="2111"/>
      <c r="BO127" s="2111"/>
    </row>
    <row r="128" spans="1:68" ht="20.100000000000001" customHeight="1">
      <c r="A128" s="1842">
        <v>19</v>
      </c>
      <c r="B128" s="1854"/>
      <c r="C128" s="2119"/>
      <c r="D128" s="1848" t="s">
        <v>923</v>
      </c>
      <c r="E128" s="1848"/>
      <c r="F128" s="1849"/>
      <c r="G128" s="2010" t="s">
        <v>1040</v>
      </c>
      <c r="H128" s="2011">
        <f t="shared" ca="1" si="60"/>
        <v>50.1</v>
      </c>
      <c r="I128" s="2011">
        <f t="shared" ca="1" si="61"/>
        <v>50.1</v>
      </c>
      <c r="J128" s="2011">
        <f t="shared" ca="1" si="62"/>
        <v>50.1</v>
      </c>
      <c r="K128" s="2011">
        <f t="shared" ca="1" si="63"/>
        <v>50.1</v>
      </c>
      <c r="L128" s="2012">
        <f t="shared" ca="1" si="56"/>
        <v>0</v>
      </c>
      <c r="M128" s="2012">
        <f t="shared" ca="1" si="57"/>
        <v>0</v>
      </c>
      <c r="N128" s="2012">
        <f t="shared" ca="1" si="58"/>
        <v>0</v>
      </c>
      <c r="O128" s="2012">
        <f t="shared" ca="1" si="59"/>
        <v>0</v>
      </c>
      <c r="P128" s="2013">
        <f t="shared" ca="1" si="64"/>
        <v>0</v>
      </c>
      <c r="Q128" s="2013">
        <f t="shared" ca="1" si="65"/>
        <v>0</v>
      </c>
      <c r="R128" s="2013">
        <f t="shared" ca="1" si="66"/>
        <v>0</v>
      </c>
      <c r="S128" s="2013">
        <f t="shared" ca="1" si="67"/>
        <v>0</v>
      </c>
      <c r="T128" s="2013">
        <f t="shared" ca="1" si="68"/>
        <v>0</v>
      </c>
      <c r="U128" s="2013">
        <f t="shared" ca="1" si="69"/>
        <v>0</v>
      </c>
      <c r="V128" s="2013">
        <f t="shared" ca="1" si="70"/>
        <v>0</v>
      </c>
      <c r="W128" s="2013">
        <f t="shared" ca="1" si="71"/>
        <v>0</v>
      </c>
      <c r="X128" s="2111"/>
      <c r="Y128" s="2111"/>
      <c r="Z128" s="2111"/>
      <c r="AA128" s="2111"/>
      <c r="AB128" s="2111"/>
      <c r="AC128" s="2111"/>
      <c r="AD128" s="2111"/>
      <c r="AE128" s="2111"/>
      <c r="AF128" s="2111"/>
      <c r="AG128" s="2111"/>
      <c r="AH128" s="2111"/>
      <c r="AI128" s="2111"/>
      <c r="AJ128" s="2111"/>
      <c r="AK128" s="2111"/>
      <c r="AL128" s="2111"/>
      <c r="AM128" s="2111"/>
      <c r="AN128" s="2111"/>
      <c r="AO128" s="2111"/>
      <c r="AP128" s="2111"/>
      <c r="AQ128" s="2111"/>
      <c r="AR128" s="2111"/>
      <c r="AS128" s="2111"/>
      <c r="AT128" s="2111"/>
      <c r="AU128" s="2111"/>
      <c r="AV128" s="2111"/>
      <c r="AW128" s="2111"/>
      <c r="AX128" s="2111"/>
      <c r="AY128" s="2111"/>
      <c r="AZ128" s="2111"/>
      <c r="BA128" s="2111"/>
      <c r="BB128" s="2111"/>
      <c r="BC128" s="2111"/>
      <c r="BD128" s="2111"/>
      <c r="BE128" s="2111"/>
      <c r="BF128" s="2111"/>
      <c r="BG128" s="2111"/>
      <c r="BH128" s="2111"/>
      <c r="BI128" s="2111"/>
      <c r="BJ128" s="2111"/>
      <c r="BK128" s="2111"/>
      <c r="BL128" s="2111"/>
      <c r="BM128" s="2111"/>
      <c r="BN128" s="2111"/>
      <c r="BO128" s="2111"/>
    </row>
    <row r="129" spans="1:67" ht="20.100000000000001" customHeight="1">
      <c r="A129" s="1842">
        <v>21</v>
      </c>
      <c r="B129" s="1854"/>
      <c r="C129" s="2119"/>
      <c r="D129" s="1848" t="s">
        <v>925</v>
      </c>
      <c r="E129" s="1837"/>
      <c r="F129" s="1849"/>
      <c r="G129" s="2010" t="s">
        <v>1040</v>
      </c>
      <c r="H129" s="2011">
        <f t="shared" ca="1" si="60"/>
        <v>54.7</v>
      </c>
      <c r="I129" s="2011">
        <f t="shared" ca="1" si="61"/>
        <v>54.7</v>
      </c>
      <c r="J129" s="2011">
        <f t="shared" ca="1" si="62"/>
        <v>54.7</v>
      </c>
      <c r="K129" s="2011">
        <f t="shared" ca="1" si="63"/>
        <v>54.7</v>
      </c>
      <c r="L129" s="2012">
        <f t="shared" ca="1" si="56"/>
        <v>0</v>
      </c>
      <c r="M129" s="2012">
        <f t="shared" ca="1" si="57"/>
        <v>0</v>
      </c>
      <c r="N129" s="2012">
        <f t="shared" ca="1" si="58"/>
        <v>0</v>
      </c>
      <c r="O129" s="2012">
        <f t="shared" ca="1" si="59"/>
        <v>0</v>
      </c>
      <c r="P129" s="2013">
        <f t="shared" ca="1" si="64"/>
        <v>0</v>
      </c>
      <c r="Q129" s="2013">
        <f t="shared" ca="1" si="65"/>
        <v>0</v>
      </c>
      <c r="R129" s="2013">
        <f t="shared" ca="1" si="66"/>
        <v>0</v>
      </c>
      <c r="S129" s="2013">
        <f t="shared" ca="1" si="67"/>
        <v>0</v>
      </c>
      <c r="T129" s="2013">
        <f t="shared" ca="1" si="68"/>
        <v>0</v>
      </c>
      <c r="U129" s="2013">
        <f t="shared" ca="1" si="69"/>
        <v>0</v>
      </c>
      <c r="V129" s="2013">
        <f t="shared" ca="1" si="70"/>
        <v>0</v>
      </c>
      <c r="W129" s="2013">
        <f t="shared" ca="1" si="71"/>
        <v>0</v>
      </c>
      <c r="X129" s="2111"/>
      <c r="Y129" s="2111"/>
      <c r="Z129" s="2111"/>
      <c r="AA129" s="2111"/>
      <c r="AB129" s="2111"/>
      <c r="AC129" s="2111"/>
      <c r="AD129" s="2111"/>
      <c r="AE129" s="2111"/>
      <c r="AF129" s="2111"/>
      <c r="AG129" s="2111"/>
      <c r="AH129" s="2111"/>
      <c r="AI129" s="2111"/>
      <c r="AJ129" s="2111"/>
      <c r="AK129" s="2111"/>
      <c r="AL129" s="2111"/>
      <c r="AM129" s="2111"/>
      <c r="AN129" s="2111"/>
      <c r="AO129" s="2111"/>
      <c r="AP129" s="2111"/>
      <c r="AQ129" s="2111"/>
      <c r="AR129" s="2111"/>
      <c r="AS129" s="2111"/>
      <c r="AT129" s="2111"/>
      <c r="AU129" s="2111"/>
      <c r="AV129" s="2111"/>
      <c r="AW129" s="2111"/>
      <c r="AX129" s="2111"/>
      <c r="AY129" s="2111"/>
      <c r="AZ129" s="2111"/>
      <c r="BA129" s="2111"/>
      <c r="BB129" s="2111"/>
      <c r="BC129" s="2111"/>
      <c r="BD129" s="2111"/>
      <c r="BE129" s="2111"/>
      <c r="BF129" s="2111"/>
      <c r="BG129" s="2111"/>
      <c r="BH129" s="2111"/>
      <c r="BI129" s="2111"/>
      <c r="BJ129" s="2111"/>
      <c r="BK129" s="2111"/>
      <c r="BL129" s="2111"/>
      <c r="BM129" s="2111"/>
      <c r="BN129" s="2111"/>
      <c r="BO129" s="2111"/>
    </row>
    <row r="130" spans="1:67" ht="20.100000000000001" customHeight="1">
      <c r="A130" s="1842">
        <v>35</v>
      </c>
      <c r="B130" s="1854"/>
      <c r="C130" s="2119"/>
      <c r="D130" s="1848" t="s">
        <v>1041</v>
      </c>
      <c r="E130" s="1856"/>
      <c r="F130" s="1849"/>
      <c r="G130" s="2120" t="s">
        <v>553</v>
      </c>
      <c r="H130" s="2064"/>
      <c r="I130" s="2064"/>
      <c r="J130" s="2064"/>
      <c r="K130" s="2064"/>
      <c r="L130" s="2012">
        <f t="shared" ca="1" si="56"/>
        <v>0</v>
      </c>
      <c r="M130" s="2012">
        <f t="shared" ca="1" si="57"/>
        <v>0</v>
      </c>
      <c r="N130" s="2012">
        <f t="shared" ca="1" si="58"/>
        <v>0</v>
      </c>
      <c r="O130" s="2012">
        <f t="shared" ca="1" si="59"/>
        <v>0</v>
      </c>
      <c r="P130" s="2013">
        <f t="shared" ca="1" si="64"/>
        <v>0</v>
      </c>
      <c r="Q130" s="2013">
        <f t="shared" ca="1" si="65"/>
        <v>0</v>
      </c>
      <c r="R130" s="2013">
        <f t="shared" ca="1" si="66"/>
        <v>0</v>
      </c>
      <c r="S130" s="2013">
        <f t="shared" ca="1" si="67"/>
        <v>0</v>
      </c>
      <c r="T130" s="2013">
        <f t="shared" ca="1" si="68"/>
        <v>0</v>
      </c>
      <c r="U130" s="2013">
        <f t="shared" ca="1" si="69"/>
        <v>0</v>
      </c>
      <c r="V130" s="2013">
        <f t="shared" ca="1" si="70"/>
        <v>0</v>
      </c>
      <c r="W130" s="2013">
        <f t="shared" ca="1" si="71"/>
        <v>0</v>
      </c>
      <c r="X130" s="2111"/>
      <c r="Y130" s="2111"/>
      <c r="Z130" s="2111"/>
      <c r="AA130" s="2111"/>
      <c r="AB130" s="2111"/>
      <c r="AC130" s="2111"/>
      <c r="AD130" s="2111"/>
      <c r="AE130" s="2111"/>
      <c r="AF130" s="2111"/>
      <c r="AG130" s="2111"/>
      <c r="AH130" s="2111"/>
      <c r="AI130" s="2111"/>
      <c r="AJ130" s="2111"/>
      <c r="AK130" s="2111"/>
      <c r="AL130" s="2111"/>
      <c r="AM130" s="2111"/>
      <c r="AN130" s="2111"/>
      <c r="AO130" s="2111"/>
      <c r="AP130" s="2111"/>
      <c r="AQ130" s="2111"/>
      <c r="AR130" s="2111"/>
      <c r="AS130" s="2111"/>
      <c r="AT130" s="2111"/>
      <c r="AU130" s="2111"/>
      <c r="AV130" s="2111"/>
      <c r="AW130" s="2111"/>
      <c r="AX130" s="2111"/>
      <c r="AY130" s="2111"/>
      <c r="AZ130" s="2111"/>
      <c r="BA130" s="2111"/>
      <c r="BB130" s="2111"/>
      <c r="BC130" s="2111"/>
      <c r="BD130" s="2111"/>
      <c r="BE130" s="2111"/>
      <c r="BF130" s="2111"/>
      <c r="BG130" s="2111"/>
      <c r="BH130" s="2111"/>
      <c r="BI130" s="2111"/>
      <c r="BJ130" s="2111"/>
      <c r="BK130" s="2111"/>
      <c r="BL130" s="2111"/>
      <c r="BM130" s="2111"/>
      <c r="BN130" s="2111"/>
      <c r="BO130" s="2111"/>
    </row>
    <row r="131" spans="1:67" ht="20.100000000000001" customHeight="1">
      <c r="A131" s="1842">
        <v>200</v>
      </c>
      <c r="B131" s="1854"/>
      <c r="C131" s="2121"/>
      <c r="D131" s="2122" t="s">
        <v>935</v>
      </c>
      <c r="E131" s="1858" t="str">
        <f ca="1">OFFSET(A1_その他欄集計,2,13)</f>
        <v/>
      </c>
      <c r="F131" s="1849"/>
      <c r="G131" s="1858" t="str">
        <f ca="1">OFFSET(A1_その他欄集計,3,13)</f>
        <v/>
      </c>
      <c r="H131" s="2011">
        <f ca="1">IFERROR(OFFSET(貼付け_2024実績,$A131,15),"")</f>
        <v>0</v>
      </c>
      <c r="I131" s="2011">
        <f ca="1">IFERROR(OFFSET(貼付け_2025実績,$A131,15),"")</f>
        <v>0</v>
      </c>
      <c r="J131" s="2011">
        <f ca="1">IFERROR(OFFSET(貼付け_2026実績,$A131,15),"")</f>
        <v>0</v>
      </c>
      <c r="K131" s="2011">
        <f ca="1">IFERROR(OFFSET(貼付け_2027実績,$A131,15),"")</f>
        <v>0</v>
      </c>
      <c r="L131" s="2012">
        <f t="shared" ca="1" si="56"/>
        <v>0</v>
      </c>
      <c r="M131" s="2012">
        <f t="shared" ca="1" si="57"/>
        <v>0</v>
      </c>
      <c r="N131" s="2012">
        <f t="shared" ca="1" si="58"/>
        <v>0</v>
      </c>
      <c r="O131" s="2012">
        <f t="shared" ca="1" si="59"/>
        <v>0</v>
      </c>
      <c r="P131" s="2013">
        <f ca="1">IFERROR(OFFSET(貼付け_2024実績,$A131,18),"")</f>
        <v>0</v>
      </c>
      <c r="Q131" s="2013">
        <f ca="1">IFERROR(OFFSET(貼付け_2025実績,$A131,18),"")</f>
        <v>0</v>
      </c>
      <c r="R131" s="2013">
        <f ca="1">IFERROR(OFFSET(貼付け_2026実績,$A131,18),"")</f>
        <v>0</v>
      </c>
      <c r="S131" s="2013">
        <f ca="1">IFERROR(OFFSET(貼付け_2027実績,$A131,18),"")</f>
        <v>0</v>
      </c>
      <c r="T131" s="2013">
        <f ca="1">IFERROR(OFFSET(貼付け_2024実績,$A131,19),"")</f>
        <v>0</v>
      </c>
      <c r="U131" s="2013">
        <f ca="1">IFERROR(OFFSET(貼付け_2025実績,$A131,19),"")</f>
        <v>0</v>
      </c>
      <c r="V131" s="2013">
        <f ca="1">IFERROR(OFFSET(貼付け_2026実績,$A131,19),"")</f>
        <v>0</v>
      </c>
      <c r="W131" s="2013">
        <f ca="1">IFERROR(OFFSET(貼付け_2027実績,$A131,19),"")</f>
        <v>0</v>
      </c>
      <c r="X131" s="2111"/>
      <c r="Y131" s="2111"/>
      <c r="Z131" s="2111"/>
      <c r="AA131" s="2111"/>
      <c r="AB131" s="2111"/>
      <c r="AC131" s="2111"/>
      <c r="AD131" s="2111"/>
      <c r="AE131" s="2111"/>
      <c r="AF131" s="2111"/>
      <c r="AG131" s="2111"/>
      <c r="AH131" s="2111"/>
      <c r="AI131" s="2111"/>
      <c r="AJ131" s="2111"/>
      <c r="AK131" s="2111"/>
      <c r="AL131" s="2111"/>
      <c r="AM131" s="2111"/>
      <c r="AN131" s="2111"/>
      <c r="AO131" s="2111"/>
      <c r="AP131" s="2111"/>
      <c r="AQ131" s="2111"/>
      <c r="AR131" s="2111"/>
      <c r="AS131" s="2111"/>
      <c r="AT131" s="2111"/>
      <c r="AU131" s="2111"/>
      <c r="AV131" s="2111"/>
      <c r="AW131" s="2111"/>
      <c r="AX131" s="2111"/>
      <c r="AY131" s="2111"/>
      <c r="AZ131" s="2111"/>
      <c r="BA131" s="2111"/>
      <c r="BB131" s="2111"/>
      <c r="BC131" s="2111"/>
      <c r="BD131" s="2111"/>
      <c r="BE131" s="2111"/>
      <c r="BF131" s="2111"/>
      <c r="BG131" s="2111"/>
      <c r="BH131" s="2111"/>
      <c r="BI131" s="2111"/>
      <c r="BJ131" s="2111"/>
      <c r="BK131" s="2111"/>
      <c r="BL131" s="2111"/>
      <c r="BM131" s="2111"/>
      <c r="BN131" s="2111"/>
      <c r="BO131" s="2111"/>
    </row>
    <row r="132" spans="1:67" ht="20.100000000000001" customHeight="1">
      <c r="A132" s="1842">
        <v>40</v>
      </c>
      <c r="B132" s="1854"/>
      <c r="C132" s="2016" t="s">
        <v>936</v>
      </c>
      <c r="D132" s="1848" t="s">
        <v>564</v>
      </c>
      <c r="E132" s="1848"/>
      <c r="F132" s="1849"/>
      <c r="G132" s="2010" t="s">
        <v>1039</v>
      </c>
      <c r="H132" s="2011">
        <f ca="1">IFERROR(OFFSET(貼付け_2024実績,$A132,5),"")</f>
        <v>23.4</v>
      </c>
      <c r="I132" s="2011">
        <f ca="1">IFERROR(OFFSET(貼付け_2025実績,$A132,5),"")</f>
        <v>23.4</v>
      </c>
      <c r="J132" s="2011">
        <f ca="1">IFERROR(OFFSET(貼付け_2026実績,$A132,5),"")</f>
        <v>23.4</v>
      </c>
      <c r="K132" s="2011">
        <f ca="1">IFERROR(OFFSET(貼付け_2027実績,$A132,5),"")</f>
        <v>23.4</v>
      </c>
      <c r="L132" s="2012">
        <f t="shared" ca="1" si="56"/>
        <v>0</v>
      </c>
      <c r="M132" s="2012">
        <f t="shared" ca="1" si="57"/>
        <v>0</v>
      </c>
      <c r="N132" s="2012">
        <f t="shared" ca="1" si="58"/>
        <v>0</v>
      </c>
      <c r="O132" s="2012">
        <f t="shared" ca="1" si="59"/>
        <v>0</v>
      </c>
      <c r="P132" s="2013">
        <f ca="1">IFERROR(OFFSET(貼付け_2024実績,$A132,7),"")</f>
        <v>0</v>
      </c>
      <c r="Q132" s="2013">
        <f ca="1">IFERROR(OFFSET(貼付け_2025実績,$A132,7),"")</f>
        <v>0</v>
      </c>
      <c r="R132" s="2013">
        <f ca="1">IFERROR(OFFSET(貼付け_2026実績,$A132,7),"")</f>
        <v>0</v>
      </c>
      <c r="S132" s="2013">
        <f ca="1">IFERROR(OFFSET(貼付け_2027実績,$A132,7),"")</f>
        <v>0</v>
      </c>
      <c r="T132" s="2013">
        <f ca="1">IFERROR(OFFSET(貼付け_2024実績,$A132,8),"")</f>
        <v>0</v>
      </c>
      <c r="U132" s="2013">
        <f ca="1">IFERROR(OFFSET(貼付け_2025実績,$A132,8),"")</f>
        <v>0</v>
      </c>
      <c r="V132" s="2013">
        <f ca="1">IFERROR(OFFSET(貼付け_2026実績,$A132,8),"")</f>
        <v>0</v>
      </c>
      <c r="W132" s="2013">
        <f ca="1">IFERROR(OFFSET(貼付け_2027実績,$A132,8),"")</f>
        <v>0</v>
      </c>
      <c r="X132" s="2111"/>
      <c r="Y132" s="2111"/>
      <c r="Z132" s="2111"/>
      <c r="AA132" s="2111"/>
      <c r="AB132" s="2111"/>
      <c r="AC132" s="2111"/>
      <c r="AD132" s="2111"/>
      <c r="AE132" s="2111"/>
      <c r="AF132" s="2111"/>
      <c r="AG132" s="2111"/>
      <c r="AH132" s="2111"/>
      <c r="AI132" s="2111"/>
      <c r="AJ132" s="2111"/>
      <c r="AK132" s="2111"/>
      <c r="AL132" s="2111"/>
      <c r="AM132" s="2111"/>
      <c r="AN132" s="2111"/>
      <c r="AO132" s="2111"/>
      <c r="AP132" s="2111"/>
      <c r="AQ132" s="2111"/>
      <c r="AR132" s="2111"/>
      <c r="AS132" s="2111"/>
      <c r="AT132" s="2111"/>
      <c r="AU132" s="2111"/>
      <c r="AV132" s="2111"/>
      <c r="AW132" s="2111"/>
      <c r="AX132" s="2111"/>
      <c r="AY132" s="2111"/>
      <c r="AZ132" s="2111"/>
      <c r="BA132" s="2111"/>
      <c r="BB132" s="2111"/>
      <c r="BC132" s="2111"/>
      <c r="BD132" s="2111"/>
      <c r="BE132" s="2111"/>
      <c r="BF132" s="2111"/>
      <c r="BG132" s="2111"/>
      <c r="BH132" s="2111"/>
      <c r="BI132" s="2111"/>
      <c r="BJ132" s="2111"/>
      <c r="BK132" s="2111"/>
      <c r="BL132" s="2111"/>
      <c r="BM132" s="2111"/>
      <c r="BN132" s="2111"/>
      <c r="BO132" s="2111"/>
    </row>
    <row r="133" spans="1:67" ht="20.100000000000001" customHeight="1">
      <c r="A133" s="1842">
        <v>41</v>
      </c>
      <c r="B133" s="1854"/>
      <c r="C133" s="2119"/>
      <c r="D133" s="1848" t="s">
        <v>565</v>
      </c>
      <c r="E133" s="1848"/>
      <c r="F133" s="1849"/>
      <c r="G133" s="2010" t="s">
        <v>1039</v>
      </c>
      <c r="H133" s="2011">
        <f ca="1">IFERROR(OFFSET(貼付け_2024実績,$A133,5),"")</f>
        <v>35.6</v>
      </c>
      <c r="I133" s="2011">
        <f ca="1">IFERROR(OFFSET(貼付け_2025実績,$A133,5),"")</f>
        <v>35.6</v>
      </c>
      <c r="J133" s="2011">
        <f ca="1">IFERROR(OFFSET(貼付け_2026実績,$A133,5),"")</f>
        <v>35.6</v>
      </c>
      <c r="K133" s="2011">
        <f ca="1">IFERROR(OFFSET(貼付け_2027実績,$A133,5),"")</f>
        <v>35.6</v>
      </c>
      <c r="L133" s="2012">
        <f t="shared" ca="1" si="56"/>
        <v>0</v>
      </c>
      <c r="M133" s="2012">
        <f t="shared" ca="1" si="57"/>
        <v>0</v>
      </c>
      <c r="N133" s="2012">
        <f t="shared" ca="1" si="58"/>
        <v>0</v>
      </c>
      <c r="O133" s="2012">
        <f t="shared" ca="1" si="59"/>
        <v>0</v>
      </c>
      <c r="P133" s="2013">
        <f ca="1">IFERROR(OFFSET(貼付け_2024実績,$A133,7),"")</f>
        <v>0</v>
      </c>
      <c r="Q133" s="2013">
        <f ca="1">IFERROR(OFFSET(貼付け_2025実績,$A133,7),"")</f>
        <v>0</v>
      </c>
      <c r="R133" s="2013">
        <f ca="1">IFERROR(OFFSET(貼付け_2026実績,$A133,7),"")</f>
        <v>0</v>
      </c>
      <c r="S133" s="2013">
        <f ca="1">IFERROR(OFFSET(貼付け_2027実績,$A133,7),"")</f>
        <v>0</v>
      </c>
      <c r="T133" s="2013">
        <f ca="1">IFERROR(OFFSET(貼付け_2024実績,$A133,8),"")</f>
        <v>0</v>
      </c>
      <c r="U133" s="2013">
        <f ca="1">IFERROR(OFFSET(貼付け_2025実績,$A133,8),"")</f>
        <v>0</v>
      </c>
      <c r="V133" s="2013">
        <f ca="1">IFERROR(OFFSET(貼付け_2026実績,$A133,8),"")</f>
        <v>0</v>
      </c>
      <c r="W133" s="2013">
        <f ca="1">IFERROR(OFFSET(貼付け_2027実績,$A133,8),"")</f>
        <v>0</v>
      </c>
      <c r="X133" s="2111"/>
      <c r="Y133" s="2111"/>
      <c r="Z133" s="2111"/>
      <c r="AA133" s="2111"/>
      <c r="AB133" s="2111"/>
      <c r="AC133" s="2111"/>
      <c r="AD133" s="2111"/>
      <c r="AE133" s="2111"/>
      <c r="AF133" s="2111"/>
      <c r="AG133" s="2111"/>
      <c r="AH133" s="2111"/>
      <c r="AI133" s="2111"/>
      <c r="AJ133" s="2111"/>
      <c r="AK133" s="2111"/>
      <c r="AL133" s="2111"/>
      <c r="AM133" s="2111"/>
      <c r="AN133" s="2111"/>
      <c r="AO133" s="2111"/>
      <c r="AP133" s="2111"/>
      <c r="AQ133" s="2111"/>
      <c r="AR133" s="2111"/>
      <c r="AS133" s="2111"/>
      <c r="AT133" s="2111"/>
      <c r="AU133" s="2111"/>
      <c r="AV133" s="2111"/>
      <c r="AW133" s="2111"/>
      <c r="AX133" s="2111"/>
      <c r="AY133" s="2111"/>
      <c r="AZ133" s="2111"/>
      <c r="BA133" s="2111"/>
      <c r="BB133" s="2111"/>
      <c r="BC133" s="2111"/>
      <c r="BD133" s="2111"/>
      <c r="BE133" s="2111"/>
      <c r="BF133" s="2111"/>
      <c r="BG133" s="2111"/>
      <c r="BH133" s="2111"/>
      <c r="BI133" s="2111"/>
      <c r="BJ133" s="2111"/>
      <c r="BK133" s="2111"/>
      <c r="BL133" s="2111"/>
      <c r="BM133" s="2111"/>
      <c r="BN133" s="2111"/>
      <c r="BO133" s="2111"/>
    </row>
    <row r="134" spans="1:67" ht="20.100000000000001" customHeight="1">
      <c r="A134" s="1842">
        <v>52</v>
      </c>
      <c r="B134" s="1854"/>
      <c r="C134" s="2119"/>
      <c r="D134" s="1848" t="s">
        <v>947</v>
      </c>
      <c r="E134" s="1848"/>
      <c r="F134" s="1849"/>
      <c r="G134" s="2010" t="s">
        <v>1040</v>
      </c>
      <c r="H134" s="2011">
        <f ca="1">IFERROR(OFFSET(貼付け_2024実績,$A134,5),"")</f>
        <v>142</v>
      </c>
      <c r="I134" s="2011">
        <f ca="1">IFERROR(OFFSET(貼付け_2025実績,$A134,5),"")</f>
        <v>142</v>
      </c>
      <c r="J134" s="2011">
        <f ca="1">IFERROR(OFFSET(貼付け_2026実績,$A134,5),"")</f>
        <v>142</v>
      </c>
      <c r="K134" s="2011">
        <f ca="1">IFERROR(OFFSET(貼付け_2027実績,$A134,5),"")</f>
        <v>142</v>
      </c>
      <c r="L134" s="2012">
        <f t="shared" ca="1" si="56"/>
        <v>0</v>
      </c>
      <c r="M134" s="2012">
        <f t="shared" ca="1" si="57"/>
        <v>0</v>
      </c>
      <c r="N134" s="2012">
        <f t="shared" ca="1" si="58"/>
        <v>0</v>
      </c>
      <c r="O134" s="2012">
        <f t="shared" ca="1" si="59"/>
        <v>0</v>
      </c>
      <c r="P134" s="2013">
        <f ca="1">IFERROR(OFFSET(貼付け_2024実績,$A134,7),"")</f>
        <v>0</v>
      </c>
      <c r="Q134" s="2013">
        <f ca="1">IFERROR(OFFSET(貼付け_2025実績,$A134,7),"")</f>
        <v>0</v>
      </c>
      <c r="R134" s="2013">
        <f ca="1">IFERROR(OFFSET(貼付け_2026実績,$A134,7),"")</f>
        <v>0</v>
      </c>
      <c r="S134" s="2013">
        <f ca="1">IFERROR(OFFSET(貼付け_2027実績,$A134,7),"")</f>
        <v>0</v>
      </c>
      <c r="T134" s="2013">
        <f ca="1">IFERROR(OFFSET(貼付け_2024実績,$A134,8),"")</f>
        <v>0</v>
      </c>
      <c r="U134" s="2013">
        <f ca="1">IFERROR(OFFSET(貼付け_2025実績,$A134,8),"")</f>
        <v>0</v>
      </c>
      <c r="V134" s="2013">
        <f ca="1">IFERROR(OFFSET(貼付け_2026実績,$A134,8),"")</f>
        <v>0</v>
      </c>
      <c r="W134" s="2013">
        <f ca="1">IFERROR(OFFSET(貼付け_2027実績,$A134,8),"")</f>
        <v>0</v>
      </c>
      <c r="X134" s="2111"/>
      <c r="Y134" s="2111"/>
      <c r="Z134" s="2111"/>
      <c r="AA134" s="2111"/>
      <c r="AB134" s="2111"/>
      <c r="AC134" s="2111"/>
      <c r="AD134" s="2111"/>
      <c r="AE134" s="2111"/>
      <c r="AF134" s="2111"/>
      <c r="AG134" s="2111"/>
      <c r="AH134" s="2111"/>
      <c r="AI134" s="2111"/>
      <c r="AJ134" s="2111"/>
      <c r="AK134" s="2111"/>
      <c r="AL134" s="2111"/>
      <c r="AM134" s="2111"/>
      <c r="AN134" s="2111"/>
      <c r="AO134" s="2111"/>
      <c r="AP134" s="2111"/>
      <c r="AQ134" s="2111"/>
      <c r="AR134" s="2111"/>
      <c r="AS134" s="2111"/>
      <c r="AT134" s="2111"/>
      <c r="AU134" s="2111"/>
      <c r="AV134" s="2111"/>
      <c r="AW134" s="2111"/>
      <c r="AX134" s="2111"/>
      <c r="AY134" s="2111"/>
      <c r="AZ134" s="2111"/>
      <c r="BA134" s="2111"/>
      <c r="BB134" s="2111"/>
      <c r="BC134" s="2111"/>
      <c r="BD134" s="2111"/>
      <c r="BE134" s="2111"/>
      <c r="BF134" s="2111"/>
      <c r="BG134" s="2111"/>
      <c r="BH134" s="2111"/>
      <c r="BI134" s="2111"/>
      <c r="BJ134" s="2111"/>
      <c r="BK134" s="2111"/>
      <c r="BL134" s="2111"/>
      <c r="BM134" s="2111"/>
      <c r="BN134" s="2111"/>
      <c r="BO134" s="2111"/>
    </row>
    <row r="135" spans="1:67" ht="20.100000000000001" customHeight="1">
      <c r="A135" s="1842">
        <v>53</v>
      </c>
      <c r="B135" s="1854"/>
      <c r="C135" s="2119"/>
      <c r="D135" s="1848" t="s">
        <v>569</v>
      </c>
      <c r="E135" s="1848"/>
      <c r="F135" s="1849"/>
      <c r="G135" s="2010" t="s">
        <v>1040</v>
      </c>
      <c r="H135" s="2011">
        <f ca="1">IFERROR(OFFSET(貼付け_2024実績,$A135,5),"")</f>
        <v>22.5</v>
      </c>
      <c r="I135" s="2011">
        <f ca="1">IFERROR(OFFSET(貼付け_2025実績,$A135,5),"")</f>
        <v>22.5</v>
      </c>
      <c r="J135" s="2011">
        <f ca="1">IFERROR(OFFSET(貼付け_2026実績,$A135,5),"")</f>
        <v>22.5</v>
      </c>
      <c r="K135" s="2011">
        <f ca="1">IFERROR(OFFSET(貼付け_2027実績,$A135,5),"")</f>
        <v>22.5</v>
      </c>
      <c r="L135" s="2012">
        <f t="shared" ca="1" si="56"/>
        <v>0</v>
      </c>
      <c r="M135" s="2012">
        <f t="shared" ca="1" si="57"/>
        <v>0</v>
      </c>
      <c r="N135" s="2012">
        <f t="shared" ca="1" si="58"/>
        <v>0</v>
      </c>
      <c r="O135" s="2012">
        <f t="shared" ca="1" si="59"/>
        <v>0</v>
      </c>
      <c r="P135" s="2013">
        <f ca="1">IFERROR(OFFSET(貼付け_2024実績,$A135,7),"")</f>
        <v>0</v>
      </c>
      <c r="Q135" s="2013">
        <f ca="1">IFERROR(OFFSET(貼付け_2025実績,$A135,7),"")</f>
        <v>0</v>
      </c>
      <c r="R135" s="2013">
        <f ca="1">IFERROR(OFFSET(貼付け_2026実績,$A135,7),"")</f>
        <v>0</v>
      </c>
      <c r="S135" s="2013">
        <f ca="1">IFERROR(OFFSET(貼付け_2027実績,$A135,7),"")</f>
        <v>0</v>
      </c>
      <c r="T135" s="2013">
        <f ca="1">IFERROR(OFFSET(貼付け_2024実績,$A135,8),"")</f>
        <v>0</v>
      </c>
      <c r="U135" s="2013">
        <f ca="1">IFERROR(OFFSET(貼付け_2025実績,$A135,8),"")</f>
        <v>0</v>
      </c>
      <c r="V135" s="2013">
        <f ca="1">IFERROR(OFFSET(貼付け_2026実績,$A135,8),"")</f>
        <v>0</v>
      </c>
      <c r="W135" s="2013">
        <f ca="1">IFERROR(OFFSET(貼付け_2027実績,$A135,8),"")</f>
        <v>0</v>
      </c>
      <c r="X135" s="2111"/>
      <c r="Y135" s="2111"/>
      <c r="Z135" s="2111"/>
      <c r="AA135" s="2111"/>
      <c r="AB135" s="2111"/>
      <c r="AC135" s="2111"/>
      <c r="AD135" s="2111"/>
      <c r="AE135" s="2111"/>
      <c r="AF135" s="2111"/>
      <c r="AG135" s="2111"/>
      <c r="AH135" s="2111"/>
      <c r="AI135" s="2111"/>
      <c r="AJ135" s="2111"/>
      <c r="AK135" s="2111"/>
      <c r="AL135" s="2111"/>
      <c r="AM135" s="2111"/>
      <c r="AN135" s="2111"/>
      <c r="AO135" s="2111"/>
      <c r="AP135" s="2111"/>
      <c r="AQ135" s="2111"/>
      <c r="AR135" s="2111"/>
      <c r="AS135" s="2111"/>
      <c r="AT135" s="2111"/>
      <c r="AU135" s="2111"/>
      <c r="AV135" s="2111"/>
      <c r="AW135" s="2111"/>
      <c r="AX135" s="2111"/>
      <c r="AY135" s="2111"/>
      <c r="AZ135" s="2111"/>
      <c r="BA135" s="2111"/>
      <c r="BB135" s="2111"/>
      <c r="BC135" s="2111"/>
      <c r="BD135" s="2111"/>
      <c r="BE135" s="2111"/>
      <c r="BF135" s="2111"/>
      <c r="BG135" s="2111"/>
      <c r="BH135" s="2111"/>
      <c r="BI135" s="2111"/>
      <c r="BJ135" s="2111"/>
      <c r="BK135" s="2111"/>
      <c r="BL135" s="2111"/>
      <c r="BM135" s="2111"/>
      <c r="BN135" s="2111"/>
      <c r="BO135" s="2111"/>
    </row>
    <row r="136" spans="1:67" ht="20.100000000000001" customHeight="1">
      <c r="A136" s="1842">
        <v>201</v>
      </c>
      <c r="B136" s="1854"/>
      <c r="C136" s="2119"/>
      <c r="D136" s="2122" t="s">
        <v>1042</v>
      </c>
      <c r="E136" s="1858" t="str">
        <f ca="1">OFFSET(A1_その他欄集計,5,13)</f>
        <v/>
      </c>
      <c r="F136" s="1849"/>
      <c r="G136" s="1858" t="str">
        <f ca="1">OFFSET(A1_その他欄集計,6,13)</f>
        <v/>
      </c>
      <c r="H136" s="2011">
        <f ca="1">IFERROR(OFFSET(貼付け_2024実績,$A136,15),"")</f>
        <v>0</v>
      </c>
      <c r="I136" s="2011">
        <f ca="1">IFERROR(OFFSET(貼付け_2025実績,$A136,15),"")</f>
        <v>0</v>
      </c>
      <c r="J136" s="2011">
        <f ca="1">IFERROR(OFFSET(貼付け_2026実績,$A136,15),"")</f>
        <v>0</v>
      </c>
      <c r="K136" s="2011">
        <f ca="1">IFERROR(OFFSET(貼付け_2027実績,$A136,15),"")</f>
        <v>0</v>
      </c>
      <c r="L136" s="2012">
        <f t="shared" ca="1" si="56"/>
        <v>0</v>
      </c>
      <c r="M136" s="2012">
        <f t="shared" ca="1" si="57"/>
        <v>0</v>
      </c>
      <c r="N136" s="2012">
        <f t="shared" ca="1" si="58"/>
        <v>0</v>
      </c>
      <c r="O136" s="2012">
        <f t="shared" ca="1" si="59"/>
        <v>0</v>
      </c>
      <c r="P136" s="2013">
        <f ca="1">IFERROR(OFFSET(貼付け_2024実績,$A136,18),"")</f>
        <v>0</v>
      </c>
      <c r="Q136" s="2013">
        <f ca="1">IFERROR(OFFSET(貼付け_2025実績,$A136,18),"")</f>
        <v>0</v>
      </c>
      <c r="R136" s="2013">
        <f ca="1">IFERROR(OFFSET(貼付け_2026実績,$A136,18),"")</f>
        <v>0</v>
      </c>
      <c r="S136" s="2013">
        <f ca="1">IFERROR(OFFSET(貼付け_2027実績,$A136,18),"")</f>
        <v>0</v>
      </c>
      <c r="T136" s="2013">
        <f ca="1">IFERROR(OFFSET(貼付け_2024実績,$A136,19),"")</f>
        <v>0</v>
      </c>
      <c r="U136" s="2013">
        <f ca="1">IFERROR(OFFSET(貼付け_2025実績,$A136,19),"")</f>
        <v>0</v>
      </c>
      <c r="V136" s="2013">
        <f ca="1">IFERROR(OFFSET(貼付け_2026実績,$A136,19),"")</f>
        <v>0</v>
      </c>
      <c r="W136" s="2013">
        <f ca="1">IFERROR(OFFSET(貼付け_2027実績,$A136,19),"")</f>
        <v>0</v>
      </c>
      <c r="X136" s="2111"/>
      <c r="Y136" s="2111"/>
      <c r="Z136" s="2111"/>
      <c r="AA136" s="2111"/>
      <c r="AB136" s="2111"/>
      <c r="AC136" s="2111"/>
      <c r="AD136" s="2111"/>
      <c r="AE136" s="2111"/>
      <c r="AF136" s="2111"/>
      <c r="AG136" s="2111"/>
      <c r="AH136" s="2111"/>
      <c r="AI136" s="2111"/>
      <c r="AJ136" s="2111"/>
      <c r="AK136" s="2111"/>
      <c r="AL136" s="2111"/>
      <c r="AM136" s="2111"/>
      <c r="AN136" s="2111"/>
      <c r="AO136" s="2111"/>
      <c r="AP136" s="2111"/>
      <c r="AQ136" s="2111"/>
      <c r="AR136" s="2111"/>
      <c r="AS136" s="2111"/>
      <c r="AT136" s="2111"/>
      <c r="AU136" s="2111"/>
      <c r="AV136" s="2111"/>
      <c r="AW136" s="2111"/>
      <c r="AX136" s="2111"/>
      <c r="AY136" s="2111"/>
      <c r="AZ136" s="2111"/>
      <c r="BA136" s="2111"/>
      <c r="BB136" s="2111"/>
      <c r="BC136" s="2111"/>
      <c r="BD136" s="2111"/>
      <c r="BE136" s="2111"/>
      <c r="BF136" s="2111"/>
      <c r="BG136" s="2111"/>
      <c r="BH136" s="2111"/>
      <c r="BI136" s="2111"/>
      <c r="BJ136" s="2111"/>
      <c r="BK136" s="2111"/>
      <c r="BL136" s="2111"/>
      <c r="BM136" s="2111"/>
      <c r="BN136" s="2111"/>
      <c r="BO136" s="2111"/>
    </row>
    <row r="137" spans="1:67" ht="20.100000000000001" customHeight="1">
      <c r="A137" s="1842">
        <v>72</v>
      </c>
      <c r="B137" s="1846" t="s">
        <v>964</v>
      </c>
      <c r="C137" s="1870" t="s">
        <v>965</v>
      </c>
      <c r="D137" s="1871"/>
      <c r="E137" s="1856"/>
      <c r="F137" s="1863"/>
      <c r="G137" s="2010" t="s">
        <v>1043</v>
      </c>
      <c r="H137" s="2011">
        <f ca="1">IFERROR(OFFSET(貼付け_2024実績,$A137,5),"")</f>
        <v>8.64</v>
      </c>
      <c r="I137" s="2011">
        <f ca="1">IFERROR(OFFSET(貼付け_2025実績,$A137,5),"")</f>
        <v>8.64</v>
      </c>
      <c r="J137" s="2011">
        <f ca="1">IFERROR(OFFSET(貼付け_2026実績,$A137,5),"")</f>
        <v>8.64</v>
      </c>
      <c r="K137" s="2011">
        <f ca="1">IFERROR(OFFSET(貼付け_2027実績,$A137,5),"")</f>
        <v>8.64</v>
      </c>
      <c r="L137" s="2012">
        <f t="shared" ca="1" si="56"/>
        <v>0</v>
      </c>
      <c r="M137" s="2012">
        <f t="shared" ca="1" si="57"/>
        <v>0</v>
      </c>
      <c r="N137" s="2012">
        <f t="shared" ca="1" si="58"/>
        <v>0</v>
      </c>
      <c r="O137" s="2012">
        <f t="shared" ca="1" si="59"/>
        <v>0</v>
      </c>
      <c r="P137" s="2013">
        <f ca="1">IFERROR(OFFSET(貼付け_2024実績,$A137,7),"")</f>
        <v>0</v>
      </c>
      <c r="Q137" s="2013">
        <f ca="1">IFERROR(OFFSET(貼付け_2025実績,$A137,7),"")</f>
        <v>0</v>
      </c>
      <c r="R137" s="2013">
        <f ca="1">IFERROR(OFFSET(貼付け_2026実績,$A137,7),"")</f>
        <v>0</v>
      </c>
      <c r="S137" s="2013">
        <f ca="1">IFERROR(OFFSET(貼付け_2027実績,$A137,7),"")</f>
        <v>0</v>
      </c>
      <c r="T137" s="2013">
        <f ca="1">IFERROR(OFFSET(貼付け_2024実績,$A137,8),"")</f>
        <v>0</v>
      </c>
      <c r="U137" s="2013">
        <f ca="1">IFERROR(OFFSET(貼付け_2025実績,$A137,8),"")</f>
        <v>0</v>
      </c>
      <c r="V137" s="2013">
        <f ca="1">IFERROR(OFFSET(貼付け_2026実績,$A137,8),"")</f>
        <v>0</v>
      </c>
      <c r="W137" s="2013">
        <f ca="1">IFERROR(OFFSET(貼付け_2027実績,$A137,8),"")</f>
        <v>0</v>
      </c>
      <c r="X137" s="2111"/>
      <c r="Y137" s="2111"/>
      <c r="Z137" s="2111"/>
      <c r="AA137" s="2111"/>
      <c r="AB137" s="2111"/>
      <c r="AC137" s="2111"/>
      <c r="AD137" s="2111"/>
      <c r="AE137" s="2111"/>
      <c r="AF137" s="2111"/>
      <c r="AG137" s="2111"/>
      <c r="AH137" s="2111"/>
      <c r="AI137" s="2111"/>
      <c r="AJ137" s="2111"/>
      <c r="AK137" s="2111"/>
      <c r="AL137" s="2111"/>
      <c r="AM137" s="2111"/>
      <c r="AN137" s="2111"/>
      <c r="AO137" s="2111"/>
      <c r="AP137" s="2111"/>
      <c r="AQ137" s="2111"/>
      <c r="AR137" s="2111"/>
      <c r="AS137" s="2111"/>
      <c r="AT137" s="2111"/>
      <c r="AU137" s="2111"/>
      <c r="AV137" s="2111"/>
      <c r="AW137" s="2111"/>
      <c r="AX137" s="2111"/>
      <c r="AY137" s="2111"/>
      <c r="AZ137" s="2111"/>
      <c r="BA137" s="2111"/>
      <c r="BB137" s="2111"/>
      <c r="BC137" s="2111"/>
      <c r="BD137" s="2111"/>
      <c r="BE137" s="2111"/>
      <c r="BF137" s="2111"/>
      <c r="BG137" s="2111"/>
      <c r="BH137" s="2111"/>
      <c r="BI137" s="2111"/>
      <c r="BJ137" s="2111"/>
      <c r="BK137" s="2111"/>
      <c r="BL137" s="2111"/>
      <c r="BM137" s="2111"/>
      <c r="BN137" s="2111"/>
      <c r="BO137" s="2111"/>
    </row>
    <row r="138" spans="1:67" ht="20.100000000000001" customHeight="1">
      <c r="A138" s="1842">
        <v>74</v>
      </c>
      <c r="B138" s="1854"/>
      <c r="C138" s="2016" t="s">
        <v>967</v>
      </c>
      <c r="D138" s="1864" t="s">
        <v>968</v>
      </c>
      <c r="E138" s="1848"/>
      <c r="F138" s="1863"/>
      <c r="G138" s="2010" t="s">
        <v>1043</v>
      </c>
      <c r="H138" s="2011">
        <f ca="1">IFERROR(OFFSET(貼付け_2024実績,$A138,5),"")</f>
        <v>3.6</v>
      </c>
      <c r="I138" s="2011">
        <f ca="1">IFERROR(OFFSET(貼付け_2025実績,$A138,5),"")</f>
        <v>3.6</v>
      </c>
      <c r="J138" s="2011">
        <f ca="1">IFERROR(OFFSET(貼付け_2026実績,$A138,5),"")</f>
        <v>3.6</v>
      </c>
      <c r="K138" s="2011">
        <f ca="1">IFERROR(OFFSET(貼付け_2027実績,$A138,5),"")</f>
        <v>3.6</v>
      </c>
      <c r="L138" s="2012">
        <f t="shared" ca="1" si="56"/>
        <v>0</v>
      </c>
      <c r="M138" s="2012">
        <f t="shared" ca="1" si="57"/>
        <v>0</v>
      </c>
      <c r="N138" s="2012">
        <f t="shared" ca="1" si="58"/>
        <v>0</v>
      </c>
      <c r="O138" s="2012">
        <f t="shared" ca="1" si="59"/>
        <v>0</v>
      </c>
      <c r="P138" s="2013">
        <f ca="1">IFERROR(OFFSET(貼付け_2024実績,$A138,7),"")</f>
        <v>0</v>
      </c>
      <c r="Q138" s="2013">
        <f ca="1">IFERROR(OFFSET(貼付け_2025実績,$A138,7),"")</f>
        <v>0</v>
      </c>
      <c r="R138" s="2013">
        <f ca="1">IFERROR(OFFSET(貼付け_2026実績,$A138,7),"")</f>
        <v>0</v>
      </c>
      <c r="S138" s="2013">
        <f ca="1">IFERROR(OFFSET(貼付け_2027実績,$A138,7),"")</f>
        <v>0</v>
      </c>
      <c r="T138" s="2013">
        <f ca="1">IFERROR(OFFSET(貼付け_2024実績,$A138,8),"")</f>
        <v>0</v>
      </c>
      <c r="U138" s="2013">
        <f ca="1">IFERROR(OFFSET(貼付け_2025実績,$A138,8),"")</f>
        <v>0</v>
      </c>
      <c r="V138" s="2013">
        <f ca="1">IFERROR(OFFSET(貼付け_2026実績,$A138,8),"")</f>
        <v>0</v>
      </c>
      <c r="W138" s="2013">
        <f ca="1">IFERROR(OFFSET(貼付け_2027実績,$A138,8),"")</f>
        <v>0</v>
      </c>
      <c r="X138" s="2111"/>
      <c r="Y138" s="2111"/>
      <c r="Z138" s="2111"/>
      <c r="AA138" s="2111"/>
      <c r="AB138" s="2111"/>
      <c r="AC138" s="2111"/>
      <c r="AD138" s="2111"/>
      <c r="AE138" s="2111"/>
      <c r="AF138" s="2111"/>
      <c r="AG138" s="2111"/>
      <c r="AH138" s="2111"/>
      <c r="AI138" s="2111"/>
      <c r="AJ138" s="2111"/>
      <c r="AK138" s="2111"/>
      <c r="AL138" s="2111"/>
      <c r="AM138" s="2111"/>
      <c r="AN138" s="2111"/>
      <c r="AO138" s="2111"/>
      <c r="AP138" s="2111"/>
      <c r="AQ138" s="2111"/>
      <c r="AR138" s="2111"/>
      <c r="AS138" s="2111"/>
      <c r="AT138" s="2111"/>
      <c r="AU138" s="2111"/>
      <c r="AV138" s="2111"/>
      <c r="AW138" s="2111"/>
      <c r="AX138" s="2111"/>
      <c r="AY138" s="2111"/>
      <c r="AZ138" s="2111"/>
      <c r="BA138" s="2111"/>
      <c r="BB138" s="2111"/>
      <c r="BC138" s="2111"/>
      <c r="BD138" s="2111"/>
      <c r="BE138" s="2111"/>
      <c r="BF138" s="2111"/>
      <c r="BG138" s="2111"/>
      <c r="BH138" s="2111"/>
      <c r="BI138" s="2111"/>
      <c r="BJ138" s="2111"/>
      <c r="BK138" s="2111"/>
      <c r="BL138" s="2111"/>
      <c r="BM138" s="2111"/>
      <c r="BN138" s="2111"/>
      <c r="BO138" s="2111"/>
    </row>
    <row r="139" spans="1:67" ht="20.100000000000001" customHeight="1">
      <c r="A139" s="1842">
        <v>76</v>
      </c>
      <c r="B139" s="1854"/>
      <c r="C139" s="2119"/>
      <c r="D139" s="1869" t="s">
        <v>969</v>
      </c>
      <c r="E139" s="1848"/>
      <c r="F139" s="1863"/>
      <c r="G139" s="2010" t="s">
        <v>1043</v>
      </c>
      <c r="H139" s="2011">
        <f ca="1">IFERROR(OFFSET(貼付け_2024実績,$A139,5),"")</f>
        <v>3.6</v>
      </c>
      <c r="I139" s="2011">
        <f ca="1">IFERROR(OFFSET(貼付け_2025実績,$A139,5),"")</f>
        <v>3.6</v>
      </c>
      <c r="J139" s="2011">
        <f ca="1">IFERROR(OFFSET(貼付け_2026実績,$A139,5),"")</f>
        <v>3.6</v>
      </c>
      <c r="K139" s="2011">
        <f ca="1">IFERROR(OFFSET(貼付け_2027実績,$A139,5),"")</f>
        <v>3.6</v>
      </c>
      <c r="L139" s="2012">
        <f t="shared" ca="1" si="56"/>
        <v>0</v>
      </c>
      <c r="M139" s="2012">
        <f t="shared" ca="1" si="57"/>
        <v>0</v>
      </c>
      <c r="N139" s="2012">
        <f t="shared" ca="1" si="58"/>
        <v>0</v>
      </c>
      <c r="O139" s="2012">
        <f t="shared" ca="1" si="59"/>
        <v>0</v>
      </c>
      <c r="P139" s="2013">
        <f ca="1">IFERROR(OFFSET(貼付け_2024実績,$A139,7),"")</f>
        <v>0</v>
      </c>
      <c r="Q139" s="2013">
        <f ca="1">IFERROR(OFFSET(貼付け_2025実績,$A139,7),"")</f>
        <v>0</v>
      </c>
      <c r="R139" s="2013">
        <f ca="1">IFERROR(OFFSET(貼付け_2026実績,$A139,7),"")</f>
        <v>0</v>
      </c>
      <c r="S139" s="2013">
        <f ca="1">IFERROR(OFFSET(貼付け_2027実績,$A139,7),"")</f>
        <v>0</v>
      </c>
      <c r="T139" s="2013">
        <f ca="1">IFERROR(OFFSET(貼付け_2024実績,$A139,8),"")</f>
        <v>0</v>
      </c>
      <c r="U139" s="2013">
        <f ca="1">IFERROR(OFFSET(貼付け_2025実績,$A139,8),"")</f>
        <v>0</v>
      </c>
      <c r="V139" s="2013">
        <f ca="1">IFERROR(OFFSET(貼付け_2026実績,$A139,8),"")</f>
        <v>0</v>
      </c>
      <c r="W139" s="2013">
        <f ca="1">IFERROR(OFFSET(貼付け_2027実績,$A139,8),"")</f>
        <v>0</v>
      </c>
      <c r="X139" s="2111"/>
      <c r="Y139" s="2111"/>
      <c r="Z139" s="2111"/>
      <c r="AA139" s="2111"/>
      <c r="AB139" s="2111"/>
      <c r="AC139" s="2111"/>
      <c r="AD139" s="2111"/>
      <c r="AE139" s="2111"/>
      <c r="AF139" s="2111"/>
      <c r="AG139" s="2111"/>
      <c r="AH139" s="2111"/>
      <c r="AI139" s="2111"/>
      <c r="AJ139" s="2111"/>
      <c r="AK139" s="2111"/>
      <c r="AL139" s="2111"/>
      <c r="AM139" s="2111"/>
      <c r="AN139" s="2111"/>
      <c r="AO139" s="2111"/>
      <c r="AP139" s="2111"/>
      <c r="AQ139" s="2111"/>
      <c r="AR139" s="2111"/>
      <c r="AS139" s="2111"/>
      <c r="AT139" s="2111"/>
      <c r="AU139" s="2111"/>
      <c r="AV139" s="2111"/>
      <c r="AW139" s="2111"/>
      <c r="AX139" s="2111"/>
      <c r="AY139" s="2111"/>
      <c r="AZ139" s="2111"/>
      <c r="BA139" s="2111"/>
      <c r="BB139" s="2111"/>
      <c r="BC139" s="2111"/>
      <c r="BD139" s="2111"/>
      <c r="BE139" s="2111"/>
      <c r="BF139" s="2111"/>
      <c r="BG139" s="2111"/>
      <c r="BH139" s="2111"/>
      <c r="BI139" s="2111"/>
      <c r="BJ139" s="2111"/>
      <c r="BK139" s="2111"/>
      <c r="BL139" s="2111"/>
      <c r="BM139" s="2111"/>
      <c r="BN139" s="2111"/>
      <c r="BO139" s="2111"/>
    </row>
    <row r="140" spans="1:67" ht="20.100000000000001" customHeight="1">
      <c r="A140" s="1842">
        <v>202</v>
      </c>
      <c r="B140" s="1854"/>
      <c r="C140" s="2119"/>
      <c r="D140" s="2123" t="s">
        <v>970</v>
      </c>
      <c r="E140" s="1858" t="str">
        <f ca="1">OFFSET(A1_その他欄集計,12,13)</f>
        <v/>
      </c>
      <c r="F140" s="1860"/>
      <c r="G140" s="2010" t="s">
        <v>1043</v>
      </c>
      <c r="H140" s="2011">
        <f ca="1">IFERROR(OFFSET(貼付け_2024実績,$A140,15),"")</f>
        <v>0</v>
      </c>
      <c r="I140" s="2011">
        <f ca="1">IFERROR(OFFSET(貼付け_2025実績,$A140,15),"")</f>
        <v>0</v>
      </c>
      <c r="J140" s="2011">
        <f ca="1">IFERROR(OFFSET(貼付け_2026実績,$A140,15),"")</f>
        <v>0</v>
      </c>
      <c r="K140" s="2011">
        <f ca="1">IFERROR(OFFSET(貼付け_2027実績,$A140,15),"")</f>
        <v>0</v>
      </c>
      <c r="L140" s="2012">
        <f t="shared" ca="1" si="56"/>
        <v>0</v>
      </c>
      <c r="M140" s="2012">
        <f t="shared" ca="1" si="57"/>
        <v>0</v>
      </c>
      <c r="N140" s="2012">
        <f t="shared" ca="1" si="58"/>
        <v>0</v>
      </c>
      <c r="O140" s="2012">
        <f t="shared" ca="1" si="59"/>
        <v>0</v>
      </c>
      <c r="P140" s="2013">
        <f ca="1">IFERROR(OFFSET(貼付け_2024実績,$A140,18),"")</f>
        <v>0</v>
      </c>
      <c r="Q140" s="2013">
        <f ca="1">IFERROR(OFFSET(貼付け_2025実績,$A140,18),"")</f>
        <v>0</v>
      </c>
      <c r="R140" s="2013">
        <f ca="1">IFERROR(OFFSET(貼付け_2026実績,$A140,18),"")</f>
        <v>0</v>
      </c>
      <c r="S140" s="2013">
        <f ca="1">IFERROR(OFFSET(貼付け_2027実績,$A140,18),"")</f>
        <v>0</v>
      </c>
      <c r="T140" s="2013">
        <f ca="1">IFERROR(OFFSET(貼付け_2024実績,$A140,19),"")</f>
        <v>0</v>
      </c>
      <c r="U140" s="2013">
        <f ca="1">IFERROR(OFFSET(貼付け_2025実績,$A140,19),"")</f>
        <v>0</v>
      </c>
      <c r="V140" s="2013">
        <f ca="1">IFERROR(OFFSET(貼付け_2026実績,$A140,19),"")</f>
        <v>0</v>
      </c>
      <c r="W140" s="2013">
        <f ca="1">IFERROR(OFFSET(貼付け_2027実績,$A140,19),"")</f>
        <v>0</v>
      </c>
      <c r="X140" s="2111"/>
      <c r="Y140" s="2111"/>
      <c r="Z140" s="2111"/>
      <c r="AA140" s="2111"/>
      <c r="AB140" s="2111"/>
      <c r="AC140" s="2111"/>
      <c r="AD140" s="2111"/>
      <c r="AE140" s="2111"/>
      <c r="AF140" s="2111"/>
      <c r="AG140" s="2111"/>
      <c r="AH140" s="2111"/>
      <c r="AI140" s="2111"/>
      <c r="AJ140" s="2111"/>
      <c r="AK140" s="2111"/>
      <c r="AL140" s="2111"/>
      <c r="AM140" s="2111"/>
      <c r="AN140" s="2111"/>
      <c r="AO140" s="2111"/>
      <c r="AP140" s="2111"/>
      <c r="AQ140" s="2111"/>
      <c r="AR140" s="2111"/>
      <c r="AS140" s="2111"/>
      <c r="AT140" s="2111"/>
      <c r="AU140" s="2111"/>
      <c r="AV140" s="2111"/>
      <c r="AW140" s="2111"/>
      <c r="AX140" s="2111"/>
      <c r="AY140" s="2111"/>
      <c r="AZ140" s="2111"/>
      <c r="BA140" s="2111"/>
      <c r="BB140" s="2111"/>
      <c r="BC140" s="2111"/>
      <c r="BD140" s="2111"/>
      <c r="BE140" s="2111"/>
      <c r="BF140" s="2111"/>
      <c r="BG140" s="2111"/>
      <c r="BH140" s="2111"/>
      <c r="BI140" s="2111"/>
      <c r="BJ140" s="2111"/>
      <c r="BK140" s="2111"/>
      <c r="BL140" s="2111"/>
      <c r="BM140" s="2111"/>
      <c r="BN140" s="2111"/>
      <c r="BO140" s="2111"/>
    </row>
    <row r="141" spans="1:67" ht="20.100000000000001" customHeight="1">
      <c r="A141" s="1842">
        <v>203</v>
      </c>
      <c r="B141" s="1854"/>
      <c r="C141" s="2121"/>
      <c r="D141" s="2124" t="s">
        <v>972</v>
      </c>
      <c r="E141" s="1858" t="str">
        <f ca="1">OFFSET(A1_その他欄集計,13,13)</f>
        <v/>
      </c>
      <c r="F141" s="1860"/>
      <c r="G141" s="2010" t="s">
        <v>1043</v>
      </c>
      <c r="H141" s="2011">
        <f ca="1">IFERROR(OFFSET(貼付け_2024実績,$A141,15),"")</f>
        <v>0</v>
      </c>
      <c r="I141" s="2011">
        <f ca="1">IFERROR(OFFSET(貼付け_2025実績,$A141,15),"")</f>
        <v>0</v>
      </c>
      <c r="J141" s="2011">
        <f ca="1">IFERROR(OFFSET(貼付け_2026実績,$A141,15),"")</f>
        <v>0</v>
      </c>
      <c r="K141" s="2011">
        <f ca="1">IFERROR(OFFSET(貼付け_2027実績,$A141,15),"")</f>
        <v>0</v>
      </c>
      <c r="L141" s="2012">
        <f t="shared" ca="1" si="56"/>
        <v>0</v>
      </c>
      <c r="M141" s="2012">
        <f t="shared" ca="1" si="57"/>
        <v>0</v>
      </c>
      <c r="N141" s="2012">
        <f t="shared" ca="1" si="58"/>
        <v>0</v>
      </c>
      <c r="O141" s="2012">
        <f t="shared" ca="1" si="59"/>
        <v>0</v>
      </c>
      <c r="P141" s="2013">
        <f ca="1">IFERROR(OFFSET(貼付け_2024実績,$A141,18),"")</f>
        <v>0</v>
      </c>
      <c r="Q141" s="2013">
        <f ca="1">IFERROR(OFFSET(貼付け_2025実績,$A141,18),"")</f>
        <v>0</v>
      </c>
      <c r="R141" s="2013">
        <f ca="1">IFERROR(OFFSET(貼付け_2026実績,$A141,18),"")</f>
        <v>0</v>
      </c>
      <c r="S141" s="2013">
        <f ca="1">IFERROR(OFFSET(貼付け_2027実績,$A141,18),"")</f>
        <v>0</v>
      </c>
      <c r="T141" s="2013">
        <f ca="1">IFERROR(OFFSET(貼付け_2024実績,$A141,19),"")</f>
        <v>0</v>
      </c>
      <c r="U141" s="2013">
        <f ca="1">IFERROR(OFFSET(貼付け_2025実績,$A141,19),"")</f>
        <v>0</v>
      </c>
      <c r="V141" s="2013">
        <f ca="1">IFERROR(OFFSET(貼付け_2026実績,$A141,19),"")</f>
        <v>0</v>
      </c>
      <c r="W141" s="2013">
        <f ca="1">IFERROR(OFFSET(貼付け_2027実績,$A141,19),"")</f>
        <v>0</v>
      </c>
      <c r="X141" s="2111"/>
      <c r="Y141" s="2111"/>
      <c r="Z141" s="2111"/>
      <c r="AA141" s="2111"/>
      <c r="AB141" s="2111"/>
      <c r="AC141" s="2111"/>
      <c r="AD141" s="2111"/>
      <c r="AE141" s="2111"/>
      <c r="AF141" s="2111"/>
      <c r="AG141" s="2111"/>
      <c r="AH141" s="2111"/>
      <c r="AI141" s="2111"/>
      <c r="AJ141" s="2111"/>
      <c r="AK141" s="2111"/>
      <c r="AL141" s="2111"/>
      <c r="AM141" s="2111"/>
      <c r="AN141" s="2111"/>
      <c r="AO141" s="2111"/>
      <c r="AP141" s="2111"/>
      <c r="AQ141" s="2111"/>
      <c r="AR141" s="2111"/>
      <c r="AS141" s="2111"/>
      <c r="AT141" s="2111"/>
      <c r="AU141" s="2111"/>
      <c r="AV141" s="2111"/>
      <c r="AW141" s="2111"/>
      <c r="AX141" s="2111"/>
      <c r="AY141" s="2111"/>
      <c r="AZ141" s="2111"/>
      <c r="BA141" s="2111"/>
      <c r="BB141" s="2111"/>
      <c r="BC141" s="2111"/>
      <c r="BD141" s="2111"/>
      <c r="BE141" s="2111"/>
      <c r="BF141" s="2111"/>
      <c r="BG141" s="2111"/>
      <c r="BH141" s="2111"/>
      <c r="BI141" s="2111"/>
      <c r="BJ141" s="2111"/>
      <c r="BK141" s="2111"/>
      <c r="BL141" s="2111"/>
      <c r="BM141" s="2111"/>
      <c r="BN141" s="2111"/>
      <c r="BO141" s="2111"/>
    </row>
    <row r="142" spans="1:67" ht="20.100000000000001" customHeight="1">
      <c r="A142" s="1842">
        <v>83</v>
      </c>
      <c r="B142" s="1854"/>
      <c r="C142" s="2016" t="s">
        <v>973</v>
      </c>
      <c r="D142" s="1869" t="s">
        <v>1556</v>
      </c>
      <c r="E142" s="1848"/>
      <c r="F142" s="1875"/>
      <c r="G142" s="2010" t="s">
        <v>1043</v>
      </c>
      <c r="H142" s="2011">
        <f ca="1">IFERROR(OFFSET(貼付け_2024実績,$A142,5),"")</f>
        <v>3.6</v>
      </c>
      <c r="I142" s="2011">
        <f ca="1">IFERROR(OFFSET(貼付け_2025実績,$A142,5),"")</f>
        <v>3.6</v>
      </c>
      <c r="J142" s="2011">
        <f ca="1">IFERROR(OFFSET(貼付け_2026実績,$A142,5),"")</f>
        <v>3.6</v>
      </c>
      <c r="K142" s="2011">
        <f ca="1">IFERROR(OFFSET(貼付け_2027実績,$A142,5),"")</f>
        <v>3.6</v>
      </c>
      <c r="L142" s="2012">
        <f t="shared" ca="1" si="56"/>
        <v>0</v>
      </c>
      <c r="M142" s="2012">
        <f t="shared" ca="1" si="57"/>
        <v>0</v>
      </c>
      <c r="N142" s="2012">
        <f t="shared" ca="1" si="58"/>
        <v>0</v>
      </c>
      <c r="O142" s="2012">
        <f t="shared" ca="1" si="59"/>
        <v>0</v>
      </c>
      <c r="P142" s="2013">
        <f t="shared" ref="P142:P149" ca="1" si="72">IFERROR(OFFSET(貼付け_2024実績,$A142,7),"")</f>
        <v>0</v>
      </c>
      <c r="Q142" s="2013">
        <f t="shared" ref="Q142:Q149" ca="1" si="73">IFERROR(OFFSET(貼付け_2025実績,$A142,7),"")</f>
        <v>0</v>
      </c>
      <c r="R142" s="2013">
        <f t="shared" ref="R142:R149" ca="1" si="74">IFERROR(OFFSET(貼付け_2026実績,$A142,7),"")</f>
        <v>0</v>
      </c>
      <c r="S142" s="2013">
        <f t="shared" ref="S142:S149" ca="1" si="75">IFERROR(OFFSET(貼付け_2027実績,$A142,7),"")</f>
        <v>0</v>
      </c>
      <c r="T142" s="2013">
        <f t="shared" ref="T142:T149" ca="1" si="76">IFERROR(OFFSET(貼付け_2024実績,$A142,8),"")</f>
        <v>0</v>
      </c>
      <c r="U142" s="2013">
        <f t="shared" ref="U142:U149" ca="1" si="77">IFERROR(OFFSET(貼付け_2025実績,$A142,8),"")</f>
        <v>0</v>
      </c>
      <c r="V142" s="2013">
        <f t="shared" ref="V142:V149" ca="1" si="78">IFERROR(OFFSET(貼付け_2026実績,$A142,8),"")</f>
        <v>0</v>
      </c>
      <c r="W142" s="2013">
        <f t="shared" ref="W142:W149" ca="1" si="79">IFERROR(OFFSET(貼付け_2027実績,$A142,8),"")</f>
        <v>0</v>
      </c>
      <c r="X142" s="2111"/>
      <c r="Y142" s="2111"/>
      <c r="Z142" s="2111"/>
      <c r="AA142" s="2111"/>
      <c r="AB142" s="2111"/>
      <c r="AC142" s="2111"/>
      <c r="AD142" s="2111"/>
      <c r="AE142" s="2111"/>
      <c r="AF142" s="2111"/>
      <c r="AG142" s="2111"/>
      <c r="AH142" s="2111"/>
      <c r="AI142" s="2111"/>
      <c r="AJ142" s="2111"/>
      <c r="AK142" s="2111"/>
      <c r="AL142" s="2111"/>
      <c r="AM142" s="2111"/>
      <c r="AN142" s="2111"/>
      <c r="AO142" s="2111"/>
      <c r="AP142" s="2111"/>
      <c r="AQ142" s="2111"/>
      <c r="AR142" s="2111"/>
      <c r="AS142" s="2111"/>
      <c r="AT142" s="2111"/>
      <c r="AU142" s="2111"/>
      <c r="AV142" s="2111"/>
      <c r="AW142" s="2111"/>
      <c r="AX142" s="2111"/>
      <c r="AY142" s="2111"/>
      <c r="AZ142" s="2111"/>
      <c r="BA142" s="2111"/>
      <c r="BB142" s="2111"/>
      <c r="BC142" s="2111"/>
      <c r="BD142" s="2111"/>
      <c r="BE142" s="2111"/>
      <c r="BF142" s="2111"/>
      <c r="BG142" s="2111"/>
      <c r="BH142" s="2111"/>
      <c r="BI142" s="2111"/>
      <c r="BJ142" s="2111"/>
      <c r="BK142" s="2111"/>
      <c r="BL142" s="2111"/>
      <c r="BM142" s="2111"/>
      <c r="BN142" s="2111"/>
      <c r="BO142" s="2111"/>
    </row>
    <row r="143" spans="1:67" ht="20.100000000000001" customHeight="1">
      <c r="A143" s="1842">
        <v>84</v>
      </c>
      <c r="B143" s="1854"/>
      <c r="C143" s="2119"/>
      <c r="D143" s="1869" t="s">
        <v>1556</v>
      </c>
      <c r="E143" s="1848"/>
      <c r="F143" s="1875"/>
      <c r="G143" s="2010" t="s">
        <v>1044</v>
      </c>
      <c r="H143" s="2064"/>
      <c r="I143" s="2064"/>
      <c r="J143" s="2064"/>
      <c r="K143" s="2064"/>
      <c r="L143" s="2012">
        <f t="shared" ca="1" si="56"/>
        <v>0</v>
      </c>
      <c r="M143" s="2012">
        <f t="shared" ca="1" si="57"/>
        <v>0</v>
      </c>
      <c r="N143" s="2012">
        <f t="shared" ca="1" si="58"/>
        <v>0</v>
      </c>
      <c r="O143" s="2012">
        <f t="shared" ca="1" si="59"/>
        <v>0</v>
      </c>
      <c r="P143" s="2013">
        <f t="shared" ca="1" si="72"/>
        <v>0</v>
      </c>
      <c r="Q143" s="2013">
        <f t="shared" ca="1" si="73"/>
        <v>0</v>
      </c>
      <c r="R143" s="2013">
        <f t="shared" ca="1" si="74"/>
        <v>0</v>
      </c>
      <c r="S143" s="2013">
        <f t="shared" ca="1" si="75"/>
        <v>0</v>
      </c>
      <c r="T143" s="2013">
        <f t="shared" ca="1" si="76"/>
        <v>0</v>
      </c>
      <c r="U143" s="2013">
        <f t="shared" ca="1" si="77"/>
        <v>0</v>
      </c>
      <c r="V143" s="2013">
        <f t="shared" ca="1" si="78"/>
        <v>0</v>
      </c>
      <c r="W143" s="2013">
        <f t="shared" ca="1" si="79"/>
        <v>0</v>
      </c>
      <c r="X143" s="2111"/>
      <c r="Y143" s="2111"/>
      <c r="Z143" s="2111"/>
      <c r="AA143" s="2111"/>
      <c r="AB143" s="2111"/>
      <c r="AC143" s="2111"/>
      <c r="AD143" s="2111"/>
      <c r="AE143" s="2111"/>
      <c r="AF143" s="2111"/>
      <c r="AG143" s="2111"/>
      <c r="AH143" s="2111"/>
      <c r="AI143" s="2111"/>
      <c r="AJ143" s="2111"/>
      <c r="AK143" s="2111"/>
      <c r="AL143" s="2111"/>
      <c r="AM143" s="2111"/>
      <c r="AN143" s="2111"/>
      <c r="AO143" s="2111"/>
      <c r="AP143" s="2111"/>
      <c r="AQ143" s="2111"/>
      <c r="AR143" s="2111"/>
      <c r="AS143" s="2111"/>
      <c r="AT143" s="2111"/>
      <c r="AU143" s="2111"/>
      <c r="AV143" s="2111"/>
      <c r="AW143" s="2111"/>
      <c r="AX143" s="2111"/>
      <c r="AY143" s="2111"/>
      <c r="AZ143" s="2111"/>
      <c r="BA143" s="2111"/>
      <c r="BB143" s="2111"/>
      <c r="BC143" s="2111"/>
      <c r="BD143" s="2111"/>
      <c r="BE143" s="2111"/>
      <c r="BF143" s="2111"/>
      <c r="BG143" s="2111"/>
      <c r="BH143" s="2111"/>
      <c r="BI143" s="2111"/>
      <c r="BJ143" s="2111"/>
      <c r="BK143" s="2111"/>
      <c r="BL143" s="2111"/>
      <c r="BM143" s="2111"/>
      <c r="BN143" s="2111"/>
      <c r="BO143" s="2111"/>
    </row>
    <row r="144" spans="1:67" ht="20.100000000000001" customHeight="1">
      <c r="A144" s="1842">
        <v>85</v>
      </c>
      <c r="B144" s="1854"/>
      <c r="C144" s="2119"/>
      <c r="D144" s="1869" t="s">
        <v>1557</v>
      </c>
      <c r="E144" s="1848"/>
      <c r="F144" s="1875"/>
      <c r="G144" s="2010" t="s">
        <v>1043</v>
      </c>
      <c r="H144" s="2011">
        <f ca="1">IFERROR(OFFSET(貼付け_2024実績,$A144,5),"")</f>
        <v>3.6</v>
      </c>
      <c r="I144" s="2011">
        <f ca="1">IFERROR(OFFSET(貼付け_2025実績,$A144,5),"")</f>
        <v>3.6</v>
      </c>
      <c r="J144" s="2011">
        <f ca="1">IFERROR(OFFSET(貼付け_2026実績,$A144,5),"")</f>
        <v>3.6</v>
      </c>
      <c r="K144" s="2011">
        <f ca="1">IFERROR(OFFSET(貼付け_2027実績,$A144,5),"")</f>
        <v>3.6</v>
      </c>
      <c r="L144" s="2012">
        <f t="shared" ca="1" si="56"/>
        <v>0</v>
      </c>
      <c r="M144" s="2012">
        <f t="shared" ca="1" si="57"/>
        <v>0</v>
      </c>
      <c r="N144" s="2012">
        <f t="shared" ca="1" si="58"/>
        <v>0</v>
      </c>
      <c r="O144" s="2012">
        <f t="shared" ca="1" si="59"/>
        <v>0</v>
      </c>
      <c r="P144" s="2013">
        <f t="shared" ca="1" si="72"/>
        <v>0</v>
      </c>
      <c r="Q144" s="2013">
        <f t="shared" ca="1" si="73"/>
        <v>0</v>
      </c>
      <c r="R144" s="2013">
        <f t="shared" ca="1" si="74"/>
        <v>0</v>
      </c>
      <c r="S144" s="2013">
        <f t="shared" ca="1" si="75"/>
        <v>0</v>
      </c>
      <c r="T144" s="2013">
        <f t="shared" ca="1" si="76"/>
        <v>0</v>
      </c>
      <c r="U144" s="2013">
        <f t="shared" ca="1" si="77"/>
        <v>0</v>
      </c>
      <c r="V144" s="2013">
        <f t="shared" ca="1" si="78"/>
        <v>0</v>
      </c>
      <c r="W144" s="2013">
        <f t="shared" ca="1" si="79"/>
        <v>0</v>
      </c>
      <c r="X144" s="2111"/>
      <c r="Y144" s="2111"/>
      <c r="Z144" s="2111"/>
      <c r="AA144" s="2111"/>
      <c r="AB144" s="2111"/>
      <c r="AC144" s="2111"/>
      <c r="AD144" s="2111"/>
      <c r="AE144" s="2111"/>
      <c r="AF144" s="2111"/>
      <c r="AG144" s="2111"/>
      <c r="AH144" s="2111"/>
      <c r="AI144" s="2111"/>
      <c r="AJ144" s="2111"/>
      <c r="AK144" s="2111"/>
      <c r="AL144" s="2111"/>
      <c r="AM144" s="2111"/>
      <c r="AN144" s="2111"/>
      <c r="AO144" s="2111"/>
      <c r="AP144" s="2111"/>
      <c r="AQ144" s="2111"/>
      <c r="AR144" s="2111"/>
      <c r="AS144" s="2111"/>
      <c r="AT144" s="2111"/>
      <c r="AU144" s="2111"/>
      <c r="AV144" s="2111"/>
      <c r="AW144" s="2111"/>
      <c r="AX144" s="2111"/>
      <c r="AY144" s="2111"/>
      <c r="AZ144" s="2111"/>
      <c r="BA144" s="2111"/>
      <c r="BB144" s="2111"/>
      <c r="BC144" s="2111"/>
      <c r="BD144" s="2111"/>
      <c r="BE144" s="2111"/>
      <c r="BF144" s="2111"/>
      <c r="BG144" s="2111"/>
      <c r="BH144" s="2111"/>
      <c r="BI144" s="2111"/>
      <c r="BJ144" s="2111"/>
      <c r="BK144" s="2111"/>
      <c r="BL144" s="2111"/>
      <c r="BM144" s="2111"/>
      <c r="BN144" s="2111"/>
      <c r="BO144" s="2111"/>
    </row>
    <row r="145" spans="1:67" ht="20.100000000000001" customHeight="1">
      <c r="A145" s="1842">
        <v>86</v>
      </c>
      <c r="B145" s="1854"/>
      <c r="C145" s="2119"/>
      <c r="D145" s="1869" t="s">
        <v>1557</v>
      </c>
      <c r="E145" s="1848"/>
      <c r="F145" s="1875"/>
      <c r="G145" s="2010" t="s">
        <v>1044</v>
      </c>
      <c r="H145" s="2064"/>
      <c r="I145" s="2064"/>
      <c r="J145" s="2064"/>
      <c r="K145" s="2064"/>
      <c r="L145" s="2012">
        <f t="shared" ca="1" si="56"/>
        <v>0</v>
      </c>
      <c r="M145" s="2012">
        <f t="shared" ca="1" si="57"/>
        <v>0</v>
      </c>
      <c r="N145" s="2012">
        <f t="shared" ca="1" si="58"/>
        <v>0</v>
      </c>
      <c r="O145" s="2012">
        <f t="shared" ca="1" si="59"/>
        <v>0</v>
      </c>
      <c r="P145" s="2013">
        <f t="shared" ca="1" si="72"/>
        <v>0</v>
      </c>
      <c r="Q145" s="2013">
        <f t="shared" ca="1" si="73"/>
        <v>0</v>
      </c>
      <c r="R145" s="2013">
        <f t="shared" ca="1" si="74"/>
        <v>0</v>
      </c>
      <c r="S145" s="2013">
        <f t="shared" ca="1" si="75"/>
        <v>0</v>
      </c>
      <c r="T145" s="2013">
        <f t="shared" ca="1" si="76"/>
        <v>0</v>
      </c>
      <c r="U145" s="2013">
        <f t="shared" ca="1" si="77"/>
        <v>0</v>
      </c>
      <c r="V145" s="2013">
        <f t="shared" ca="1" si="78"/>
        <v>0</v>
      </c>
      <c r="W145" s="2013">
        <f t="shared" ca="1" si="79"/>
        <v>0</v>
      </c>
      <c r="X145" s="2111"/>
      <c r="Y145" s="2111"/>
      <c r="Z145" s="2111"/>
      <c r="AA145" s="2111"/>
      <c r="AB145" s="2111"/>
      <c r="AC145" s="2111"/>
      <c r="AD145" s="2111"/>
      <c r="AE145" s="2111"/>
      <c r="AF145" s="2111"/>
      <c r="AG145" s="2111"/>
      <c r="AH145" s="2111"/>
      <c r="AI145" s="2111"/>
      <c r="AJ145" s="2111"/>
      <c r="AK145" s="2111"/>
      <c r="AL145" s="2111"/>
      <c r="AM145" s="2111"/>
      <c r="AN145" s="2111"/>
      <c r="AO145" s="2111"/>
      <c r="AP145" s="2111"/>
      <c r="AQ145" s="2111"/>
      <c r="AR145" s="2111"/>
      <c r="AS145" s="2111"/>
      <c r="AT145" s="2111"/>
      <c r="AU145" s="2111"/>
      <c r="AV145" s="2111"/>
      <c r="AW145" s="2111"/>
      <c r="AX145" s="2111"/>
      <c r="AY145" s="2111"/>
      <c r="AZ145" s="2111"/>
      <c r="BA145" s="2111"/>
      <c r="BB145" s="2111"/>
      <c r="BC145" s="2111"/>
      <c r="BD145" s="2111"/>
      <c r="BE145" s="2111"/>
      <c r="BF145" s="2111"/>
      <c r="BG145" s="2111"/>
      <c r="BH145" s="2111"/>
      <c r="BI145" s="2111"/>
      <c r="BJ145" s="2111"/>
      <c r="BK145" s="2111"/>
      <c r="BL145" s="2111"/>
      <c r="BM145" s="2111"/>
      <c r="BN145" s="2111"/>
      <c r="BO145" s="2111"/>
    </row>
    <row r="146" spans="1:67" ht="20.100000000000001" customHeight="1">
      <c r="A146" s="1842">
        <v>87</v>
      </c>
      <c r="B146" s="1854"/>
      <c r="C146" s="2119"/>
      <c r="D146" s="1869" t="s">
        <v>958</v>
      </c>
      <c r="E146" s="1848"/>
      <c r="F146" s="1875"/>
      <c r="G146" s="2010" t="s">
        <v>1043</v>
      </c>
      <c r="H146" s="2011">
        <f ca="1">IFERROR(OFFSET(貼付け_2024実績,$A146,5),"")</f>
        <v>3.6</v>
      </c>
      <c r="I146" s="2011">
        <f ca="1">IFERROR(OFFSET(貼付け_2025実績,$A146,5),"")</f>
        <v>3.6</v>
      </c>
      <c r="J146" s="2011">
        <f ca="1">IFERROR(OFFSET(貼付け_2026実績,$A146,5),"")</f>
        <v>3.6</v>
      </c>
      <c r="K146" s="2011">
        <f ca="1">IFERROR(OFFSET(貼付け_2027実績,$A146,5),"")</f>
        <v>3.6</v>
      </c>
      <c r="L146" s="2012">
        <f t="shared" ca="1" si="56"/>
        <v>0</v>
      </c>
      <c r="M146" s="2012">
        <f t="shared" ca="1" si="57"/>
        <v>0</v>
      </c>
      <c r="N146" s="2012">
        <f t="shared" ca="1" si="58"/>
        <v>0</v>
      </c>
      <c r="O146" s="2012">
        <f t="shared" ca="1" si="59"/>
        <v>0</v>
      </c>
      <c r="P146" s="2013">
        <f t="shared" ca="1" si="72"/>
        <v>0</v>
      </c>
      <c r="Q146" s="2013">
        <f t="shared" ca="1" si="73"/>
        <v>0</v>
      </c>
      <c r="R146" s="2013">
        <f t="shared" ca="1" si="74"/>
        <v>0</v>
      </c>
      <c r="S146" s="2013">
        <f t="shared" ca="1" si="75"/>
        <v>0</v>
      </c>
      <c r="T146" s="2013">
        <f t="shared" ca="1" si="76"/>
        <v>0</v>
      </c>
      <c r="U146" s="2013">
        <f t="shared" ca="1" si="77"/>
        <v>0</v>
      </c>
      <c r="V146" s="2013">
        <f t="shared" ca="1" si="78"/>
        <v>0</v>
      </c>
      <c r="W146" s="2013">
        <f t="shared" ca="1" si="79"/>
        <v>0</v>
      </c>
      <c r="X146" s="2111"/>
      <c r="Y146" s="2111"/>
      <c r="Z146" s="2111"/>
      <c r="AA146" s="2111"/>
      <c r="AB146" s="2111"/>
      <c r="AC146" s="2111"/>
      <c r="AD146" s="2111"/>
      <c r="AE146" s="2111"/>
      <c r="AF146" s="2111"/>
      <c r="AG146" s="2111"/>
      <c r="AH146" s="2111"/>
      <c r="AI146" s="2111"/>
      <c r="AJ146" s="2111"/>
      <c r="AK146" s="2111"/>
      <c r="AL146" s="2111"/>
      <c r="AM146" s="2111"/>
      <c r="AN146" s="2111"/>
      <c r="AO146" s="2111"/>
      <c r="AP146" s="2111"/>
      <c r="AQ146" s="2111"/>
      <c r="AR146" s="2111"/>
      <c r="AS146" s="2111"/>
      <c r="AT146" s="2111"/>
      <c r="AU146" s="2111"/>
      <c r="AV146" s="2111"/>
      <c r="AW146" s="2111"/>
      <c r="AX146" s="2111"/>
      <c r="AY146" s="2111"/>
      <c r="AZ146" s="2111"/>
      <c r="BA146" s="2111"/>
      <c r="BB146" s="2111"/>
      <c r="BC146" s="2111"/>
      <c r="BD146" s="2111"/>
      <c r="BE146" s="2111"/>
      <c r="BF146" s="2111"/>
      <c r="BG146" s="2111"/>
      <c r="BH146" s="2111"/>
      <c r="BI146" s="2111"/>
      <c r="BJ146" s="2111"/>
      <c r="BK146" s="2111"/>
      <c r="BL146" s="2111"/>
      <c r="BM146" s="2111"/>
      <c r="BN146" s="2111"/>
      <c r="BO146" s="2111"/>
    </row>
    <row r="147" spans="1:67" ht="20.100000000000001" customHeight="1">
      <c r="A147" s="1842">
        <v>88</v>
      </c>
      <c r="B147" s="1854"/>
      <c r="C147" s="2119"/>
      <c r="D147" s="1869" t="s">
        <v>958</v>
      </c>
      <c r="E147" s="1848"/>
      <c r="F147" s="1875"/>
      <c r="G147" s="2010" t="s">
        <v>1044</v>
      </c>
      <c r="H147" s="2064"/>
      <c r="I147" s="2064"/>
      <c r="J147" s="2064"/>
      <c r="K147" s="2064"/>
      <c r="L147" s="2012">
        <f t="shared" ca="1" si="56"/>
        <v>0</v>
      </c>
      <c r="M147" s="2012">
        <f t="shared" ca="1" si="57"/>
        <v>0</v>
      </c>
      <c r="N147" s="2012">
        <f t="shared" ca="1" si="58"/>
        <v>0</v>
      </c>
      <c r="O147" s="2012">
        <f t="shared" ca="1" si="59"/>
        <v>0</v>
      </c>
      <c r="P147" s="2013">
        <f t="shared" ca="1" si="72"/>
        <v>0</v>
      </c>
      <c r="Q147" s="2013">
        <f t="shared" ca="1" si="73"/>
        <v>0</v>
      </c>
      <c r="R147" s="2013">
        <f t="shared" ca="1" si="74"/>
        <v>0</v>
      </c>
      <c r="S147" s="2013">
        <f t="shared" ca="1" si="75"/>
        <v>0</v>
      </c>
      <c r="T147" s="2013">
        <f t="shared" ca="1" si="76"/>
        <v>0</v>
      </c>
      <c r="U147" s="2013">
        <f t="shared" ca="1" si="77"/>
        <v>0</v>
      </c>
      <c r="V147" s="2013">
        <f t="shared" ca="1" si="78"/>
        <v>0</v>
      </c>
      <c r="W147" s="2013">
        <f t="shared" ca="1" si="79"/>
        <v>0</v>
      </c>
      <c r="X147" s="2111"/>
      <c r="Y147" s="2111"/>
      <c r="Z147" s="2111"/>
      <c r="AA147" s="2111"/>
      <c r="AB147" s="2111"/>
      <c r="AC147" s="2111"/>
      <c r="AD147" s="2111"/>
      <c r="AE147" s="2111"/>
      <c r="AF147" s="2111"/>
      <c r="AG147" s="2111"/>
      <c r="AH147" s="2111"/>
      <c r="AI147" s="2111"/>
      <c r="AJ147" s="2111"/>
      <c r="AK147" s="2111"/>
      <c r="AL147" s="2111"/>
      <c r="AM147" s="2111"/>
      <c r="AN147" s="2111"/>
      <c r="AO147" s="2111"/>
      <c r="AP147" s="2111"/>
      <c r="AQ147" s="2111"/>
      <c r="AR147" s="2111"/>
      <c r="AS147" s="2111"/>
      <c r="AT147" s="2111"/>
      <c r="AU147" s="2111"/>
      <c r="AV147" s="2111"/>
      <c r="AW147" s="2111"/>
      <c r="AX147" s="2111"/>
      <c r="AY147" s="2111"/>
      <c r="AZ147" s="2111"/>
      <c r="BA147" s="2111"/>
      <c r="BB147" s="2111"/>
      <c r="BC147" s="2111"/>
      <c r="BD147" s="2111"/>
      <c r="BE147" s="2111"/>
      <c r="BF147" s="2111"/>
      <c r="BG147" s="2111"/>
      <c r="BH147" s="2111"/>
      <c r="BI147" s="2111"/>
      <c r="BJ147" s="2111"/>
      <c r="BK147" s="2111"/>
      <c r="BL147" s="2111"/>
      <c r="BM147" s="2111"/>
      <c r="BN147" s="2111"/>
      <c r="BO147" s="2111"/>
    </row>
    <row r="148" spans="1:67" ht="20.100000000000001" customHeight="1">
      <c r="A148" s="1842">
        <v>89</v>
      </c>
      <c r="B148" s="1854"/>
      <c r="C148" s="2119"/>
      <c r="D148" s="1869" t="s">
        <v>1558</v>
      </c>
      <c r="E148" s="1848"/>
      <c r="F148" s="1875"/>
      <c r="G148" s="2010" t="s">
        <v>1043</v>
      </c>
      <c r="H148" s="2011">
        <f ca="1">IFERROR(OFFSET(貼付け_2024実績,$A148,5),"")</f>
        <v>3.6</v>
      </c>
      <c r="I148" s="2011">
        <f ca="1">IFERROR(OFFSET(貼付け_2025実績,$A148,5),"")</f>
        <v>3.6</v>
      </c>
      <c r="J148" s="2011">
        <f ca="1">IFERROR(OFFSET(貼付け_2026実績,$A148,5),"")</f>
        <v>3.6</v>
      </c>
      <c r="K148" s="2011">
        <f ca="1">IFERROR(OFFSET(貼付け_2027実績,$A148,5),"")</f>
        <v>3.6</v>
      </c>
      <c r="L148" s="2012">
        <f t="shared" ca="1" si="56"/>
        <v>0</v>
      </c>
      <c r="M148" s="2012">
        <f t="shared" ca="1" si="57"/>
        <v>0</v>
      </c>
      <c r="N148" s="2012">
        <f t="shared" ca="1" si="58"/>
        <v>0</v>
      </c>
      <c r="O148" s="2012">
        <f t="shared" ca="1" si="59"/>
        <v>0</v>
      </c>
      <c r="P148" s="2013">
        <f t="shared" ca="1" si="72"/>
        <v>0</v>
      </c>
      <c r="Q148" s="2013">
        <f t="shared" ca="1" si="73"/>
        <v>0</v>
      </c>
      <c r="R148" s="2013">
        <f t="shared" ca="1" si="74"/>
        <v>0</v>
      </c>
      <c r="S148" s="2013">
        <f t="shared" ca="1" si="75"/>
        <v>0</v>
      </c>
      <c r="T148" s="2013">
        <f t="shared" ca="1" si="76"/>
        <v>0</v>
      </c>
      <c r="U148" s="2013">
        <f t="shared" ca="1" si="77"/>
        <v>0</v>
      </c>
      <c r="V148" s="2013">
        <f t="shared" ca="1" si="78"/>
        <v>0</v>
      </c>
      <c r="W148" s="2013">
        <f t="shared" ca="1" si="79"/>
        <v>0</v>
      </c>
      <c r="X148" s="2111"/>
      <c r="Y148" s="2111"/>
      <c r="Z148" s="2111"/>
      <c r="AA148" s="2111"/>
      <c r="AB148" s="2111"/>
      <c r="AC148" s="2111"/>
      <c r="AD148" s="2111"/>
      <c r="AE148" s="2111"/>
      <c r="AF148" s="2111"/>
      <c r="AG148" s="2111"/>
      <c r="AH148" s="2111"/>
      <c r="AI148" s="2111"/>
      <c r="AJ148" s="2111"/>
      <c r="AK148" s="2111"/>
      <c r="AL148" s="2111"/>
      <c r="AM148" s="2111"/>
      <c r="AN148" s="2111"/>
      <c r="AO148" s="2111"/>
      <c r="AP148" s="2111"/>
      <c r="AQ148" s="2111"/>
      <c r="AR148" s="2111"/>
      <c r="AS148" s="2111"/>
      <c r="AT148" s="2111"/>
      <c r="AU148" s="2111"/>
      <c r="AV148" s="2111"/>
      <c r="AW148" s="2111"/>
      <c r="AX148" s="2111"/>
      <c r="AY148" s="2111"/>
      <c r="AZ148" s="2111"/>
      <c r="BA148" s="2111"/>
      <c r="BB148" s="2111"/>
      <c r="BC148" s="2111"/>
      <c r="BD148" s="2111"/>
      <c r="BE148" s="2111"/>
      <c r="BF148" s="2111"/>
      <c r="BG148" s="2111"/>
      <c r="BH148" s="2111"/>
      <c r="BI148" s="2111"/>
      <c r="BJ148" s="2111"/>
      <c r="BK148" s="2111"/>
      <c r="BL148" s="2111"/>
      <c r="BM148" s="2111"/>
      <c r="BN148" s="2111"/>
      <c r="BO148" s="2111"/>
    </row>
    <row r="149" spans="1:67" ht="20.100000000000001" customHeight="1">
      <c r="A149" s="1842">
        <v>90</v>
      </c>
      <c r="B149" s="1854"/>
      <c r="C149" s="2119"/>
      <c r="D149" s="1869" t="s">
        <v>1559</v>
      </c>
      <c r="E149" s="1848"/>
      <c r="F149" s="1875"/>
      <c r="G149" s="2010" t="s">
        <v>1044</v>
      </c>
      <c r="H149" s="2064"/>
      <c r="I149" s="2064"/>
      <c r="J149" s="2064"/>
      <c r="K149" s="2064"/>
      <c r="L149" s="2012">
        <f t="shared" ca="1" si="56"/>
        <v>0</v>
      </c>
      <c r="M149" s="2012">
        <f t="shared" ca="1" si="57"/>
        <v>0</v>
      </c>
      <c r="N149" s="2012">
        <f t="shared" ca="1" si="58"/>
        <v>0</v>
      </c>
      <c r="O149" s="2012">
        <f t="shared" ca="1" si="59"/>
        <v>0</v>
      </c>
      <c r="P149" s="2013">
        <f t="shared" ca="1" si="72"/>
        <v>0</v>
      </c>
      <c r="Q149" s="2013">
        <f t="shared" ca="1" si="73"/>
        <v>0</v>
      </c>
      <c r="R149" s="2013">
        <f t="shared" ca="1" si="74"/>
        <v>0</v>
      </c>
      <c r="S149" s="2013">
        <f t="shared" ca="1" si="75"/>
        <v>0</v>
      </c>
      <c r="T149" s="2013">
        <f t="shared" ca="1" si="76"/>
        <v>0</v>
      </c>
      <c r="U149" s="2013">
        <f t="shared" ca="1" si="77"/>
        <v>0</v>
      </c>
      <c r="V149" s="2013">
        <f t="shared" ca="1" si="78"/>
        <v>0</v>
      </c>
      <c r="W149" s="2013">
        <f t="shared" ca="1" si="79"/>
        <v>0</v>
      </c>
      <c r="X149" s="2111"/>
      <c r="Y149" s="2111"/>
      <c r="Z149" s="2111"/>
      <c r="AA149" s="2111"/>
      <c r="AB149" s="2111"/>
      <c r="AC149" s="2111"/>
      <c r="AD149" s="2111"/>
      <c r="AE149" s="2111"/>
      <c r="AF149" s="2111"/>
      <c r="AG149" s="2111"/>
      <c r="AH149" s="2111"/>
      <c r="AI149" s="2111"/>
      <c r="AJ149" s="2111"/>
      <c r="AK149" s="2111"/>
      <c r="AL149" s="2111"/>
      <c r="AM149" s="2111"/>
      <c r="AN149" s="2111"/>
      <c r="AO149" s="2111"/>
      <c r="AP149" s="2111"/>
      <c r="AQ149" s="2111"/>
      <c r="AR149" s="2111"/>
      <c r="AS149" s="2111"/>
      <c r="AT149" s="2111"/>
      <c r="AU149" s="2111"/>
      <c r="AV149" s="2111"/>
      <c r="AW149" s="2111"/>
      <c r="AX149" s="2111"/>
      <c r="AY149" s="2111"/>
      <c r="AZ149" s="2111"/>
      <c r="BA149" s="2111"/>
      <c r="BB149" s="2111"/>
      <c r="BC149" s="2111"/>
      <c r="BD149" s="2111"/>
      <c r="BE149" s="2111"/>
      <c r="BF149" s="2111"/>
      <c r="BG149" s="2111"/>
      <c r="BH149" s="2111"/>
      <c r="BI149" s="2111"/>
      <c r="BJ149" s="2111"/>
      <c r="BK149" s="2111"/>
      <c r="BL149" s="2111"/>
      <c r="BM149" s="2111"/>
      <c r="BN149" s="2111"/>
      <c r="BO149" s="2111"/>
    </row>
    <row r="150" spans="1:67" ht="20.100000000000001" customHeight="1">
      <c r="A150" s="1842">
        <v>204</v>
      </c>
      <c r="B150" s="1854"/>
      <c r="C150" s="2119"/>
      <c r="D150" s="1981" t="s">
        <v>974</v>
      </c>
      <c r="E150" s="1858" t="str">
        <f ca="1">OFFSET(A1_その他欄集計,14,13)</f>
        <v/>
      </c>
      <c r="F150" s="1879"/>
      <c r="G150" s="2010" t="s">
        <v>1043</v>
      </c>
      <c r="H150" s="2011">
        <f ca="1">IFERROR(OFFSET(貼付け_2024実績,$A150,15),"")</f>
        <v>0</v>
      </c>
      <c r="I150" s="2011">
        <f ca="1">IFERROR(OFFSET(貼付け_2025実績,$A150,15),"")</f>
        <v>0</v>
      </c>
      <c r="J150" s="2011">
        <f ca="1">IFERROR(OFFSET(貼付け_2026実績,$A150,15),"")</f>
        <v>0</v>
      </c>
      <c r="K150" s="2011">
        <f ca="1">IFERROR(OFFSET(貼付け_2027実績,$A150,15),"")</f>
        <v>0</v>
      </c>
      <c r="L150" s="2012">
        <f t="shared" ca="1" si="56"/>
        <v>0</v>
      </c>
      <c r="M150" s="2012">
        <f t="shared" ca="1" si="57"/>
        <v>0</v>
      </c>
      <c r="N150" s="2012">
        <f t="shared" ca="1" si="58"/>
        <v>0</v>
      </c>
      <c r="O150" s="2012">
        <f t="shared" ca="1" si="59"/>
        <v>0</v>
      </c>
      <c r="P150" s="2013">
        <f t="shared" ref="P150:P157" ca="1" si="80">IFERROR(OFFSET(貼付け_2024実績,$A150,18),"")</f>
        <v>0</v>
      </c>
      <c r="Q150" s="2013">
        <f t="shared" ref="Q150:Q157" ca="1" si="81">IFERROR(OFFSET(貼付け_2025実績,$A150,18),"")</f>
        <v>0</v>
      </c>
      <c r="R150" s="2013">
        <f t="shared" ref="R150:R157" ca="1" si="82">IFERROR(OFFSET(貼付け_2026実績,$A150,18),"")</f>
        <v>0</v>
      </c>
      <c r="S150" s="2013">
        <f t="shared" ref="S150:S157" ca="1" si="83">IFERROR(OFFSET(貼付け_2027実績,$A150,18),"")</f>
        <v>0</v>
      </c>
      <c r="T150" s="2013">
        <f t="shared" ref="T150:T157" ca="1" si="84">IFERROR(OFFSET(貼付け_2024実績,$A150,19),"")</f>
        <v>0</v>
      </c>
      <c r="U150" s="2013">
        <f t="shared" ref="U150:U157" ca="1" si="85">IFERROR(OFFSET(貼付け_2025実績,$A150,19),"")</f>
        <v>0</v>
      </c>
      <c r="V150" s="2013">
        <f t="shared" ref="V150:V157" ca="1" si="86">IFERROR(OFFSET(貼付け_2026実績,$A150,19),"")</f>
        <v>0</v>
      </c>
      <c r="W150" s="2013">
        <f t="shared" ref="W150:W157" ca="1" si="87">IFERROR(OFFSET(貼付け_2027実績,$A150,19),"")</f>
        <v>0</v>
      </c>
      <c r="X150" s="2111"/>
      <c r="Y150" s="2111"/>
      <c r="Z150" s="2111"/>
      <c r="AA150" s="2111"/>
      <c r="AB150" s="2111"/>
      <c r="AC150" s="2111"/>
      <c r="AD150" s="2111"/>
      <c r="AE150" s="2111"/>
      <c r="AF150" s="2111"/>
      <c r="AG150" s="2111"/>
      <c r="AH150" s="2111"/>
      <c r="AI150" s="2111"/>
      <c r="AJ150" s="2111"/>
      <c r="AK150" s="2111"/>
      <c r="AL150" s="2111"/>
      <c r="AM150" s="2111"/>
      <c r="AN150" s="2111"/>
      <c r="AO150" s="2111"/>
      <c r="AP150" s="2111"/>
      <c r="AQ150" s="2111"/>
      <c r="AR150" s="2111"/>
      <c r="AS150" s="2111"/>
      <c r="AT150" s="2111"/>
      <c r="AU150" s="2111"/>
      <c r="AV150" s="2111"/>
      <c r="AW150" s="2111"/>
      <c r="AX150" s="2111"/>
      <c r="AY150" s="2111"/>
      <c r="AZ150" s="2111"/>
      <c r="BA150" s="2111"/>
      <c r="BB150" s="2111"/>
      <c r="BC150" s="2111"/>
      <c r="BD150" s="2111"/>
      <c r="BE150" s="2111"/>
      <c r="BF150" s="2111"/>
      <c r="BG150" s="2111"/>
      <c r="BH150" s="2111"/>
      <c r="BI150" s="2111"/>
      <c r="BJ150" s="2111"/>
      <c r="BK150" s="2111"/>
      <c r="BL150" s="2111"/>
      <c r="BM150" s="2111"/>
      <c r="BN150" s="2111"/>
      <c r="BO150" s="2111"/>
    </row>
    <row r="151" spans="1:67" ht="20.100000000000001" customHeight="1">
      <c r="A151" s="1842">
        <v>205</v>
      </c>
      <c r="B151" s="1854"/>
      <c r="C151" s="2119"/>
      <c r="D151" s="1981"/>
      <c r="E151" s="1983"/>
      <c r="F151" s="1882"/>
      <c r="G151" s="2010" t="s">
        <v>1044</v>
      </c>
      <c r="H151" s="2064"/>
      <c r="I151" s="2064"/>
      <c r="J151" s="2064"/>
      <c r="K151" s="2064"/>
      <c r="L151" s="2012">
        <f t="shared" ca="1" si="56"/>
        <v>0</v>
      </c>
      <c r="M151" s="2012">
        <f t="shared" ca="1" si="57"/>
        <v>0</v>
      </c>
      <c r="N151" s="2012">
        <f t="shared" ca="1" si="58"/>
        <v>0</v>
      </c>
      <c r="O151" s="2012">
        <f t="shared" ca="1" si="59"/>
        <v>0</v>
      </c>
      <c r="P151" s="2013">
        <f t="shared" ca="1" si="80"/>
        <v>0</v>
      </c>
      <c r="Q151" s="2013">
        <f t="shared" ca="1" si="81"/>
        <v>0</v>
      </c>
      <c r="R151" s="2013">
        <f t="shared" ca="1" si="82"/>
        <v>0</v>
      </c>
      <c r="S151" s="2013">
        <f t="shared" ca="1" si="83"/>
        <v>0</v>
      </c>
      <c r="T151" s="2013">
        <f t="shared" ca="1" si="84"/>
        <v>0</v>
      </c>
      <c r="U151" s="2013">
        <f t="shared" ca="1" si="85"/>
        <v>0</v>
      </c>
      <c r="V151" s="2013">
        <f t="shared" ca="1" si="86"/>
        <v>0</v>
      </c>
      <c r="W151" s="2013">
        <f t="shared" ca="1" si="87"/>
        <v>0</v>
      </c>
      <c r="X151" s="2111"/>
      <c r="Y151" s="2111"/>
      <c r="Z151" s="2111"/>
      <c r="AA151" s="2111"/>
      <c r="AB151" s="2111"/>
      <c r="AC151" s="2111"/>
      <c r="AD151" s="2111"/>
      <c r="AE151" s="2111"/>
      <c r="AF151" s="2111"/>
      <c r="AG151" s="2111"/>
      <c r="AH151" s="2111"/>
      <c r="AI151" s="2111"/>
      <c r="AJ151" s="2111"/>
      <c r="AK151" s="2111"/>
      <c r="AL151" s="2111"/>
      <c r="AM151" s="2111"/>
      <c r="AN151" s="2111"/>
      <c r="AO151" s="2111"/>
      <c r="AP151" s="2111"/>
      <c r="AQ151" s="2111"/>
      <c r="AR151" s="2111"/>
      <c r="AS151" s="2111"/>
      <c r="AT151" s="2111"/>
      <c r="AU151" s="2111"/>
      <c r="AV151" s="2111"/>
      <c r="AW151" s="2111"/>
      <c r="AX151" s="2111"/>
      <c r="AY151" s="2111"/>
      <c r="AZ151" s="2111"/>
      <c r="BA151" s="2111"/>
      <c r="BB151" s="2111"/>
      <c r="BC151" s="2111"/>
      <c r="BD151" s="2111"/>
      <c r="BE151" s="2111"/>
      <c r="BF151" s="2111"/>
      <c r="BG151" s="2111"/>
      <c r="BH151" s="2111"/>
      <c r="BI151" s="2111"/>
      <c r="BJ151" s="2111"/>
      <c r="BK151" s="2111"/>
      <c r="BL151" s="2111"/>
      <c r="BM151" s="2111"/>
      <c r="BN151" s="2111"/>
      <c r="BO151" s="2111"/>
    </row>
    <row r="152" spans="1:67" ht="20.100000000000001" customHeight="1">
      <c r="A152" s="1842">
        <v>206</v>
      </c>
      <c r="B152" s="1854"/>
      <c r="C152" s="2119"/>
      <c r="D152" s="1981" t="s">
        <v>975</v>
      </c>
      <c r="E152" s="1858" t="str">
        <f ca="1">OFFSET(A1_その他欄集計,15,13)</f>
        <v/>
      </c>
      <c r="F152" s="1879"/>
      <c r="G152" s="2010" t="s">
        <v>1043</v>
      </c>
      <c r="H152" s="2011">
        <f ca="1">IFERROR(OFFSET(貼付け_2024実績,$A152,15),"")</f>
        <v>0</v>
      </c>
      <c r="I152" s="2011">
        <f ca="1">IFERROR(OFFSET(貼付け_2025実績,$A152,15),"")</f>
        <v>0</v>
      </c>
      <c r="J152" s="2011">
        <f ca="1">IFERROR(OFFSET(貼付け_2026実績,$A152,15),"")</f>
        <v>0</v>
      </c>
      <c r="K152" s="2011">
        <f ca="1">IFERROR(OFFSET(貼付け_2027実績,$A152,15),"")</f>
        <v>0</v>
      </c>
      <c r="L152" s="2012">
        <f t="shared" ca="1" si="56"/>
        <v>0</v>
      </c>
      <c r="M152" s="2012">
        <f t="shared" ca="1" si="57"/>
        <v>0</v>
      </c>
      <c r="N152" s="2012">
        <f t="shared" ca="1" si="58"/>
        <v>0</v>
      </c>
      <c r="O152" s="2012">
        <f t="shared" ca="1" si="59"/>
        <v>0</v>
      </c>
      <c r="P152" s="2013">
        <f t="shared" ca="1" si="80"/>
        <v>0</v>
      </c>
      <c r="Q152" s="2013">
        <f t="shared" ca="1" si="81"/>
        <v>0</v>
      </c>
      <c r="R152" s="2013">
        <f t="shared" ca="1" si="82"/>
        <v>0</v>
      </c>
      <c r="S152" s="2013">
        <f t="shared" ca="1" si="83"/>
        <v>0</v>
      </c>
      <c r="T152" s="2013">
        <f t="shared" ca="1" si="84"/>
        <v>0</v>
      </c>
      <c r="U152" s="2013">
        <f t="shared" ca="1" si="85"/>
        <v>0</v>
      </c>
      <c r="V152" s="2013">
        <f t="shared" ca="1" si="86"/>
        <v>0</v>
      </c>
      <c r="W152" s="2013">
        <f t="shared" ca="1" si="87"/>
        <v>0</v>
      </c>
      <c r="X152" s="2111"/>
      <c r="Y152" s="2111"/>
      <c r="Z152" s="2111"/>
      <c r="AA152" s="2111"/>
      <c r="AB152" s="2111"/>
      <c r="AC152" s="2111"/>
      <c r="AD152" s="2111"/>
      <c r="AE152" s="2111"/>
      <c r="AF152" s="2111"/>
      <c r="AG152" s="2111"/>
      <c r="AH152" s="2111"/>
      <c r="AI152" s="2111"/>
      <c r="AJ152" s="2111"/>
      <c r="AK152" s="2111"/>
      <c r="AL152" s="2111"/>
      <c r="AM152" s="2111"/>
      <c r="AN152" s="2111"/>
      <c r="AO152" s="2111"/>
      <c r="AP152" s="2111"/>
      <c r="AQ152" s="2111"/>
      <c r="AR152" s="2111"/>
      <c r="AS152" s="2111"/>
      <c r="AT152" s="2111"/>
      <c r="AU152" s="2111"/>
      <c r="AV152" s="2111"/>
      <c r="AW152" s="2111"/>
      <c r="AX152" s="2111"/>
      <c r="AY152" s="2111"/>
      <c r="AZ152" s="2111"/>
      <c r="BA152" s="2111"/>
      <c r="BB152" s="2111"/>
      <c r="BC152" s="2111"/>
      <c r="BD152" s="2111"/>
      <c r="BE152" s="2111"/>
      <c r="BF152" s="2111"/>
      <c r="BG152" s="2111"/>
      <c r="BH152" s="2111"/>
      <c r="BI152" s="2111"/>
      <c r="BJ152" s="2111"/>
      <c r="BK152" s="2111"/>
      <c r="BL152" s="2111"/>
      <c r="BM152" s="2111"/>
      <c r="BN152" s="2111"/>
      <c r="BO152" s="2111"/>
    </row>
    <row r="153" spans="1:67" ht="20.100000000000001" customHeight="1">
      <c r="A153" s="1842">
        <v>207</v>
      </c>
      <c r="B153" s="1854"/>
      <c r="C153" s="2119"/>
      <c r="D153" s="1981"/>
      <c r="E153" s="1983"/>
      <c r="F153" s="1882"/>
      <c r="G153" s="2010" t="s">
        <v>1044</v>
      </c>
      <c r="H153" s="2064"/>
      <c r="I153" s="2064"/>
      <c r="J153" s="2064"/>
      <c r="K153" s="2064"/>
      <c r="L153" s="2012">
        <f t="shared" ca="1" si="56"/>
        <v>0</v>
      </c>
      <c r="M153" s="2012">
        <f t="shared" ca="1" si="57"/>
        <v>0</v>
      </c>
      <c r="N153" s="2012">
        <f t="shared" ca="1" si="58"/>
        <v>0</v>
      </c>
      <c r="O153" s="2012">
        <f t="shared" ca="1" si="59"/>
        <v>0</v>
      </c>
      <c r="P153" s="2013">
        <f t="shared" ca="1" si="80"/>
        <v>0</v>
      </c>
      <c r="Q153" s="2013">
        <f t="shared" ca="1" si="81"/>
        <v>0</v>
      </c>
      <c r="R153" s="2013">
        <f t="shared" ca="1" si="82"/>
        <v>0</v>
      </c>
      <c r="S153" s="2013">
        <f t="shared" ca="1" si="83"/>
        <v>0</v>
      </c>
      <c r="T153" s="2013">
        <f t="shared" ca="1" si="84"/>
        <v>0</v>
      </c>
      <c r="U153" s="2013">
        <f t="shared" ca="1" si="85"/>
        <v>0</v>
      </c>
      <c r="V153" s="2013">
        <f t="shared" ca="1" si="86"/>
        <v>0</v>
      </c>
      <c r="W153" s="2013">
        <f t="shared" ca="1" si="87"/>
        <v>0</v>
      </c>
      <c r="X153" s="2111"/>
      <c r="Y153" s="2111"/>
      <c r="Z153" s="2111"/>
      <c r="AA153" s="2111"/>
      <c r="AB153" s="2111"/>
      <c r="AC153" s="2111"/>
      <c r="AD153" s="2111"/>
      <c r="AE153" s="2111"/>
      <c r="AF153" s="2111"/>
      <c r="AG153" s="2111"/>
      <c r="AH153" s="2111"/>
      <c r="AI153" s="2111"/>
      <c r="AJ153" s="2111"/>
      <c r="AK153" s="2111"/>
      <c r="AL153" s="2111"/>
      <c r="AM153" s="2111"/>
      <c r="AN153" s="2111"/>
      <c r="AO153" s="2111"/>
      <c r="AP153" s="2111"/>
      <c r="AQ153" s="2111"/>
      <c r="AR153" s="2111"/>
      <c r="AS153" s="2111"/>
      <c r="AT153" s="2111"/>
      <c r="AU153" s="2111"/>
      <c r="AV153" s="2111"/>
      <c r="AW153" s="2111"/>
      <c r="AX153" s="2111"/>
      <c r="AY153" s="2111"/>
      <c r="AZ153" s="2111"/>
      <c r="BA153" s="2111"/>
      <c r="BB153" s="2111"/>
      <c r="BC153" s="2111"/>
      <c r="BD153" s="2111"/>
      <c r="BE153" s="2111"/>
      <c r="BF153" s="2111"/>
      <c r="BG153" s="2111"/>
      <c r="BH153" s="2111"/>
      <c r="BI153" s="2111"/>
      <c r="BJ153" s="2111"/>
      <c r="BK153" s="2111"/>
      <c r="BL153" s="2111"/>
      <c r="BM153" s="2111"/>
      <c r="BN153" s="2111"/>
      <c r="BO153" s="2111"/>
    </row>
    <row r="154" spans="1:67" ht="20.100000000000001" customHeight="1">
      <c r="A154" s="1842">
        <v>208</v>
      </c>
      <c r="B154" s="1854"/>
      <c r="C154" s="2119"/>
      <c r="D154" s="2123" t="s">
        <v>976</v>
      </c>
      <c r="E154" s="1858" t="str">
        <f ca="1">OFFSET(A1_その他欄集計,16,13)</f>
        <v/>
      </c>
      <c r="F154" s="1849" t="s">
        <v>47</v>
      </c>
      <c r="G154" s="2010" t="s">
        <v>1043</v>
      </c>
      <c r="H154" s="2011">
        <f ca="1">IFERROR(OFFSET(貼付け_2024実績,$A154,15),"")</f>
        <v>0</v>
      </c>
      <c r="I154" s="2011">
        <f ca="1">IFERROR(OFFSET(貼付け_2025実績,$A154,15),"")</f>
        <v>0</v>
      </c>
      <c r="J154" s="2011">
        <f ca="1">IFERROR(OFFSET(貼付け_2026実績,$A154,15),"")</f>
        <v>0</v>
      </c>
      <c r="K154" s="2011">
        <f ca="1">IFERROR(OFFSET(貼付け_2027実績,$A154,15),"")</f>
        <v>0</v>
      </c>
      <c r="L154" s="2012">
        <f t="shared" ca="1" si="56"/>
        <v>0</v>
      </c>
      <c r="M154" s="2012">
        <f t="shared" ca="1" si="57"/>
        <v>0</v>
      </c>
      <c r="N154" s="2012">
        <f t="shared" ca="1" si="58"/>
        <v>0</v>
      </c>
      <c r="O154" s="2012">
        <f t="shared" ca="1" si="59"/>
        <v>0</v>
      </c>
      <c r="P154" s="2013">
        <f t="shared" ca="1" si="80"/>
        <v>0</v>
      </c>
      <c r="Q154" s="2013">
        <f t="shared" ca="1" si="81"/>
        <v>0</v>
      </c>
      <c r="R154" s="2013">
        <f t="shared" ca="1" si="82"/>
        <v>0</v>
      </c>
      <c r="S154" s="2013">
        <f t="shared" ca="1" si="83"/>
        <v>0</v>
      </c>
      <c r="T154" s="2013">
        <f t="shared" ca="1" si="84"/>
        <v>0</v>
      </c>
      <c r="U154" s="2013">
        <f t="shared" ca="1" si="85"/>
        <v>0</v>
      </c>
      <c r="V154" s="2013">
        <f t="shared" ca="1" si="86"/>
        <v>0</v>
      </c>
      <c r="W154" s="2013">
        <f t="shared" ca="1" si="87"/>
        <v>0</v>
      </c>
      <c r="X154" s="2111"/>
      <c r="Y154" s="2111"/>
      <c r="Z154" s="2111"/>
      <c r="AA154" s="2111"/>
      <c r="AB154" s="2111"/>
      <c r="AC154" s="2111"/>
      <c r="AD154" s="2111"/>
      <c r="AE154" s="2111"/>
      <c r="AF154" s="2111"/>
      <c r="AG154" s="2111"/>
      <c r="AH154" s="2111"/>
      <c r="AI154" s="2111"/>
      <c r="AJ154" s="2111"/>
      <c r="AK154" s="2111"/>
      <c r="AL154" s="2111"/>
      <c r="AM154" s="2111"/>
      <c r="AN154" s="2111"/>
      <c r="AO154" s="2111"/>
      <c r="AP154" s="2111"/>
      <c r="AQ154" s="2111"/>
      <c r="AR154" s="2111"/>
      <c r="AS154" s="2111"/>
      <c r="AT154" s="2111"/>
      <c r="AU154" s="2111"/>
      <c r="AV154" s="2111"/>
      <c r="AW154" s="2111"/>
      <c r="AX154" s="2111"/>
      <c r="AY154" s="2111"/>
      <c r="AZ154" s="2111"/>
      <c r="BA154" s="2111"/>
      <c r="BB154" s="2111"/>
      <c r="BC154" s="2111"/>
      <c r="BD154" s="2111"/>
      <c r="BE154" s="2111"/>
      <c r="BF154" s="2111"/>
      <c r="BG154" s="2111"/>
      <c r="BH154" s="2111"/>
      <c r="BI154" s="2111"/>
      <c r="BJ154" s="2111"/>
      <c r="BK154" s="2111"/>
      <c r="BL154" s="2111"/>
      <c r="BM154" s="2111"/>
      <c r="BN154" s="2111"/>
      <c r="BO154" s="2111"/>
    </row>
    <row r="155" spans="1:67" ht="20.100000000000001" customHeight="1">
      <c r="A155" s="1842">
        <v>209</v>
      </c>
      <c r="B155" s="1854"/>
      <c r="C155" s="2119"/>
      <c r="D155" s="2123" t="s">
        <v>977</v>
      </c>
      <c r="E155" s="1858" t="str">
        <f ca="1">OFFSET(A1_その他欄集計,17,13)</f>
        <v/>
      </c>
      <c r="F155" s="1883" t="s">
        <v>80</v>
      </c>
      <c r="G155" s="2010" t="s">
        <v>1043</v>
      </c>
      <c r="H155" s="2011">
        <f ca="1">IFERROR(OFFSET(貼付け_2024実績,$A155,15),"")</f>
        <v>0</v>
      </c>
      <c r="I155" s="2011">
        <f ca="1">IFERROR(OFFSET(貼付け_2025実績,$A155,15),"")</f>
        <v>0</v>
      </c>
      <c r="J155" s="2011">
        <f ca="1">IFERROR(OFFSET(貼付け_2026実績,$A155,15),"")</f>
        <v>0</v>
      </c>
      <c r="K155" s="2011">
        <f ca="1">IFERROR(OFFSET(貼付け_2027実績,$A155,15),"")</f>
        <v>0</v>
      </c>
      <c r="L155" s="2012">
        <f t="shared" ca="1" si="56"/>
        <v>0</v>
      </c>
      <c r="M155" s="2012">
        <f t="shared" ca="1" si="57"/>
        <v>0</v>
      </c>
      <c r="N155" s="2012">
        <f t="shared" ca="1" si="58"/>
        <v>0</v>
      </c>
      <c r="O155" s="2012">
        <f t="shared" ca="1" si="59"/>
        <v>0</v>
      </c>
      <c r="P155" s="2013">
        <f t="shared" ca="1" si="80"/>
        <v>0</v>
      </c>
      <c r="Q155" s="2013">
        <f t="shared" ca="1" si="81"/>
        <v>0</v>
      </c>
      <c r="R155" s="2013">
        <f t="shared" ca="1" si="82"/>
        <v>0</v>
      </c>
      <c r="S155" s="2013">
        <f t="shared" ca="1" si="83"/>
        <v>0</v>
      </c>
      <c r="T155" s="2013">
        <f t="shared" ca="1" si="84"/>
        <v>0</v>
      </c>
      <c r="U155" s="2013">
        <f t="shared" ca="1" si="85"/>
        <v>0</v>
      </c>
      <c r="V155" s="2013">
        <f t="shared" ca="1" si="86"/>
        <v>0</v>
      </c>
      <c r="W155" s="2013">
        <f t="shared" ca="1" si="87"/>
        <v>0</v>
      </c>
      <c r="X155" s="2111"/>
      <c r="Y155" s="2111"/>
      <c r="Z155" s="2111"/>
      <c r="AA155" s="2111"/>
      <c r="AB155" s="2111"/>
      <c r="AC155" s="2111"/>
      <c r="AD155" s="2111"/>
      <c r="AE155" s="2111"/>
      <c r="AF155" s="2111"/>
      <c r="AG155" s="2111"/>
      <c r="AH155" s="2111"/>
      <c r="AI155" s="2111"/>
      <c r="AJ155" s="2111"/>
      <c r="AK155" s="2111"/>
      <c r="AL155" s="2111"/>
      <c r="AM155" s="2111"/>
      <c r="AN155" s="2111"/>
      <c r="AO155" s="2111"/>
      <c r="AP155" s="2111"/>
      <c r="AQ155" s="2111"/>
      <c r="AR155" s="2111"/>
      <c r="AS155" s="2111"/>
      <c r="AT155" s="2111"/>
      <c r="AU155" s="2111"/>
      <c r="AV155" s="2111"/>
      <c r="AW155" s="2111"/>
      <c r="AX155" s="2111"/>
      <c r="AY155" s="2111"/>
      <c r="AZ155" s="2111"/>
      <c r="BA155" s="2111"/>
      <c r="BB155" s="2111"/>
      <c r="BC155" s="2111"/>
      <c r="BD155" s="2111"/>
      <c r="BE155" s="2111"/>
      <c r="BF155" s="2111"/>
      <c r="BG155" s="2111"/>
      <c r="BH155" s="2111"/>
      <c r="BI155" s="2111"/>
      <c r="BJ155" s="2111"/>
      <c r="BK155" s="2111"/>
      <c r="BL155" s="2111"/>
      <c r="BM155" s="2111"/>
      <c r="BN155" s="2111"/>
      <c r="BO155" s="2111"/>
    </row>
    <row r="156" spans="1:67" ht="20.100000000000001" customHeight="1">
      <c r="A156" s="1842">
        <v>210</v>
      </c>
      <c r="B156" s="2125"/>
      <c r="C156" s="2126"/>
      <c r="D156" s="2127" t="s">
        <v>1045</v>
      </c>
      <c r="E156" s="1858" t="str">
        <f ca="1">OFFSET(A1_その他欄集計,18,13)</f>
        <v/>
      </c>
      <c r="F156" s="2128" t="s">
        <v>87</v>
      </c>
      <c r="G156" s="2010" t="s">
        <v>1043</v>
      </c>
      <c r="H156" s="2011">
        <f ca="1">IFERROR(OFFSET(貼付け_2024実績,$A156,15),"")</f>
        <v>0</v>
      </c>
      <c r="I156" s="2011">
        <f ca="1">IFERROR(OFFSET(貼付け_2025実績,$A156,15),"")</f>
        <v>0</v>
      </c>
      <c r="J156" s="2011">
        <f ca="1">IFERROR(OFFSET(貼付け_2026実績,$A156,15),"")</f>
        <v>0</v>
      </c>
      <c r="K156" s="2011">
        <f ca="1">IFERROR(OFFSET(貼付け_2027実績,$A156,15),"")</f>
        <v>0</v>
      </c>
      <c r="L156" s="2012">
        <f t="shared" ca="1" si="56"/>
        <v>0</v>
      </c>
      <c r="M156" s="2012">
        <f t="shared" ca="1" si="57"/>
        <v>0</v>
      </c>
      <c r="N156" s="2012">
        <f t="shared" ca="1" si="58"/>
        <v>0</v>
      </c>
      <c r="O156" s="2012">
        <f t="shared" ca="1" si="59"/>
        <v>0</v>
      </c>
      <c r="P156" s="2013">
        <f t="shared" ca="1" si="80"/>
        <v>0</v>
      </c>
      <c r="Q156" s="2013">
        <f t="shared" ca="1" si="81"/>
        <v>0</v>
      </c>
      <c r="R156" s="2013">
        <f t="shared" ca="1" si="82"/>
        <v>0</v>
      </c>
      <c r="S156" s="2013">
        <f t="shared" ca="1" si="83"/>
        <v>0</v>
      </c>
      <c r="T156" s="2013">
        <f t="shared" ca="1" si="84"/>
        <v>0</v>
      </c>
      <c r="U156" s="2013">
        <f t="shared" ca="1" si="85"/>
        <v>0</v>
      </c>
      <c r="V156" s="2013">
        <f t="shared" ca="1" si="86"/>
        <v>0</v>
      </c>
      <c r="W156" s="2013">
        <f t="shared" ca="1" si="87"/>
        <v>0</v>
      </c>
      <c r="X156" s="2111"/>
      <c r="Y156" s="2111"/>
      <c r="Z156" s="2111"/>
      <c r="AA156" s="2111"/>
      <c r="AB156" s="2111"/>
      <c r="AC156" s="2111"/>
      <c r="AD156" s="2111"/>
      <c r="AE156" s="2111"/>
      <c r="AF156" s="2111"/>
      <c r="AG156" s="2111"/>
      <c r="AH156" s="2111"/>
      <c r="AI156" s="2111"/>
      <c r="AJ156" s="2111"/>
      <c r="AK156" s="2111"/>
      <c r="AL156" s="2111"/>
      <c r="AM156" s="2111"/>
      <c r="AN156" s="2111"/>
      <c r="AO156" s="2111"/>
      <c r="AP156" s="2111"/>
      <c r="AQ156" s="2111"/>
      <c r="AR156" s="2111"/>
      <c r="AS156" s="2111"/>
      <c r="AT156" s="2111"/>
      <c r="AU156" s="2111"/>
      <c r="AV156" s="2111"/>
      <c r="AW156" s="2111"/>
      <c r="AX156" s="2111"/>
      <c r="AY156" s="2111"/>
      <c r="AZ156" s="2111"/>
      <c r="BA156" s="2111"/>
      <c r="BB156" s="2111"/>
      <c r="BC156" s="2111"/>
      <c r="BD156" s="2111"/>
      <c r="BE156" s="2111"/>
      <c r="BF156" s="2111"/>
      <c r="BG156" s="2111"/>
      <c r="BH156" s="2111"/>
      <c r="BI156" s="2111"/>
      <c r="BJ156" s="2111"/>
      <c r="BK156" s="2111"/>
      <c r="BL156" s="2111"/>
      <c r="BM156" s="2111"/>
      <c r="BN156" s="2111"/>
      <c r="BO156" s="2111"/>
    </row>
    <row r="157" spans="1:67" ht="20.100000000000001" customHeight="1">
      <c r="A157" s="1842">
        <v>211</v>
      </c>
      <c r="B157" s="2125"/>
      <c r="C157" s="2126"/>
      <c r="D157" s="2127" t="s">
        <v>1046</v>
      </c>
      <c r="E157" s="1858" t="str">
        <f ca="1">OFFSET(A1_その他欄集計,19,13)</f>
        <v/>
      </c>
      <c r="F157" s="2128" t="s">
        <v>1047</v>
      </c>
      <c r="G157" s="2010" t="s">
        <v>1043</v>
      </c>
      <c r="H157" s="2011">
        <f ca="1">IFERROR(OFFSET(貼付け_2024実績,$A157,15),"")</f>
        <v>0</v>
      </c>
      <c r="I157" s="2011">
        <f ca="1">IFERROR(OFFSET(貼付け_2025実績,$A157,15),"")</f>
        <v>0</v>
      </c>
      <c r="J157" s="2011">
        <f ca="1">IFERROR(OFFSET(貼付け_2026実績,$A157,15),"")</f>
        <v>0</v>
      </c>
      <c r="K157" s="2011">
        <f ca="1">IFERROR(OFFSET(貼付け_2027実績,$A157,15),"")</f>
        <v>0</v>
      </c>
      <c r="L157" s="2012">
        <f t="shared" ca="1" si="56"/>
        <v>0</v>
      </c>
      <c r="M157" s="2012">
        <f t="shared" ca="1" si="57"/>
        <v>0</v>
      </c>
      <c r="N157" s="2012">
        <f t="shared" ca="1" si="58"/>
        <v>0</v>
      </c>
      <c r="O157" s="2012">
        <f t="shared" ca="1" si="59"/>
        <v>0</v>
      </c>
      <c r="P157" s="2013">
        <f t="shared" ca="1" si="80"/>
        <v>0</v>
      </c>
      <c r="Q157" s="2013">
        <f t="shared" ca="1" si="81"/>
        <v>0</v>
      </c>
      <c r="R157" s="2013">
        <f t="shared" ca="1" si="82"/>
        <v>0</v>
      </c>
      <c r="S157" s="2013">
        <f t="shared" ca="1" si="83"/>
        <v>0</v>
      </c>
      <c r="T157" s="2013">
        <f t="shared" ca="1" si="84"/>
        <v>0</v>
      </c>
      <c r="U157" s="2013">
        <f t="shared" ca="1" si="85"/>
        <v>0</v>
      </c>
      <c r="V157" s="2013">
        <f t="shared" ca="1" si="86"/>
        <v>0</v>
      </c>
      <c r="W157" s="2013">
        <f t="shared" ca="1" si="87"/>
        <v>0</v>
      </c>
      <c r="X157" s="2111"/>
      <c r="Y157" s="2111"/>
      <c r="Z157" s="2111"/>
      <c r="AA157" s="2111"/>
      <c r="AB157" s="2111"/>
      <c r="AC157" s="2111"/>
      <c r="AD157" s="2111"/>
      <c r="AE157" s="2111"/>
      <c r="AF157" s="2111"/>
      <c r="AG157" s="2111"/>
      <c r="AH157" s="2111"/>
      <c r="AI157" s="2111"/>
      <c r="AJ157" s="2111"/>
      <c r="AK157" s="2111"/>
      <c r="AL157" s="2111"/>
      <c r="AM157" s="2111"/>
      <c r="AN157" s="2111"/>
      <c r="AO157" s="2111"/>
      <c r="AP157" s="2111"/>
      <c r="AQ157" s="2111"/>
      <c r="AR157" s="2111"/>
      <c r="AS157" s="2111"/>
      <c r="AT157" s="2111"/>
      <c r="AU157" s="2111"/>
      <c r="AV157" s="2111"/>
      <c r="AW157" s="2111"/>
      <c r="AX157" s="2111"/>
      <c r="AY157" s="2111"/>
      <c r="AZ157" s="2111"/>
      <c r="BA157" s="2111"/>
      <c r="BB157" s="2111"/>
      <c r="BC157" s="2111"/>
      <c r="BD157" s="2111"/>
      <c r="BE157" s="2111"/>
      <c r="BF157" s="2111"/>
      <c r="BG157" s="2111"/>
      <c r="BH157" s="2111"/>
      <c r="BI157" s="2111"/>
      <c r="BJ157" s="2111"/>
      <c r="BK157" s="2111"/>
      <c r="BL157" s="2111"/>
      <c r="BM157" s="2111"/>
      <c r="BN157" s="2111"/>
      <c r="BO157" s="2111"/>
    </row>
    <row r="158" spans="1:67" ht="20.100000000000001" customHeight="1">
      <c r="A158" s="1842"/>
      <c r="B158" s="1847" t="s">
        <v>983</v>
      </c>
      <c r="C158" s="1847"/>
      <c r="D158" s="1848" t="s">
        <v>984</v>
      </c>
      <c r="E158" s="1848"/>
      <c r="F158" s="1863" t="s">
        <v>1048</v>
      </c>
      <c r="G158" s="2010" t="s">
        <v>986</v>
      </c>
      <c r="H158" s="2065"/>
      <c r="I158" s="2065"/>
      <c r="J158" s="2065"/>
      <c r="K158" s="2065"/>
      <c r="L158" s="2012">
        <f ca="1">SUMPRODUCT((0&amp;L123:L136)*$H123:$H136)+IFERROR(OFFSET(A1_集計2024,2,7),0)+IFERROR(OFFSET(A1_集計2024,2,8),0)</f>
        <v>0</v>
      </c>
      <c r="M158" s="2012">
        <f ca="1">SUMPRODUCT((0&amp;M123:M136)*$H123:$H136)+IFERROR(OFFSET(A1_集計2025,2,7),0)+IFERROR(OFFSET(A1_集計2025,2,8),0)</f>
        <v>0</v>
      </c>
      <c r="N158" s="2012">
        <f ca="1">SUMPRODUCT((0&amp;N123:N136)*$H123:$H136)+IFERROR(OFFSET(A1_集計2026,2,7),0)+IFERROR(OFFSET(A1_集計2026,2,8),0)</f>
        <v>0</v>
      </c>
      <c r="O158" s="2012">
        <f ca="1">SUMPRODUCT((0&amp;O123:O136)*$H123:$H136)+IFERROR(OFFSET(A1_集計2027,2,7),0)+IFERROR(OFFSET(A1_集計2027,2,8),0)</f>
        <v>0</v>
      </c>
      <c r="P158" s="2013">
        <f ca="1">SUMPRODUCT((0&amp;P123:P136)*$H123:$H136)+IFERROR(OFFSET(A1_集計2024,2,7),0)</f>
        <v>0</v>
      </c>
      <c r="Q158" s="2013">
        <f ca="1">SUMPRODUCT((0&amp;Q123:Q136)*$I123:$I136)+IFERROR(OFFSET(A1_集計2025,2,7),0)</f>
        <v>0</v>
      </c>
      <c r="R158" s="2013">
        <f ca="1">SUMPRODUCT((0&amp;R123:R136)*$J123:$J136)+IFERROR(OFFSET(A1_集計2026,2,7),0)</f>
        <v>0</v>
      </c>
      <c r="S158" s="2013">
        <f ca="1">SUMPRODUCT((0&amp;S123:S136)*$K123:$K136)+IFERROR(OFFSET(A1_集計2027,2,7),0)</f>
        <v>0</v>
      </c>
      <c r="T158" s="2013">
        <f ca="1">SUMPRODUCT((0&amp;T123:T136)*$H123:$H136)+IFERROR(OFFSET(A1_集計2024,2,8),0)</f>
        <v>0</v>
      </c>
      <c r="U158" s="2013">
        <f ca="1">SUMPRODUCT((0&amp;U123:U136)*$I123:$I136)+IFERROR(OFFSET(A1_集計2025,2,8),0)</f>
        <v>0</v>
      </c>
      <c r="V158" s="2013">
        <f ca="1">SUMPRODUCT((0&amp;V123:V136)*$J123:$J136)+IFERROR(OFFSET(A1_集計2026,2,8),0)</f>
        <v>0</v>
      </c>
      <c r="W158" s="2013">
        <f ca="1">SUMPRODUCT((0&amp;W123:W136)*$K123:$K136)+IFERROR(OFFSET(A1_集計2027,2,8),0)</f>
        <v>0</v>
      </c>
      <c r="X158" s="2111"/>
      <c r="Y158" s="2111"/>
      <c r="Z158" s="2111"/>
      <c r="AA158" s="2111"/>
      <c r="AB158" s="2111"/>
      <c r="AC158" s="2111"/>
      <c r="AD158" s="2111"/>
      <c r="AE158" s="2111"/>
      <c r="AF158" s="2111"/>
      <c r="AG158" s="2111"/>
      <c r="AH158" s="2111"/>
      <c r="AI158" s="2111"/>
      <c r="AJ158" s="2111"/>
      <c r="AK158" s="2111"/>
      <c r="AL158" s="2111"/>
      <c r="AM158" s="2111"/>
      <c r="AN158" s="2111"/>
      <c r="AO158" s="2111"/>
      <c r="AP158" s="2111"/>
      <c r="AQ158" s="2111"/>
      <c r="AR158" s="2111"/>
      <c r="AS158" s="2111"/>
      <c r="AT158" s="2111"/>
      <c r="AU158" s="2111"/>
      <c r="AV158" s="2111"/>
      <c r="AW158" s="2111"/>
      <c r="AX158" s="2111"/>
      <c r="AY158" s="2111"/>
      <c r="AZ158" s="2111"/>
      <c r="BA158" s="2111"/>
      <c r="BB158" s="2111"/>
      <c r="BC158" s="2111"/>
      <c r="BD158" s="2111"/>
      <c r="BE158" s="2111"/>
      <c r="BF158" s="2111"/>
      <c r="BG158" s="2111"/>
      <c r="BH158" s="2111"/>
      <c r="BI158" s="2111"/>
      <c r="BJ158" s="2111"/>
      <c r="BK158" s="2111"/>
      <c r="BL158" s="2111"/>
      <c r="BM158" s="2111"/>
      <c r="BN158" s="2111"/>
      <c r="BO158" s="2111"/>
    </row>
    <row r="159" spans="1:67" ht="20.100000000000001" customHeight="1">
      <c r="A159" s="1842"/>
      <c r="B159" s="1847"/>
      <c r="C159" s="1847"/>
      <c r="D159" s="1848" t="s">
        <v>989</v>
      </c>
      <c r="E159" s="1848" t="s">
        <v>1049</v>
      </c>
      <c r="F159" s="1863" t="s">
        <v>1050</v>
      </c>
      <c r="G159" s="2010" t="s">
        <v>986</v>
      </c>
      <c r="H159" s="2065"/>
      <c r="I159" s="2065"/>
      <c r="J159" s="2065"/>
      <c r="K159" s="2065"/>
      <c r="L159" s="2012">
        <f t="shared" ref="L159:W159" ca="1" si="88">SUMPRODUCT((0&amp;L137:L153)*$H137:$H153)</f>
        <v>0</v>
      </c>
      <c r="M159" s="2012">
        <f t="shared" ca="1" si="88"/>
        <v>0</v>
      </c>
      <c r="N159" s="2012">
        <f t="shared" ca="1" si="88"/>
        <v>0</v>
      </c>
      <c r="O159" s="2012">
        <f t="shared" ca="1" si="88"/>
        <v>0</v>
      </c>
      <c r="P159" s="2013">
        <f t="shared" ca="1" si="88"/>
        <v>0</v>
      </c>
      <c r="Q159" s="2013">
        <f t="shared" ca="1" si="88"/>
        <v>0</v>
      </c>
      <c r="R159" s="2013">
        <f t="shared" ca="1" si="88"/>
        <v>0</v>
      </c>
      <c r="S159" s="2013">
        <f t="shared" ca="1" si="88"/>
        <v>0</v>
      </c>
      <c r="T159" s="2013">
        <f t="shared" ca="1" si="88"/>
        <v>0</v>
      </c>
      <c r="U159" s="2013">
        <f t="shared" ca="1" si="88"/>
        <v>0</v>
      </c>
      <c r="V159" s="2013">
        <f t="shared" ca="1" si="88"/>
        <v>0</v>
      </c>
      <c r="W159" s="2013">
        <f t="shared" ca="1" si="88"/>
        <v>0</v>
      </c>
      <c r="X159" s="2111"/>
      <c r="Y159" s="2111"/>
      <c r="Z159" s="2111"/>
      <c r="AA159" s="2111"/>
      <c r="AB159" s="2111"/>
      <c r="AC159" s="2111"/>
      <c r="AD159" s="2111"/>
      <c r="AE159" s="2111"/>
      <c r="AF159" s="2111"/>
      <c r="AG159" s="2111"/>
      <c r="AH159" s="2111"/>
      <c r="AI159" s="2111"/>
      <c r="AJ159" s="2111"/>
      <c r="AK159" s="2111"/>
      <c r="AL159" s="2111"/>
      <c r="AM159" s="2111"/>
      <c r="AN159" s="2111"/>
      <c r="AO159" s="2111"/>
      <c r="AP159" s="2111"/>
      <c r="AQ159" s="2111"/>
      <c r="AR159" s="2111"/>
      <c r="AS159" s="2111"/>
      <c r="AT159" s="2111"/>
      <c r="AU159" s="2111"/>
      <c r="AV159" s="2111"/>
      <c r="AW159" s="2111"/>
      <c r="AX159" s="2111"/>
      <c r="AY159" s="2111"/>
      <c r="AZ159" s="2111"/>
      <c r="BA159" s="2111"/>
      <c r="BB159" s="2111"/>
      <c r="BC159" s="2111"/>
      <c r="BD159" s="2111"/>
      <c r="BE159" s="2111"/>
      <c r="BF159" s="2111"/>
      <c r="BG159" s="2111"/>
      <c r="BH159" s="2111"/>
      <c r="BI159" s="2111"/>
      <c r="BJ159" s="2111"/>
      <c r="BK159" s="2111"/>
      <c r="BL159" s="2111"/>
      <c r="BM159" s="2111"/>
      <c r="BN159" s="2111"/>
      <c r="BO159" s="2111"/>
    </row>
    <row r="160" spans="1:67" ht="20.100000000000001" customHeight="1">
      <c r="A160" s="1842"/>
      <c r="B160" s="1847"/>
      <c r="C160" s="1847"/>
      <c r="D160" s="1848" t="s">
        <v>992</v>
      </c>
      <c r="E160" s="1848" t="s">
        <v>1051</v>
      </c>
      <c r="F160" s="1863" t="s">
        <v>1052</v>
      </c>
      <c r="G160" s="2010" t="s">
        <v>986</v>
      </c>
      <c r="H160" s="2065"/>
      <c r="I160" s="2065"/>
      <c r="J160" s="2065"/>
      <c r="K160" s="2065"/>
      <c r="L160" s="2012">
        <f t="shared" ref="L160:W160" ca="1" si="89">SUM(L158:L159)</f>
        <v>0</v>
      </c>
      <c r="M160" s="2012">
        <f t="shared" ca="1" si="89"/>
        <v>0</v>
      </c>
      <c r="N160" s="2012">
        <f t="shared" ca="1" si="89"/>
        <v>0</v>
      </c>
      <c r="O160" s="2012">
        <f t="shared" ca="1" si="89"/>
        <v>0</v>
      </c>
      <c r="P160" s="2066">
        <f t="shared" ca="1" si="89"/>
        <v>0</v>
      </c>
      <c r="Q160" s="2066">
        <f t="shared" ca="1" si="89"/>
        <v>0</v>
      </c>
      <c r="R160" s="2066">
        <f t="shared" ca="1" si="89"/>
        <v>0</v>
      </c>
      <c r="S160" s="2066">
        <f t="shared" ca="1" si="89"/>
        <v>0</v>
      </c>
      <c r="T160" s="2066">
        <f t="shared" ca="1" si="89"/>
        <v>0</v>
      </c>
      <c r="U160" s="2066">
        <f t="shared" ca="1" si="89"/>
        <v>0</v>
      </c>
      <c r="V160" s="2066">
        <f t="shared" ca="1" si="89"/>
        <v>0</v>
      </c>
      <c r="W160" s="2066">
        <f t="shared" ca="1" si="89"/>
        <v>0</v>
      </c>
      <c r="X160" s="2111"/>
      <c r="Y160" s="2111"/>
      <c r="Z160" s="2111"/>
      <c r="AA160" s="2111"/>
      <c r="AB160" s="2111"/>
      <c r="AC160" s="2111"/>
      <c r="AD160" s="2111"/>
      <c r="AE160" s="2111"/>
      <c r="AF160" s="2111"/>
      <c r="AG160" s="2111"/>
      <c r="AH160" s="2111"/>
      <c r="AI160" s="2111"/>
      <c r="AJ160" s="2111"/>
      <c r="AK160" s="2111"/>
      <c r="AL160" s="2111"/>
      <c r="AM160" s="2111"/>
      <c r="AN160" s="2111"/>
      <c r="AO160" s="2111"/>
      <c r="AP160" s="2111"/>
      <c r="AQ160" s="2111"/>
      <c r="AR160" s="2111"/>
      <c r="AS160" s="2111"/>
      <c r="AT160" s="2111"/>
      <c r="AU160" s="2111"/>
      <c r="AV160" s="2111"/>
      <c r="AW160" s="2111"/>
      <c r="AX160" s="2111"/>
      <c r="AY160" s="2111"/>
      <c r="AZ160" s="2111"/>
      <c r="BA160" s="2111"/>
      <c r="BB160" s="2111"/>
      <c r="BC160" s="2111"/>
      <c r="BD160" s="2111"/>
      <c r="BE160" s="2111"/>
      <c r="BF160" s="2111"/>
      <c r="BG160" s="2111"/>
      <c r="BH160" s="2111"/>
      <c r="BI160" s="2111"/>
      <c r="BJ160" s="2111"/>
      <c r="BK160" s="2111"/>
      <c r="BL160" s="2111"/>
      <c r="BM160" s="2111"/>
      <c r="BN160" s="2111"/>
      <c r="BO160" s="2111"/>
    </row>
    <row r="161" spans="1:68" ht="20.100000000000001" customHeight="1">
      <c r="A161" s="1842"/>
      <c r="B161" s="2070" t="s">
        <v>995</v>
      </c>
      <c r="C161" s="2071"/>
      <c r="D161" s="1848"/>
      <c r="E161" s="1848" t="s">
        <v>1838</v>
      </c>
      <c r="F161" s="1863" t="s">
        <v>1053</v>
      </c>
      <c r="G161" s="2010" t="s">
        <v>998</v>
      </c>
      <c r="H161" s="2065"/>
      <c r="I161" s="2065"/>
      <c r="J161" s="2065"/>
      <c r="K161" s="2065"/>
      <c r="L161" s="2012">
        <f t="shared" ref="L161:W161" ca="1" si="90">L160*0.0258</f>
        <v>0</v>
      </c>
      <c r="M161" s="2012">
        <f t="shared" ca="1" si="90"/>
        <v>0</v>
      </c>
      <c r="N161" s="2012">
        <f t="shared" ca="1" si="90"/>
        <v>0</v>
      </c>
      <c r="O161" s="2012">
        <f t="shared" ca="1" si="90"/>
        <v>0</v>
      </c>
      <c r="P161" s="2066">
        <f t="shared" ca="1" si="90"/>
        <v>0</v>
      </c>
      <c r="Q161" s="2066">
        <f t="shared" ca="1" si="90"/>
        <v>0</v>
      </c>
      <c r="R161" s="2066">
        <f t="shared" ca="1" si="90"/>
        <v>0</v>
      </c>
      <c r="S161" s="2066">
        <f t="shared" ca="1" si="90"/>
        <v>0</v>
      </c>
      <c r="T161" s="2066">
        <f t="shared" ca="1" si="90"/>
        <v>0</v>
      </c>
      <c r="U161" s="2066">
        <f t="shared" ca="1" si="90"/>
        <v>0</v>
      </c>
      <c r="V161" s="2066">
        <f t="shared" ca="1" si="90"/>
        <v>0</v>
      </c>
      <c r="W161" s="2066">
        <f t="shared" ca="1" si="90"/>
        <v>0</v>
      </c>
      <c r="X161" s="2111"/>
      <c r="Y161" s="2111"/>
      <c r="Z161" s="2111"/>
      <c r="AA161" s="2111"/>
      <c r="AB161" s="2111"/>
      <c r="AC161" s="2111"/>
      <c r="AD161" s="2111"/>
      <c r="AE161" s="2111"/>
      <c r="AF161" s="2111"/>
      <c r="AG161" s="2111"/>
      <c r="AH161" s="2111"/>
      <c r="AI161" s="2111"/>
      <c r="AJ161" s="2111"/>
      <c r="AK161" s="2111"/>
      <c r="AL161" s="2111"/>
      <c r="AM161" s="2111"/>
      <c r="AN161" s="2111"/>
      <c r="AO161" s="2111"/>
      <c r="AP161" s="2111"/>
      <c r="AQ161" s="2111"/>
      <c r="AR161" s="2111"/>
      <c r="AS161" s="2111"/>
      <c r="AT161" s="2111"/>
      <c r="AU161" s="2111"/>
      <c r="AV161" s="2111"/>
      <c r="AW161" s="2111"/>
      <c r="AX161" s="2111"/>
      <c r="AY161" s="2111"/>
      <c r="AZ161" s="2111"/>
      <c r="BA161" s="2111"/>
      <c r="BB161" s="2111"/>
      <c r="BC161" s="2111"/>
      <c r="BD161" s="2111"/>
      <c r="BE161" s="2111"/>
      <c r="BF161" s="2111"/>
      <c r="BG161" s="2111"/>
      <c r="BH161" s="2111"/>
      <c r="BI161" s="2111"/>
      <c r="BJ161" s="2111"/>
      <c r="BK161" s="2111"/>
      <c r="BL161" s="2111"/>
      <c r="BM161" s="2111"/>
      <c r="BN161" s="2111"/>
      <c r="BO161" s="2111"/>
    </row>
    <row r="162" spans="1:68" ht="20.100000000000001" customHeight="1">
      <c r="A162" s="1842"/>
      <c r="B162" s="2074" t="s">
        <v>999</v>
      </c>
      <c r="C162" s="2074"/>
      <c r="D162" s="2129" t="s">
        <v>1000</v>
      </c>
      <c r="E162" s="1848"/>
      <c r="F162" s="1863" t="s">
        <v>1054</v>
      </c>
      <c r="G162" s="2010" t="s">
        <v>998</v>
      </c>
      <c r="H162" s="2065"/>
      <c r="I162" s="2065"/>
      <c r="J162" s="2065"/>
      <c r="K162" s="2065"/>
      <c r="L162" s="2012">
        <f ca="1">IFERROR(ROUND((L160-SUMPRODUCT((0&amp;L132:L136)*$H132:$H136)+SUMPRODUCT((0&amp;L132:L136)*0.8*$H132:$H136))*0.0258,3-INT(LOG((L160-SUMPRODUCT((0&amp;L132:L136)*$H132:$H136)+SUMPRODUCT((0&amp;L132:L136)*0.8*$H132:$H136))*0.0258))),0)</f>
        <v>0</v>
      </c>
      <c r="M162" s="2012">
        <f t="shared" ref="M162:W162" ca="1" si="91">IFERROR(ROUND((M160-SUMPRODUCT((0&amp;M132:M136)*$H132:$H136)+SUMPRODUCT((0&amp;M132:M136)*0.8*$H132:$H136))*0.0258,3-INT(LOG((M160-SUMPRODUCT((0&amp;M132:M136)*$H132:$H136)+SUMPRODUCT((0&amp;M132:M136)*0.8*$H132:$H136))*0.0258))),0)</f>
        <v>0</v>
      </c>
      <c r="N162" s="2012">
        <f t="shared" ca="1" si="91"/>
        <v>0</v>
      </c>
      <c r="O162" s="2012">
        <f t="shared" ca="1" si="91"/>
        <v>0</v>
      </c>
      <c r="P162" s="2012">
        <f t="shared" ca="1" si="91"/>
        <v>0</v>
      </c>
      <c r="Q162" s="2012">
        <f t="shared" ca="1" si="91"/>
        <v>0</v>
      </c>
      <c r="R162" s="2012">
        <f t="shared" ca="1" si="91"/>
        <v>0</v>
      </c>
      <c r="S162" s="2012">
        <f t="shared" ca="1" si="91"/>
        <v>0</v>
      </c>
      <c r="T162" s="2012">
        <f t="shared" ca="1" si="91"/>
        <v>0</v>
      </c>
      <c r="U162" s="2012">
        <f t="shared" ca="1" si="91"/>
        <v>0</v>
      </c>
      <c r="V162" s="2012">
        <f t="shared" ca="1" si="91"/>
        <v>0</v>
      </c>
      <c r="W162" s="2012">
        <f t="shared" ca="1" si="91"/>
        <v>0</v>
      </c>
      <c r="X162" s="2111"/>
      <c r="Y162" s="2111"/>
      <c r="Z162" s="2111"/>
      <c r="AA162" s="2111"/>
      <c r="AB162" s="2111"/>
      <c r="AC162" s="2111"/>
      <c r="AD162" s="2111"/>
      <c r="AE162" s="2111"/>
      <c r="AF162" s="2111"/>
      <c r="AG162" s="2111"/>
      <c r="AH162" s="2111"/>
      <c r="AI162" s="2111"/>
      <c r="AJ162" s="2111"/>
      <c r="AK162" s="2111"/>
      <c r="AL162" s="2111"/>
      <c r="AM162" s="2111"/>
      <c r="AN162" s="2111"/>
      <c r="AO162" s="2111"/>
      <c r="AP162" s="2111"/>
      <c r="AQ162" s="2111"/>
      <c r="AR162" s="2111"/>
      <c r="AS162" s="2111"/>
      <c r="AT162" s="2111"/>
      <c r="AU162" s="2111"/>
      <c r="AV162" s="2111"/>
      <c r="AW162" s="2111"/>
      <c r="AX162" s="2111"/>
      <c r="AY162" s="2111"/>
      <c r="AZ162" s="2111"/>
      <c r="BA162" s="2111"/>
      <c r="BB162" s="2111"/>
      <c r="BC162" s="2111"/>
      <c r="BD162" s="2111"/>
      <c r="BE162" s="2111"/>
      <c r="BF162" s="2111"/>
      <c r="BG162" s="2111"/>
      <c r="BH162" s="2111"/>
      <c r="BI162" s="2111"/>
      <c r="BJ162" s="2111"/>
      <c r="BK162" s="2111"/>
      <c r="BL162" s="2111"/>
      <c r="BM162" s="2111"/>
      <c r="BN162" s="2111"/>
      <c r="BO162" s="2111"/>
      <c r="BP162" s="1862"/>
    </row>
    <row r="163" spans="1:68">
      <c r="A163" s="1842">
        <v>99</v>
      </c>
      <c r="B163" s="2074"/>
      <c r="C163" s="2074"/>
      <c r="D163" s="2084" t="s">
        <v>1012</v>
      </c>
      <c r="E163" s="2086"/>
      <c r="F163" s="1887"/>
      <c r="G163" s="2080"/>
      <c r="H163" s="2065"/>
      <c r="I163" s="2065"/>
      <c r="J163" s="2065"/>
      <c r="K163" s="2065"/>
      <c r="L163" s="2088" t="str">
        <f t="shared" ref="L163:O164" ca="1" si="92">T163</f>
        <v/>
      </c>
      <c r="M163" s="2088" t="str">
        <f t="shared" ca="1" si="92"/>
        <v/>
      </c>
      <c r="N163" s="2088" t="str">
        <f t="shared" ca="1" si="92"/>
        <v/>
      </c>
      <c r="O163" s="2088" t="str">
        <f t="shared" ca="1" si="92"/>
        <v/>
      </c>
      <c r="P163" s="2011" t="str">
        <f ca="1">IFERROR(OFFSET(貼付け_2024実績,$A163,7),"")&amp;""</f>
        <v/>
      </c>
      <c r="Q163" s="2011" t="str">
        <f ca="1">IFERROR(OFFSET(貼付け_2025実績,$A163,7),"")&amp;""</f>
        <v/>
      </c>
      <c r="R163" s="2011" t="str">
        <f ca="1">IFERROR(OFFSET(貼付け_2026実績,$A163,7),"")&amp;""</f>
        <v/>
      </c>
      <c r="S163" s="2011" t="str">
        <f ca="1">IFERROR(OFFSET(貼付け_2027実績,$A163,7),"")&amp;""</f>
        <v/>
      </c>
      <c r="T163" s="2011" t="str">
        <f ca="1">IFERROR(OFFSET(貼付け_2024実績,$A163,8),"")&amp;""</f>
        <v/>
      </c>
      <c r="U163" s="2011" t="str">
        <f ca="1">IFERROR(OFFSET(貼付け_2025実績,$A163,8),"")&amp;""</f>
        <v/>
      </c>
      <c r="V163" s="2011" t="str">
        <f ca="1">IFERROR(OFFSET(貼付け_2026実績,$A163,8),"")&amp;""</f>
        <v/>
      </c>
      <c r="W163" s="2011" t="str">
        <f ca="1">IFERROR(OFFSET(貼付け_2027実績,$A163,8),"")&amp;""</f>
        <v/>
      </c>
      <c r="X163" s="2130"/>
      <c r="Y163" s="2130"/>
      <c r="Z163" s="2130"/>
      <c r="AA163" s="2130"/>
      <c r="AB163" s="2130"/>
      <c r="AC163" s="2130"/>
      <c r="AD163" s="2130"/>
      <c r="AE163" s="2130"/>
      <c r="AF163" s="2130"/>
      <c r="AG163" s="2130"/>
      <c r="AH163" s="2130"/>
      <c r="AI163" s="2130"/>
      <c r="AJ163" s="2130"/>
      <c r="AK163" s="2130"/>
      <c r="AL163" s="2130"/>
      <c r="AM163" s="2130"/>
      <c r="AN163" s="2130"/>
      <c r="AO163" s="2130"/>
      <c r="AP163" s="2130"/>
      <c r="AQ163" s="2130"/>
      <c r="AR163" s="2130"/>
      <c r="AS163" s="2130"/>
      <c r="AT163" s="2130"/>
      <c r="AU163" s="2130"/>
      <c r="AV163" s="2130"/>
      <c r="AW163" s="2130"/>
      <c r="AX163" s="2130"/>
      <c r="AY163" s="2130"/>
      <c r="AZ163" s="2130"/>
      <c r="BA163" s="2130"/>
      <c r="BB163" s="2130"/>
      <c r="BC163" s="2130"/>
      <c r="BD163" s="2130"/>
      <c r="BE163" s="2130"/>
      <c r="BF163" s="2130"/>
      <c r="BG163" s="2130"/>
      <c r="BH163" s="2130"/>
      <c r="BI163" s="2130"/>
      <c r="BJ163" s="2130"/>
      <c r="BK163" s="2130"/>
      <c r="BL163" s="2130"/>
      <c r="BM163" s="2130"/>
      <c r="BN163" s="2130"/>
      <c r="BO163" s="2130"/>
      <c r="BP163" s="1862"/>
    </row>
    <row r="164" spans="1:68">
      <c r="A164" s="1842">
        <v>100</v>
      </c>
      <c r="B164" s="2074"/>
      <c r="C164" s="2074"/>
      <c r="D164" s="2084" t="s">
        <v>1013</v>
      </c>
      <c r="E164" s="2086"/>
      <c r="F164" s="1887"/>
      <c r="G164" s="2080"/>
      <c r="H164" s="2065"/>
      <c r="I164" s="2065"/>
      <c r="J164" s="2065"/>
      <c r="K164" s="2065"/>
      <c r="L164" s="2088" t="str">
        <f t="shared" ca="1" si="92"/>
        <v/>
      </c>
      <c r="M164" s="2088" t="str">
        <f t="shared" ca="1" si="92"/>
        <v/>
      </c>
      <c r="N164" s="2088" t="str">
        <f t="shared" ca="1" si="92"/>
        <v/>
      </c>
      <c r="O164" s="2088" t="str">
        <f t="shared" ca="1" si="92"/>
        <v/>
      </c>
      <c r="P164" s="2011" t="str">
        <f ca="1">IFERROR(OFFSET(貼付け_2024実績,$A164,7),"")&amp;""</f>
        <v/>
      </c>
      <c r="Q164" s="2011" t="str">
        <f ca="1">IFERROR(OFFSET(貼付け_2025実績,$A164,7),"")&amp;""</f>
        <v/>
      </c>
      <c r="R164" s="2011" t="str">
        <f ca="1">IFERROR(OFFSET(貼付け_2026実績,$A164,7),"")&amp;""</f>
        <v/>
      </c>
      <c r="S164" s="2011" t="str">
        <f ca="1">IFERROR(OFFSET(貼付け_2027実績,$A164,7),"")&amp;""</f>
        <v/>
      </c>
      <c r="T164" s="2011" t="str">
        <f ca="1">IFERROR(OFFSET(貼付け_2024実績,$A164,8),"")&amp;""</f>
        <v/>
      </c>
      <c r="U164" s="2011" t="str">
        <f ca="1">IFERROR(OFFSET(貼付け_2025実績,$A164,8),"")&amp;""</f>
        <v/>
      </c>
      <c r="V164" s="2011" t="str">
        <f ca="1">IFERROR(OFFSET(貼付け_2026実績,$A164,8),"")&amp;""</f>
        <v/>
      </c>
      <c r="W164" s="2011" t="str">
        <f ca="1">IFERROR(OFFSET(貼付け_2027実績,$A164,8),"")&amp;""</f>
        <v/>
      </c>
      <c r="X164" s="2130"/>
      <c r="Y164" s="2130"/>
      <c r="Z164" s="2130"/>
      <c r="AA164" s="2130"/>
      <c r="AB164" s="2130"/>
      <c r="AC164" s="2130"/>
      <c r="AD164" s="2130"/>
      <c r="AE164" s="2130"/>
      <c r="AF164" s="2130"/>
      <c r="AG164" s="2130"/>
      <c r="AH164" s="2130"/>
      <c r="AI164" s="2130"/>
      <c r="AJ164" s="2130"/>
      <c r="AK164" s="2130"/>
      <c r="AL164" s="2130"/>
      <c r="AM164" s="2130"/>
      <c r="AN164" s="2130"/>
      <c r="AO164" s="2130"/>
      <c r="AP164" s="2130"/>
      <c r="AQ164" s="2130"/>
      <c r="AR164" s="2130"/>
      <c r="AS164" s="2130"/>
      <c r="AT164" s="2130"/>
      <c r="AU164" s="2130"/>
      <c r="AV164" s="2130"/>
      <c r="AW164" s="2130"/>
      <c r="AX164" s="2130"/>
      <c r="AY164" s="2130"/>
      <c r="AZ164" s="2130"/>
      <c r="BA164" s="2130"/>
      <c r="BB164" s="2130"/>
      <c r="BC164" s="2130"/>
      <c r="BD164" s="2130"/>
      <c r="BE164" s="2130"/>
      <c r="BF164" s="2130"/>
      <c r="BG164" s="2130"/>
      <c r="BH164" s="2130"/>
      <c r="BI164" s="2130"/>
      <c r="BJ164" s="2130"/>
      <c r="BK164" s="2130"/>
      <c r="BL164" s="2130"/>
      <c r="BM164" s="2130"/>
      <c r="BN164" s="2130"/>
      <c r="BO164" s="2130"/>
      <c r="BP164" s="1862"/>
    </row>
    <row r="165" spans="1:68">
      <c r="A165" s="1842">
        <v>101</v>
      </c>
      <c r="B165" s="2074"/>
      <c r="C165" s="2074"/>
      <c r="D165" s="2076" t="s">
        <v>1014</v>
      </c>
      <c r="E165" s="2090"/>
      <c r="F165" s="2091" t="s">
        <v>1055</v>
      </c>
      <c r="G165" s="2094"/>
      <c r="H165" s="2065"/>
      <c r="I165" s="2065"/>
      <c r="J165" s="2065"/>
      <c r="K165" s="2065"/>
      <c r="L165" s="2088" t="str">
        <f ca="1">IFERROR(ROUND(P165+T165,3-INT(LOG(P165+T165))),"")</f>
        <v/>
      </c>
      <c r="M165" s="2088" t="str">
        <f t="shared" ref="M165:O165" ca="1" si="93">IFERROR(Q165+U165,"")</f>
        <v/>
      </c>
      <c r="N165" s="2088" t="str">
        <f t="shared" ca="1" si="93"/>
        <v/>
      </c>
      <c r="O165" s="2088" t="str">
        <f t="shared" ca="1" si="93"/>
        <v/>
      </c>
      <c r="P165" s="2011" t="str">
        <f ca="1">IFERROR(OFFSET(貼付け_2024実績,$A165,7),"")&amp;""</f>
        <v/>
      </c>
      <c r="Q165" s="2011" t="str">
        <f ca="1">IFERROR(OFFSET(貼付け_2025実績,$A165,7),"")&amp;""</f>
        <v/>
      </c>
      <c r="R165" s="2011" t="str">
        <f ca="1">IFERROR(OFFSET(貼付け_2026実績,$A165,7),"")&amp;""</f>
        <v/>
      </c>
      <c r="S165" s="2011" t="str">
        <f ca="1">IFERROR(OFFSET(貼付け_2027実績,$A165,7),"")&amp;""</f>
        <v/>
      </c>
      <c r="T165" s="2011" t="str">
        <f ca="1">IFERROR(OFFSET(貼付け_2024実績,$A165,8),"")&amp;""</f>
        <v/>
      </c>
      <c r="U165" s="2011" t="str">
        <f ca="1">IFERROR(OFFSET(貼付け_2025実績,$A165,8),"")&amp;""</f>
        <v/>
      </c>
      <c r="V165" s="2011" t="str">
        <f ca="1">IFERROR(OFFSET(貼付け_2026実績,$A165,8),"")&amp;""</f>
        <v/>
      </c>
      <c r="W165" s="2011" t="str">
        <f ca="1">IFERROR(OFFSET(貼付け_2027実績,$A165,8),"")&amp;""</f>
        <v/>
      </c>
      <c r="X165" s="2130"/>
      <c r="Y165" s="2130"/>
      <c r="Z165" s="2130"/>
      <c r="AA165" s="2130"/>
      <c r="AB165" s="2130"/>
      <c r="AC165" s="2130"/>
      <c r="AD165" s="2130"/>
      <c r="AE165" s="2130"/>
      <c r="AF165" s="2130"/>
      <c r="AG165" s="2130"/>
      <c r="AH165" s="2130"/>
      <c r="AI165" s="2130"/>
      <c r="AJ165" s="2130"/>
      <c r="AK165" s="2130"/>
      <c r="AL165" s="2130"/>
      <c r="AM165" s="2130"/>
      <c r="AN165" s="2130"/>
      <c r="AO165" s="2130"/>
      <c r="AP165" s="2130"/>
      <c r="AQ165" s="2130"/>
      <c r="AR165" s="2130"/>
      <c r="AS165" s="2130"/>
      <c r="AT165" s="2130"/>
      <c r="AU165" s="2130"/>
      <c r="AV165" s="2130"/>
      <c r="AW165" s="2130"/>
      <c r="AX165" s="2130"/>
      <c r="AY165" s="2130"/>
      <c r="AZ165" s="2130"/>
      <c r="BA165" s="2130"/>
      <c r="BB165" s="2130"/>
      <c r="BC165" s="2130"/>
      <c r="BD165" s="2130"/>
      <c r="BE165" s="2130"/>
      <c r="BF165" s="2130"/>
      <c r="BG165" s="2130"/>
      <c r="BH165" s="2130"/>
      <c r="BI165" s="2130"/>
      <c r="BJ165" s="2130"/>
      <c r="BK165" s="2130"/>
      <c r="BL165" s="2130"/>
      <c r="BM165" s="2130"/>
      <c r="BN165" s="2130"/>
      <c r="BO165" s="2130"/>
      <c r="BP165" s="1862"/>
    </row>
    <row r="166" spans="1:68">
      <c r="A166" s="1842"/>
      <c r="B166" s="2074"/>
      <c r="C166" s="2074"/>
      <c r="D166" s="2093" t="s">
        <v>1056</v>
      </c>
      <c r="E166" s="2086"/>
      <c r="F166" s="2077" t="s">
        <v>1057</v>
      </c>
      <c r="G166" s="2094"/>
      <c r="H166" s="2065"/>
      <c r="I166" s="2065"/>
      <c r="J166" s="2065"/>
      <c r="K166" s="2065"/>
      <c r="L166" s="2088" t="str">
        <f t="shared" ref="L166:W166" ca="1" si="94">IFERROR(L162/L165,"")</f>
        <v/>
      </c>
      <c r="M166" s="2088" t="str">
        <f t="shared" ca="1" si="94"/>
        <v/>
      </c>
      <c r="N166" s="2088" t="str">
        <f t="shared" ca="1" si="94"/>
        <v/>
      </c>
      <c r="O166" s="2088" t="str">
        <f t="shared" ca="1" si="94"/>
        <v/>
      </c>
      <c r="P166" s="2088" t="str">
        <f t="shared" ca="1" si="94"/>
        <v/>
      </c>
      <c r="Q166" s="2088" t="str">
        <f t="shared" ca="1" si="94"/>
        <v/>
      </c>
      <c r="R166" s="2088" t="str">
        <f t="shared" ca="1" si="94"/>
        <v/>
      </c>
      <c r="S166" s="2088" t="str">
        <f t="shared" ca="1" si="94"/>
        <v/>
      </c>
      <c r="T166" s="2088" t="str">
        <f t="shared" ca="1" si="94"/>
        <v/>
      </c>
      <c r="U166" s="2088" t="str">
        <f t="shared" ca="1" si="94"/>
        <v/>
      </c>
      <c r="V166" s="2088" t="str">
        <f t="shared" ca="1" si="94"/>
        <v/>
      </c>
      <c r="W166" s="2088" t="str">
        <f t="shared" ca="1" si="94"/>
        <v/>
      </c>
      <c r="X166" s="2130"/>
      <c r="Y166" s="2130"/>
      <c r="Z166" s="2130"/>
      <c r="AA166" s="2130"/>
      <c r="AB166" s="2130"/>
      <c r="AC166" s="2130"/>
      <c r="AD166" s="2130"/>
      <c r="AE166" s="2130"/>
      <c r="AF166" s="2130"/>
      <c r="AG166" s="2130"/>
      <c r="AH166" s="2130"/>
      <c r="AI166" s="2130"/>
      <c r="AJ166" s="2130"/>
      <c r="AK166" s="2130"/>
      <c r="AL166" s="2130"/>
      <c r="AM166" s="2130"/>
      <c r="AN166" s="2130"/>
      <c r="AO166" s="2130"/>
      <c r="AP166" s="2130"/>
      <c r="AQ166" s="2130"/>
      <c r="AR166" s="2130"/>
      <c r="AS166" s="2130"/>
      <c r="AT166" s="2130"/>
      <c r="AU166" s="2130"/>
      <c r="AV166" s="2130"/>
      <c r="AW166" s="2130"/>
      <c r="AX166" s="2130"/>
      <c r="AY166" s="2130"/>
      <c r="AZ166" s="2130"/>
      <c r="BA166" s="2130"/>
      <c r="BB166" s="2130"/>
      <c r="BC166" s="2130"/>
      <c r="BD166" s="2130"/>
      <c r="BE166" s="2130"/>
      <c r="BF166" s="2130"/>
      <c r="BG166" s="2130"/>
      <c r="BH166" s="2130"/>
      <c r="BI166" s="2130"/>
      <c r="BJ166" s="2130"/>
      <c r="BK166" s="2130"/>
      <c r="BL166" s="2130"/>
      <c r="BM166" s="2130"/>
      <c r="BN166" s="2130"/>
      <c r="BO166" s="2130"/>
      <c r="BP166" s="1862"/>
    </row>
    <row r="167" spans="1:68">
      <c r="A167" s="1842"/>
      <c r="B167" s="2074"/>
      <c r="C167" s="2074"/>
      <c r="D167" s="2086" t="s">
        <v>1018</v>
      </c>
      <c r="E167" s="2086"/>
      <c r="F167" s="2077" t="s">
        <v>1058</v>
      </c>
      <c r="G167" s="2094"/>
      <c r="H167" s="2065"/>
      <c r="I167" s="2065"/>
      <c r="J167" s="2065"/>
      <c r="K167" s="2065"/>
      <c r="L167" s="2065"/>
      <c r="M167" s="2088" t="str">
        <f ca="1">L166</f>
        <v/>
      </c>
      <c r="N167" s="2088" t="str">
        <f ca="1">M166</f>
        <v/>
      </c>
      <c r="O167" s="2088" t="str">
        <f ca="1">N166</f>
        <v/>
      </c>
      <c r="P167" s="2065"/>
      <c r="Q167" s="2088" t="str">
        <f ca="1">P166</f>
        <v/>
      </c>
      <c r="R167" s="2088" t="str">
        <f ca="1">Q166</f>
        <v/>
      </c>
      <c r="S167" s="2088" t="str">
        <f ca="1">R166</f>
        <v/>
      </c>
      <c r="T167" s="2065"/>
      <c r="U167" s="2088" t="str">
        <f ca="1">T166</f>
        <v/>
      </c>
      <c r="V167" s="2088" t="str">
        <f ca="1">U166</f>
        <v/>
      </c>
      <c r="W167" s="2088" t="str">
        <f ca="1">V166</f>
        <v/>
      </c>
      <c r="X167" s="2130"/>
      <c r="Y167" s="2130"/>
      <c r="Z167" s="2130"/>
      <c r="AA167" s="2130"/>
      <c r="AB167" s="2130"/>
      <c r="AC167" s="2130"/>
      <c r="AD167" s="2130"/>
      <c r="AE167" s="2130"/>
      <c r="AF167" s="2130"/>
      <c r="AG167" s="2130"/>
      <c r="AH167" s="2130"/>
      <c r="AI167" s="2130"/>
      <c r="AJ167" s="2130"/>
      <c r="AK167" s="2130"/>
      <c r="AL167" s="2130"/>
      <c r="AM167" s="2130"/>
      <c r="AN167" s="2130"/>
      <c r="AO167" s="2130"/>
      <c r="AP167" s="2130"/>
      <c r="AQ167" s="2130"/>
      <c r="AR167" s="2130"/>
      <c r="AS167" s="2130"/>
      <c r="AT167" s="2130"/>
      <c r="AU167" s="2130"/>
      <c r="AV167" s="2130"/>
      <c r="AW167" s="2130"/>
      <c r="AX167" s="2130"/>
      <c r="AY167" s="2130"/>
      <c r="AZ167" s="2130"/>
      <c r="BA167" s="2130"/>
      <c r="BB167" s="2130"/>
      <c r="BC167" s="2130"/>
      <c r="BD167" s="2130"/>
      <c r="BE167" s="2130"/>
      <c r="BF167" s="2130"/>
      <c r="BG167" s="2130"/>
      <c r="BH167" s="2130"/>
      <c r="BI167" s="2130"/>
      <c r="BJ167" s="2130"/>
      <c r="BK167" s="2130"/>
      <c r="BL167" s="2130"/>
      <c r="BM167" s="2130"/>
      <c r="BN167" s="2130"/>
      <c r="BO167" s="2130"/>
      <c r="BP167" s="1862"/>
    </row>
    <row r="168" spans="1:68">
      <c r="A168" s="1842"/>
      <c r="B168" s="2074"/>
      <c r="C168" s="2074"/>
      <c r="D168" s="1895" t="s">
        <v>1059</v>
      </c>
      <c r="E168" s="2093"/>
      <c r="F168" s="2077" t="s">
        <v>1060</v>
      </c>
      <c r="G168" s="2080" t="s">
        <v>802</v>
      </c>
      <c r="H168" s="2065"/>
      <c r="I168" s="2065"/>
      <c r="J168" s="2065"/>
      <c r="K168" s="2065"/>
      <c r="L168" s="2065"/>
      <c r="M168" s="2088" t="str">
        <f ca="1">IFERROR(ROUND((1-M166/M167)*100,1),"")</f>
        <v/>
      </c>
      <c r="N168" s="2088" t="str">
        <f ca="1">IFERROR(ROUND((1-N166/N167)*100,1),"")</f>
        <v/>
      </c>
      <c r="O168" s="2088" t="str">
        <f ca="1">IFERROR(ROUND((1-O166/O167)*100,1),"")</f>
        <v/>
      </c>
      <c r="P168" s="2065"/>
      <c r="Q168" s="2088" t="str">
        <f ca="1">IFERROR(ROUND((1-Q166/Q167)*100,1),"")</f>
        <v/>
      </c>
      <c r="R168" s="2088" t="str">
        <f ca="1">IFERROR(ROUND((1-R166/R167)*100,1),"")</f>
        <v/>
      </c>
      <c r="S168" s="2088" t="str">
        <f ca="1">IFERROR(ROUND((1-S166/S167)*100,1),"")</f>
        <v/>
      </c>
      <c r="T168" s="2065"/>
      <c r="U168" s="2088" t="str">
        <f ca="1">IFERROR(ROUND((1-U166/U167)*100,1),"")</f>
        <v/>
      </c>
      <c r="V168" s="2088" t="str">
        <f ca="1">IFERROR(ROUND((1-V166/V167)*100,1),"")</f>
        <v/>
      </c>
      <c r="W168" s="2088" t="str">
        <f ca="1">IFERROR(ROUND((1-W166/W167)*100,1),"")</f>
        <v/>
      </c>
      <c r="X168" s="2130"/>
      <c r="Y168" s="2130"/>
      <c r="Z168" s="2130"/>
      <c r="AA168" s="2130"/>
      <c r="AB168" s="2130"/>
      <c r="AC168" s="2130"/>
      <c r="AD168" s="2130"/>
      <c r="AE168" s="2130"/>
      <c r="AF168" s="2130"/>
      <c r="AG168" s="2130"/>
      <c r="AH168" s="2130"/>
      <c r="AI168" s="2130"/>
      <c r="AJ168" s="2130"/>
      <c r="AK168" s="2130"/>
      <c r="AL168" s="2130"/>
      <c r="AM168" s="2130"/>
      <c r="AN168" s="2130"/>
      <c r="AO168" s="2130"/>
      <c r="AP168" s="2130"/>
      <c r="AQ168" s="2130"/>
      <c r="AR168" s="2130"/>
      <c r="AS168" s="2130"/>
      <c r="AT168" s="2130"/>
      <c r="AU168" s="2130"/>
      <c r="AV168" s="2130"/>
      <c r="AW168" s="2130"/>
      <c r="AX168" s="2130"/>
      <c r="AY168" s="2130"/>
      <c r="AZ168" s="2130"/>
      <c r="BA168" s="2130"/>
      <c r="BB168" s="2130"/>
      <c r="BC168" s="2130"/>
      <c r="BD168" s="2130"/>
      <c r="BE168" s="2130"/>
      <c r="BF168" s="2130"/>
      <c r="BG168" s="2130"/>
      <c r="BH168" s="2130"/>
      <c r="BI168" s="2130"/>
      <c r="BJ168" s="2130"/>
      <c r="BK168" s="2130"/>
      <c r="BL168" s="2130"/>
      <c r="BM168" s="2130"/>
      <c r="BN168" s="2130"/>
      <c r="BO168" s="2130"/>
      <c r="BP168" s="1862"/>
    </row>
    <row r="169" spans="1:68" ht="20.100000000000001" customHeight="1">
      <c r="A169" s="1838">
        <v>2</v>
      </c>
      <c r="B169" s="1838" t="s">
        <v>1061</v>
      </c>
      <c r="C169" s="1839"/>
      <c r="D169" s="1839"/>
      <c r="E169" s="1839"/>
      <c r="F169" s="1839"/>
      <c r="G169" s="1840"/>
      <c r="H169" s="2008"/>
      <c r="I169" s="2008"/>
      <c r="J169" s="2008"/>
      <c r="K169" s="2008"/>
      <c r="L169" s="2008"/>
      <c r="M169" s="2008"/>
      <c r="N169" s="2008"/>
      <c r="O169" s="2008"/>
      <c r="P169" s="2008"/>
      <c r="Q169" s="2008"/>
      <c r="R169" s="2008"/>
      <c r="S169" s="2008"/>
      <c r="T169" s="2008"/>
      <c r="U169" s="2008"/>
      <c r="V169" s="2008"/>
      <c r="W169" s="2008"/>
      <c r="X169" s="1841"/>
      <c r="Y169" s="1841"/>
      <c r="Z169" s="1841"/>
      <c r="AA169" s="1841"/>
      <c r="AB169" s="1841"/>
      <c r="AC169" s="1841"/>
      <c r="AD169" s="1841"/>
      <c r="AE169" s="1841"/>
      <c r="AF169" s="1841"/>
      <c r="AG169" s="1841"/>
      <c r="AH169" s="1841"/>
      <c r="AI169" s="1841"/>
      <c r="AJ169" s="1841"/>
      <c r="AK169" s="1841"/>
      <c r="AL169" s="1841"/>
      <c r="AM169" s="1841"/>
      <c r="AN169" s="1841"/>
      <c r="AO169" s="1841"/>
      <c r="AP169" s="1841"/>
      <c r="AQ169" s="1841"/>
      <c r="AR169" s="1841"/>
      <c r="AS169" s="1841"/>
      <c r="AT169" s="1841"/>
      <c r="AU169" s="1841"/>
      <c r="AV169" s="1841"/>
      <c r="AW169" s="1841"/>
      <c r="AX169" s="1841"/>
      <c r="AY169" s="1841"/>
      <c r="AZ169" s="1841"/>
      <c r="BA169" s="1841"/>
      <c r="BB169" s="1841"/>
      <c r="BC169" s="1841"/>
      <c r="BD169" s="1841"/>
      <c r="BE169" s="1841"/>
      <c r="BF169" s="1841"/>
      <c r="BG169" s="1841"/>
      <c r="BH169" s="1841"/>
      <c r="BI169" s="1841"/>
      <c r="BJ169" s="1841"/>
      <c r="BK169" s="1841"/>
      <c r="BL169" s="1841"/>
      <c r="BM169" s="1841"/>
      <c r="BN169" s="1841"/>
      <c r="BO169" s="1841"/>
    </row>
    <row r="170" spans="1:68" ht="20.100000000000001" customHeight="1">
      <c r="A170" s="1842"/>
      <c r="B170" s="1838" t="str">
        <f>エネ_12</f>
        <v>工場等に関する削減計画策定者</v>
      </c>
      <c r="C170" s="1839"/>
      <c r="D170" s="1839"/>
      <c r="E170" s="1839"/>
      <c r="F170" s="1839"/>
      <c r="G170" s="1840"/>
      <c r="H170" s="2008"/>
      <c r="I170" s="2008"/>
      <c r="J170" s="2008"/>
      <c r="K170" s="2008"/>
      <c r="L170" s="2008"/>
      <c r="M170" s="2008"/>
      <c r="N170" s="2008"/>
      <c r="O170" s="2008"/>
      <c r="P170" s="2008"/>
      <c r="Q170" s="2008"/>
      <c r="R170" s="2008"/>
      <c r="S170" s="2008"/>
      <c r="T170" s="2008"/>
      <c r="U170" s="2008"/>
      <c r="V170" s="2008"/>
      <c r="W170" s="2008"/>
      <c r="X170" s="1841"/>
      <c r="Y170" s="1841"/>
      <c r="Z170" s="1841"/>
      <c r="AA170" s="1841"/>
      <c r="AB170" s="1841"/>
      <c r="AC170" s="1841"/>
      <c r="AD170" s="1841"/>
      <c r="AE170" s="1841"/>
      <c r="AF170" s="1841"/>
      <c r="AG170" s="1841"/>
      <c r="AH170" s="1841"/>
      <c r="AI170" s="1841"/>
      <c r="AJ170" s="1841"/>
      <c r="AK170" s="1841"/>
      <c r="AL170" s="1841"/>
      <c r="AM170" s="1841"/>
      <c r="AN170" s="1841"/>
      <c r="AO170" s="1841"/>
      <c r="AP170" s="1841"/>
      <c r="AQ170" s="1841"/>
      <c r="AR170" s="1841"/>
      <c r="AS170" s="1841"/>
      <c r="AT170" s="1841"/>
      <c r="AU170" s="1841"/>
      <c r="AV170" s="1841"/>
      <c r="AW170" s="1841"/>
      <c r="AX170" s="1841"/>
      <c r="AY170" s="1841"/>
      <c r="AZ170" s="1841"/>
      <c r="BA170" s="1841"/>
      <c r="BB170" s="1841"/>
      <c r="BC170" s="1841"/>
      <c r="BD170" s="1841"/>
      <c r="BE170" s="1841"/>
      <c r="BF170" s="1841"/>
      <c r="BG170" s="1841"/>
      <c r="BH170" s="1841"/>
      <c r="BI170" s="1841"/>
      <c r="BJ170" s="1841"/>
      <c r="BK170" s="1841"/>
      <c r="BL170" s="1841"/>
      <c r="BM170" s="1841"/>
      <c r="BN170" s="1841"/>
      <c r="BO170" s="1841"/>
    </row>
    <row r="171" spans="1:68" ht="20.100000000000001" customHeight="1">
      <c r="A171" s="1845">
        <v>8</v>
      </c>
      <c r="B171" s="1846" t="s">
        <v>918</v>
      </c>
      <c r="C171" s="1847" t="s">
        <v>919</v>
      </c>
      <c r="D171" s="1848" t="s">
        <v>539</v>
      </c>
      <c r="E171" s="1848"/>
      <c r="F171" s="1849"/>
      <c r="G171" s="2010" t="s">
        <v>540</v>
      </c>
      <c r="H171" s="2011">
        <f t="shared" ref="H171:K190" ca="1" si="95">H9</f>
        <v>38.299999999999997</v>
      </c>
      <c r="I171" s="2011">
        <f t="shared" ca="1" si="95"/>
        <v>38.299999999999997</v>
      </c>
      <c r="J171" s="2011">
        <f t="shared" ca="1" si="95"/>
        <v>38.299999999999997</v>
      </c>
      <c r="K171" s="2011">
        <f t="shared" ca="1" si="95"/>
        <v>38.299999999999997</v>
      </c>
      <c r="L171" s="2012">
        <f t="shared" ref="L171:L218" ca="1" si="96">P171+T171</f>
        <v>0</v>
      </c>
      <c r="M171" s="2012">
        <f t="shared" ref="M171:M218" ca="1" si="97">Q171+U171</f>
        <v>0</v>
      </c>
      <c r="N171" s="2012">
        <f t="shared" ref="N171:N218" ca="1" si="98">R171+V171</f>
        <v>0</v>
      </c>
      <c r="O171" s="2012">
        <f t="shared" ref="O171:O218" ca="1" si="99">S171+W171</f>
        <v>0</v>
      </c>
      <c r="P171" s="2013">
        <f ca="1">SUM(SUMIFS(OFFSET(貼付け_2024実績,$A171,10,1,199),OFFSET(貼付け_2024実績,4,9,1,199),{"横浜*","川崎*"}))</f>
        <v>0</v>
      </c>
      <c r="Q171" s="2013">
        <f ca="1">SUM(SUMIFS(OFFSET(貼付け_2025実績,$A171,10,1,199),OFFSET(貼付け_2025実績,4,9,1,199),{"横浜*","川崎*"}))</f>
        <v>0</v>
      </c>
      <c r="R171" s="2013">
        <f ca="1">SUM(SUMIFS(OFFSET(貼付け_2026実績,$A171,10,1,199),OFFSET(貼付け_2026実績,4,9,1,199),{"横浜*","川崎*"}))</f>
        <v>0</v>
      </c>
      <c r="S171" s="2013">
        <f ca="1">SUM(SUMIFS(OFFSET(貼付け_2027実績,$A171,10,1,199),OFFSET(貼付け_2027実績,4,9,1,199),{"横浜*","川崎*"}))</f>
        <v>0</v>
      </c>
      <c r="T171" s="2012">
        <f t="shared" ref="T171:T218" ca="1" si="100">SUM(X171,AB171,AF171,AJ171,AN171,AR171,AV171,AZ171,BD171,BH171,BL171)</f>
        <v>0</v>
      </c>
      <c r="U171" s="2012">
        <f t="shared" ref="U171:U218" ca="1" si="101">SUM(Y171,AC171,AG171,AK171,AO171,AS171,AW171,BA171,BE171,BI171,BM171)</f>
        <v>0</v>
      </c>
      <c r="V171" s="2012">
        <f t="shared" ref="V171:V218" ca="1" si="102">SUM(Z171,AD171,AH171,AL171,AP171,AT171,AX171,BB171,BF171,BJ171,BN171)</f>
        <v>0</v>
      </c>
      <c r="W171" s="2012">
        <f t="shared" ref="W171:W218" ca="1" si="103">SUM(AA171,AE171,AI171,AM171,AQ171,AU171,AY171,BC171,BG171,BK171,BO171)</f>
        <v>0</v>
      </c>
      <c r="X171" s="2014">
        <f t="shared" ref="X171:X218" ca="1" si="104">SUMIFS(OFFSET(貼付け_2024実績,$A171,10,1,199),OFFSET(貼付け_2024実績,4,9,1,199),"県域*")</f>
        <v>0</v>
      </c>
      <c r="Y171" s="2014">
        <f t="shared" ref="Y171:Y218" ca="1" si="105">SUMIFS(OFFSET(貼付け_2025実績,$A171,10,1,199),OFFSET(貼付け_2025実績,4,9,1,199),"県域*")</f>
        <v>0</v>
      </c>
      <c r="Z171" s="2014">
        <f t="shared" ref="Z171:Z218" ca="1" si="106">SUMIFS(OFFSET(貼付け_2026実績,$A171,10,1,199),OFFSET(貼付け_2026実績,4,9,1,199),"県域*")</f>
        <v>0</v>
      </c>
      <c r="AA171" s="2014">
        <f t="shared" ref="AA171:AA218" ca="1" si="107">SUMIFS(OFFSET(貼付け_2027実績,$A171,10,1,199),OFFSET(貼付け_2027実績,4,9,1,199),"県域*")</f>
        <v>0</v>
      </c>
      <c r="AB171" s="2014"/>
      <c r="AC171" s="2014"/>
      <c r="AD171" s="2014"/>
      <c r="AE171" s="2014"/>
      <c r="AF171" s="2014"/>
      <c r="AG171" s="2014"/>
      <c r="AH171" s="2014"/>
      <c r="AI171" s="2014"/>
      <c r="AJ171" s="2014"/>
      <c r="AK171" s="2014"/>
      <c r="AL171" s="2014"/>
      <c r="AM171" s="2014"/>
      <c r="AN171" s="2014"/>
      <c r="AO171" s="2014"/>
      <c r="AP171" s="2014"/>
      <c r="AQ171" s="2014"/>
      <c r="AR171" s="2014"/>
      <c r="AS171" s="2014"/>
      <c r="AT171" s="2014"/>
      <c r="AU171" s="2014"/>
      <c r="AV171" s="2014"/>
      <c r="AW171" s="2014"/>
      <c r="AX171" s="2014"/>
      <c r="AY171" s="2014"/>
      <c r="AZ171" s="2014"/>
      <c r="BA171" s="2014"/>
      <c r="BB171" s="2014"/>
      <c r="BC171" s="2014"/>
      <c r="BD171" s="2014"/>
      <c r="BE171" s="2014"/>
      <c r="BF171" s="2014"/>
      <c r="BG171" s="2014"/>
      <c r="BH171" s="2014"/>
      <c r="BI171" s="2014"/>
      <c r="BJ171" s="2014"/>
      <c r="BK171" s="2014"/>
      <c r="BL171" s="2014"/>
      <c r="BM171" s="2014"/>
      <c r="BN171" s="2014"/>
      <c r="BO171" s="2014"/>
    </row>
    <row r="172" spans="1:68" ht="20.100000000000001" customHeight="1">
      <c r="A172" s="1845">
        <v>9</v>
      </c>
      <c r="B172" s="1854"/>
      <c r="C172" s="1847"/>
      <c r="D172" s="1848" t="s">
        <v>920</v>
      </c>
      <c r="E172" s="1848"/>
      <c r="F172" s="1849"/>
      <c r="G172" s="2010" t="s">
        <v>540</v>
      </c>
      <c r="H172" s="2011">
        <f t="shared" ca="1" si="95"/>
        <v>34.799999999999997</v>
      </c>
      <c r="I172" s="2011">
        <f t="shared" ca="1" si="95"/>
        <v>34.799999999999997</v>
      </c>
      <c r="J172" s="2011">
        <f t="shared" ca="1" si="95"/>
        <v>34.799999999999997</v>
      </c>
      <c r="K172" s="2011">
        <f t="shared" ca="1" si="95"/>
        <v>34.799999999999997</v>
      </c>
      <c r="L172" s="2012">
        <f t="shared" ca="1" si="96"/>
        <v>0</v>
      </c>
      <c r="M172" s="2012">
        <f t="shared" ca="1" si="97"/>
        <v>0</v>
      </c>
      <c r="N172" s="2012">
        <f t="shared" ca="1" si="98"/>
        <v>0</v>
      </c>
      <c r="O172" s="2012">
        <f t="shared" ca="1" si="99"/>
        <v>0</v>
      </c>
      <c r="P172" s="2013">
        <f ca="1">SUM(SUMIFS(OFFSET(貼付け_2024実績,$A172,10,1,199),OFFSET(貼付け_2024実績,4,9,1,199),{"横浜*","川崎*"}))</f>
        <v>0</v>
      </c>
      <c r="Q172" s="2013">
        <f ca="1">SUM(SUMIFS(OFFSET(貼付け_2025実績,$A172,10,1,199),OFFSET(貼付け_2025実績,4,9,1,199),{"横浜*","川崎*"}))</f>
        <v>0</v>
      </c>
      <c r="R172" s="2013">
        <f ca="1">SUM(SUMIFS(OFFSET(貼付け_2026実績,$A172,10,1,199),OFFSET(貼付け_2026実績,4,9,1,199),{"横浜*","川崎*"}))</f>
        <v>0</v>
      </c>
      <c r="S172" s="2013">
        <f ca="1">SUM(SUMIFS(OFFSET(貼付け_2027実績,$A172,10,1,199),OFFSET(貼付け_2027実績,4,9,1,199),{"横浜*","川崎*"}))</f>
        <v>0</v>
      </c>
      <c r="T172" s="2012">
        <f t="shared" ca="1" si="100"/>
        <v>0</v>
      </c>
      <c r="U172" s="2012">
        <f t="shared" ca="1" si="101"/>
        <v>0</v>
      </c>
      <c r="V172" s="2012">
        <f t="shared" ca="1" si="102"/>
        <v>0</v>
      </c>
      <c r="W172" s="2012">
        <f t="shared" ca="1" si="103"/>
        <v>0</v>
      </c>
      <c r="X172" s="2014">
        <f t="shared" ca="1" si="104"/>
        <v>0</v>
      </c>
      <c r="Y172" s="2014">
        <f t="shared" ca="1" si="105"/>
        <v>0</v>
      </c>
      <c r="Z172" s="2014">
        <f t="shared" ca="1" si="106"/>
        <v>0</v>
      </c>
      <c r="AA172" s="2014">
        <f t="shared" ca="1" si="107"/>
        <v>0</v>
      </c>
      <c r="AB172" s="2014"/>
      <c r="AC172" s="2014"/>
      <c r="AD172" s="2014"/>
      <c r="AE172" s="2014"/>
      <c r="AF172" s="2014"/>
      <c r="AG172" s="2014"/>
      <c r="AH172" s="2014"/>
      <c r="AI172" s="2014"/>
      <c r="AJ172" s="2014"/>
      <c r="AK172" s="2014"/>
      <c r="AL172" s="2014"/>
      <c r="AM172" s="2014"/>
      <c r="AN172" s="2014"/>
      <c r="AO172" s="2014"/>
      <c r="AP172" s="2014"/>
      <c r="AQ172" s="2014"/>
      <c r="AR172" s="2014"/>
      <c r="AS172" s="2014"/>
      <c r="AT172" s="2014"/>
      <c r="AU172" s="2014"/>
      <c r="AV172" s="2014"/>
      <c r="AW172" s="2014"/>
      <c r="AX172" s="2014"/>
      <c r="AY172" s="2014"/>
      <c r="AZ172" s="2014"/>
      <c r="BA172" s="2014"/>
      <c r="BB172" s="2014"/>
      <c r="BC172" s="2014"/>
      <c r="BD172" s="2014"/>
      <c r="BE172" s="2014"/>
      <c r="BF172" s="2014"/>
      <c r="BG172" s="2014"/>
      <c r="BH172" s="2014"/>
      <c r="BI172" s="2014"/>
      <c r="BJ172" s="2014"/>
      <c r="BK172" s="2014"/>
      <c r="BL172" s="2014"/>
      <c r="BM172" s="2014"/>
      <c r="BN172" s="2014"/>
      <c r="BO172" s="2014"/>
    </row>
    <row r="173" spans="1:68" ht="20.100000000000001" customHeight="1">
      <c r="A173" s="1845">
        <v>10</v>
      </c>
      <c r="B173" s="1855"/>
      <c r="C173" s="1847"/>
      <c r="D173" s="1848" t="s">
        <v>921</v>
      </c>
      <c r="E173" s="1848"/>
      <c r="F173" s="1849"/>
      <c r="G173" s="2010" t="s">
        <v>540</v>
      </c>
      <c r="H173" s="2011">
        <f t="shared" ca="1" si="95"/>
        <v>33.4</v>
      </c>
      <c r="I173" s="2011">
        <f t="shared" ca="1" si="95"/>
        <v>33.4</v>
      </c>
      <c r="J173" s="2011">
        <f t="shared" ca="1" si="95"/>
        <v>33.4</v>
      </c>
      <c r="K173" s="2011">
        <f t="shared" ca="1" si="95"/>
        <v>33.4</v>
      </c>
      <c r="L173" s="2012">
        <f t="shared" ca="1" si="96"/>
        <v>0</v>
      </c>
      <c r="M173" s="2012">
        <f t="shared" ca="1" si="97"/>
        <v>0</v>
      </c>
      <c r="N173" s="2012">
        <f t="shared" ca="1" si="98"/>
        <v>0</v>
      </c>
      <c r="O173" s="2012">
        <f t="shared" ca="1" si="99"/>
        <v>0</v>
      </c>
      <c r="P173" s="2013">
        <f ca="1">SUM(SUMIFS(OFFSET(貼付け_2024実績,$A173,10,1,199),OFFSET(貼付け_2024実績,4,9,1,199),{"横浜*","川崎*"}))</f>
        <v>0</v>
      </c>
      <c r="Q173" s="2013">
        <f ca="1">SUM(SUMIFS(OFFSET(貼付け_2025実績,$A173,10,1,199),OFFSET(貼付け_2025実績,4,9,1,199),{"横浜*","川崎*"}))</f>
        <v>0</v>
      </c>
      <c r="R173" s="2013">
        <f ca="1">SUM(SUMIFS(OFFSET(貼付け_2026実績,$A173,10,1,199),OFFSET(貼付け_2026実績,4,9,1,199),{"横浜*","川崎*"}))</f>
        <v>0</v>
      </c>
      <c r="S173" s="2013">
        <f ca="1">SUM(SUMIFS(OFFSET(貼付け_2027実績,$A173,10,1,199),OFFSET(貼付け_2027実績,4,9,1,199),{"横浜*","川崎*"}))</f>
        <v>0</v>
      </c>
      <c r="T173" s="2012">
        <f t="shared" ca="1" si="100"/>
        <v>0</v>
      </c>
      <c r="U173" s="2012">
        <f t="shared" ca="1" si="101"/>
        <v>0</v>
      </c>
      <c r="V173" s="2012">
        <f t="shared" ca="1" si="102"/>
        <v>0</v>
      </c>
      <c r="W173" s="2012">
        <f t="shared" ca="1" si="103"/>
        <v>0</v>
      </c>
      <c r="X173" s="2014">
        <f t="shared" ca="1" si="104"/>
        <v>0</v>
      </c>
      <c r="Y173" s="2014">
        <f t="shared" ca="1" si="105"/>
        <v>0</v>
      </c>
      <c r="Z173" s="2014">
        <f t="shared" ca="1" si="106"/>
        <v>0</v>
      </c>
      <c r="AA173" s="2014">
        <f t="shared" ca="1" si="107"/>
        <v>0</v>
      </c>
      <c r="AB173" s="2014"/>
      <c r="AC173" s="2014"/>
      <c r="AD173" s="2014"/>
      <c r="AE173" s="2014"/>
      <c r="AF173" s="2014"/>
      <c r="AG173" s="2014"/>
      <c r="AH173" s="2014"/>
      <c r="AI173" s="2014"/>
      <c r="AJ173" s="2014"/>
      <c r="AK173" s="2014"/>
      <c r="AL173" s="2014"/>
      <c r="AM173" s="2014"/>
      <c r="AN173" s="2014"/>
      <c r="AO173" s="2014"/>
      <c r="AP173" s="2014"/>
      <c r="AQ173" s="2014"/>
      <c r="AR173" s="2014"/>
      <c r="AS173" s="2014"/>
      <c r="AT173" s="2014"/>
      <c r="AU173" s="2014"/>
      <c r="AV173" s="2014"/>
      <c r="AW173" s="2014"/>
      <c r="AX173" s="2014"/>
      <c r="AY173" s="2014"/>
      <c r="AZ173" s="2014"/>
      <c r="BA173" s="2014"/>
      <c r="BB173" s="2014"/>
      <c r="BC173" s="2014"/>
      <c r="BD173" s="2014"/>
      <c r="BE173" s="2014"/>
      <c r="BF173" s="2014"/>
      <c r="BG173" s="2014"/>
      <c r="BH173" s="2014"/>
      <c r="BI173" s="2014"/>
      <c r="BJ173" s="2014"/>
      <c r="BK173" s="2014"/>
      <c r="BL173" s="2014"/>
      <c r="BM173" s="2014"/>
      <c r="BN173" s="2014"/>
      <c r="BO173" s="2014"/>
    </row>
    <row r="174" spans="1:68" ht="20.100000000000001" customHeight="1">
      <c r="A174" s="1845">
        <v>11</v>
      </c>
      <c r="B174" s="1854"/>
      <c r="C174" s="1847"/>
      <c r="D174" s="1848" t="s">
        <v>542</v>
      </c>
      <c r="E174" s="1848"/>
      <c r="F174" s="1849"/>
      <c r="G174" s="2010" t="s">
        <v>540</v>
      </c>
      <c r="H174" s="2011">
        <f t="shared" ca="1" si="95"/>
        <v>33.299999999999997</v>
      </c>
      <c r="I174" s="2011">
        <f t="shared" ca="1" si="95"/>
        <v>33.299999999999997</v>
      </c>
      <c r="J174" s="2011">
        <f t="shared" ca="1" si="95"/>
        <v>33.299999999999997</v>
      </c>
      <c r="K174" s="2011">
        <f t="shared" ca="1" si="95"/>
        <v>33.299999999999997</v>
      </c>
      <c r="L174" s="2012">
        <f t="shared" ca="1" si="96"/>
        <v>0</v>
      </c>
      <c r="M174" s="2012">
        <f t="shared" ca="1" si="97"/>
        <v>0</v>
      </c>
      <c r="N174" s="2012">
        <f t="shared" ca="1" si="98"/>
        <v>0</v>
      </c>
      <c r="O174" s="2012">
        <f t="shared" ca="1" si="99"/>
        <v>0</v>
      </c>
      <c r="P174" s="2013">
        <f ca="1">SUM(SUMIFS(OFFSET(貼付け_2024実績,$A174,10,1,199),OFFSET(貼付け_2024実績,4,9,1,199),{"横浜*","川崎*"}))</f>
        <v>0</v>
      </c>
      <c r="Q174" s="2013">
        <f ca="1">SUM(SUMIFS(OFFSET(貼付け_2025実績,$A174,10,1,199),OFFSET(貼付け_2025実績,4,9,1,199),{"横浜*","川崎*"}))</f>
        <v>0</v>
      </c>
      <c r="R174" s="2013">
        <f ca="1">SUM(SUMIFS(OFFSET(貼付け_2026実績,$A174,10,1,199),OFFSET(貼付け_2026実績,4,9,1,199),{"横浜*","川崎*"}))</f>
        <v>0</v>
      </c>
      <c r="S174" s="2013">
        <f ca="1">SUM(SUMIFS(OFFSET(貼付け_2027実績,$A174,10,1,199),OFFSET(貼付け_2027実績,4,9,1,199),{"横浜*","川崎*"}))</f>
        <v>0</v>
      </c>
      <c r="T174" s="2012">
        <f t="shared" ca="1" si="100"/>
        <v>0</v>
      </c>
      <c r="U174" s="2012">
        <f t="shared" ca="1" si="101"/>
        <v>0</v>
      </c>
      <c r="V174" s="2012">
        <f t="shared" ca="1" si="102"/>
        <v>0</v>
      </c>
      <c r="W174" s="2012">
        <f t="shared" ca="1" si="103"/>
        <v>0</v>
      </c>
      <c r="X174" s="2014">
        <f t="shared" ca="1" si="104"/>
        <v>0</v>
      </c>
      <c r="Y174" s="2014">
        <f t="shared" ca="1" si="105"/>
        <v>0</v>
      </c>
      <c r="Z174" s="2014">
        <f t="shared" ca="1" si="106"/>
        <v>0</v>
      </c>
      <c r="AA174" s="2014">
        <f t="shared" ca="1" si="107"/>
        <v>0</v>
      </c>
      <c r="AB174" s="2014"/>
      <c r="AC174" s="2014"/>
      <c r="AD174" s="2014"/>
      <c r="AE174" s="2014"/>
      <c r="AF174" s="2014"/>
      <c r="AG174" s="2014"/>
      <c r="AH174" s="2014"/>
      <c r="AI174" s="2014"/>
      <c r="AJ174" s="2014"/>
      <c r="AK174" s="2014"/>
      <c r="AL174" s="2014"/>
      <c r="AM174" s="2014"/>
      <c r="AN174" s="2014"/>
      <c r="AO174" s="2014"/>
      <c r="AP174" s="2014"/>
      <c r="AQ174" s="2014"/>
      <c r="AR174" s="2014"/>
      <c r="AS174" s="2014"/>
      <c r="AT174" s="2014"/>
      <c r="AU174" s="2014"/>
      <c r="AV174" s="2014"/>
      <c r="AW174" s="2014"/>
      <c r="AX174" s="2014"/>
      <c r="AY174" s="2014"/>
      <c r="AZ174" s="2014"/>
      <c r="BA174" s="2014"/>
      <c r="BB174" s="2014"/>
      <c r="BC174" s="2014"/>
      <c r="BD174" s="2014"/>
      <c r="BE174" s="2014"/>
      <c r="BF174" s="2014"/>
      <c r="BG174" s="2014"/>
      <c r="BH174" s="2014"/>
      <c r="BI174" s="2014"/>
      <c r="BJ174" s="2014"/>
      <c r="BK174" s="2014"/>
      <c r="BL174" s="2014"/>
      <c r="BM174" s="2014"/>
      <c r="BN174" s="2014"/>
      <c r="BO174" s="2014"/>
    </row>
    <row r="175" spans="1:68" ht="20.100000000000001" customHeight="1">
      <c r="A175" s="1845">
        <v>12</v>
      </c>
      <c r="B175" s="1854"/>
      <c r="C175" s="1847"/>
      <c r="D175" s="1848" t="s">
        <v>922</v>
      </c>
      <c r="E175" s="1848"/>
      <c r="F175" s="1849"/>
      <c r="G175" s="2010" t="s">
        <v>540</v>
      </c>
      <c r="H175" s="2011">
        <f t="shared" ca="1" si="95"/>
        <v>36.299999999999997</v>
      </c>
      <c r="I175" s="2011">
        <f t="shared" ca="1" si="95"/>
        <v>36.299999999999997</v>
      </c>
      <c r="J175" s="2011">
        <f t="shared" ca="1" si="95"/>
        <v>36.299999999999997</v>
      </c>
      <c r="K175" s="2011">
        <f t="shared" ca="1" si="95"/>
        <v>36.299999999999997</v>
      </c>
      <c r="L175" s="2012">
        <f t="shared" ca="1" si="96"/>
        <v>0</v>
      </c>
      <c r="M175" s="2012">
        <f t="shared" ca="1" si="97"/>
        <v>0</v>
      </c>
      <c r="N175" s="2012">
        <f t="shared" ca="1" si="98"/>
        <v>0</v>
      </c>
      <c r="O175" s="2012">
        <f t="shared" ca="1" si="99"/>
        <v>0</v>
      </c>
      <c r="P175" s="2013">
        <f ca="1">SUM(SUMIFS(OFFSET(貼付け_2024実績,$A175,10,1,199),OFFSET(貼付け_2024実績,4,9,1,199),{"横浜*","川崎*"}))</f>
        <v>0</v>
      </c>
      <c r="Q175" s="2013">
        <f ca="1">SUM(SUMIFS(OFFSET(貼付け_2025実績,$A175,10,1,199),OFFSET(貼付け_2025実績,4,9,1,199),{"横浜*","川崎*"}))</f>
        <v>0</v>
      </c>
      <c r="R175" s="2013">
        <f ca="1">SUM(SUMIFS(OFFSET(貼付け_2026実績,$A175,10,1,199),OFFSET(貼付け_2026実績,4,9,1,199),{"横浜*","川崎*"}))</f>
        <v>0</v>
      </c>
      <c r="S175" s="2013">
        <f ca="1">SUM(SUMIFS(OFFSET(貼付け_2027実績,$A175,10,1,199),OFFSET(貼付け_2027実績,4,9,1,199),{"横浜*","川崎*"}))</f>
        <v>0</v>
      </c>
      <c r="T175" s="2012">
        <f t="shared" ca="1" si="100"/>
        <v>0</v>
      </c>
      <c r="U175" s="2012">
        <f t="shared" ca="1" si="101"/>
        <v>0</v>
      </c>
      <c r="V175" s="2012">
        <f t="shared" ca="1" si="102"/>
        <v>0</v>
      </c>
      <c r="W175" s="2012">
        <f t="shared" ca="1" si="103"/>
        <v>0</v>
      </c>
      <c r="X175" s="2014">
        <f t="shared" ca="1" si="104"/>
        <v>0</v>
      </c>
      <c r="Y175" s="2014">
        <f t="shared" ca="1" si="105"/>
        <v>0</v>
      </c>
      <c r="Z175" s="2014">
        <f t="shared" ca="1" si="106"/>
        <v>0</v>
      </c>
      <c r="AA175" s="2014">
        <f t="shared" ca="1" si="107"/>
        <v>0</v>
      </c>
      <c r="AB175" s="2014"/>
      <c r="AC175" s="2014"/>
      <c r="AD175" s="2014"/>
      <c r="AE175" s="2014"/>
      <c r="AF175" s="2014"/>
      <c r="AG175" s="2014"/>
      <c r="AH175" s="2014"/>
      <c r="AI175" s="2014"/>
      <c r="AJ175" s="2014"/>
      <c r="AK175" s="2014"/>
      <c r="AL175" s="2014"/>
      <c r="AM175" s="2014"/>
      <c r="AN175" s="2014"/>
      <c r="AO175" s="2014"/>
      <c r="AP175" s="2014"/>
      <c r="AQ175" s="2014"/>
      <c r="AR175" s="2014"/>
      <c r="AS175" s="2014"/>
      <c r="AT175" s="2014"/>
      <c r="AU175" s="2014"/>
      <c r="AV175" s="2014"/>
      <c r="AW175" s="2014"/>
      <c r="AX175" s="2014"/>
      <c r="AY175" s="2014"/>
      <c r="AZ175" s="2014"/>
      <c r="BA175" s="2014"/>
      <c r="BB175" s="2014"/>
      <c r="BC175" s="2014"/>
      <c r="BD175" s="2014"/>
      <c r="BE175" s="2014"/>
      <c r="BF175" s="2014"/>
      <c r="BG175" s="2014"/>
      <c r="BH175" s="2014"/>
      <c r="BI175" s="2014"/>
      <c r="BJ175" s="2014"/>
      <c r="BK175" s="2014"/>
      <c r="BL175" s="2014"/>
      <c r="BM175" s="2014"/>
      <c r="BN175" s="2014"/>
      <c r="BO175" s="2014"/>
    </row>
    <row r="176" spans="1:68" ht="20.100000000000001" customHeight="1">
      <c r="A176" s="1845">
        <v>13</v>
      </c>
      <c r="B176" s="1855"/>
      <c r="C176" s="1847"/>
      <c r="D176" s="1848" t="s">
        <v>543</v>
      </c>
      <c r="E176" s="1848"/>
      <c r="F176" s="1849"/>
      <c r="G176" s="2010" t="s">
        <v>540</v>
      </c>
      <c r="H176" s="2011">
        <f t="shared" ca="1" si="95"/>
        <v>36.5</v>
      </c>
      <c r="I176" s="2011">
        <f t="shared" ca="1" si="95"/>
        <v>36.5</v>
      </c>
      <c r="J176" s="2011">
        <f t="shared" ca="1" si="95"/>
        <v>36.5</v>
      </c>
      <c r="K176" s="2011">
        <f t="shared" ca="1" si="95"/>
        <v>36.5</v>
      </c>
      <c r="L176" s="2012">
        <f t="shared" ca="1" si="96"/>
        <v>0</v>
      </c>
      <c r="M176" s="2012">
        <f t="shared" ca="1" si="97"/>
        <v>0</v>
      </c>
      <c r="N176" s="2012">
        <f t="shared" ca="1" si="98"/>
        <v>0</v>
      </c>
      <c r="O176" s="2012">
        <f t="shared" ca="1" si="99"/>
        <v>0</v>
      </c>
      <c r="P176" s="2013">
        <f ca="1">SUM(SUMIFS(OFFSET(貼付け_2024実績,$A176,10,1,199),OFFSET(貼付け_2024実績,4,9,1,199),{"横浜*","川崎*"}))</f>
        <v>0</v>
      </c>
      <c r="Q176" s="2013">
        <f ca="1">SUM(SUMIFS(OFFSET(貼付け_2025実績,$A176,10,1,199),OFFSET(貼付け_2025実績,4,9,1,199),{"横浜*","川崎*"}))</f>
        <v>0</v>
      </c>
      <c r="R176" s="2013">
        <f ca="1">SUM(SUMIFS(OFFSET(貼付け_2026実績,$A176,10,1,199),OFFSET(貼付け_2026実績,4,9,1,199),{"横浜*","川崎*"}))</f>
        <v>0</v>
      </c>
      <c r="S176" s="2013">
        <f ca="1">SUM(SUMIFS(OFFSET(貼付け_2027実績,$A176,10,1,199),OFFSET(貼付け_2027実績,4,9,1,199),{"横浜*","川崎*"}))</f>
        <v>0</v>
      </c>
      <c r="T176" s="2012">
        <f t="shared" ca="1" si="100"/>
        <v>0</v>
      </c>
      <c r="U176" s="2012">
        <f t="shared" ca="1" si="101"/>
        <v>0</v>
      </c>
      <c r="V176" s="2012">
        <f t="shared" ca="1" si="102"/>
        <v>0</v>
      </c>
      <c r="W176" s="2012">
        <f t="shared" ca="1" si="103"/>
        <v>0</v>
      </c>
      <c r="X176" s="2014">
        <f t="shared" ca="1" si="104"/>
        <v>0</v>
      </c>
      <c r="Y176" s="2014">
        <f t="shared" ca="1" si="105"/>
        <v>0</v>
      </c>
      <c r="Z176" s="2014">
        <f t="shared" ca="1" si="106"/>
        <v>0</v>
      </c>
      <c r="AA176" s="2014">
        <f t="shared" ca="1" si="107"/>
        <v>0</v>
      </c>
      <c r="AB176" s="2014"/>
      <c r="AC176" s="2014"/>
      <c r="AD176" s="2014"/>
      <c r="AE176" s="2014"/>
      <c r="AF176" s="2014"/>
      <c r="AG176" s="2014"/>
      <c r="AH176" s="2014"/>
      <c r="AI176" s="2014"/>
      <c r="AJ176" s="2014"/>
      <c r="AK176" s="2014"/>
      <c r="AL176" s="2014"/>
      <c r="AM176" s="2014"/>
      <c r="AN176" s="2014"/>
      <c r="AO176" s="2014"/>
      <c r="AP176" s="2014"/>
      <c r="AQ176" s="2014"/>
      <c r="AR176" s="2014"/>
      <c r="AS176" s="2014"/>
      <c r="AT176" s="2014"/>
      <c r="AU176" s="2014"/>
      <c r="AV176" s="2014"/>
      <c r="AW176" s="2014"/>
      <c r="AX176" s="2014"/>
      <c r="AY176" s="2014"/>
      <c r="AZ176" s="2014"/>
      <c r="BA176" s="2014"/>
      <c r="BB176" s="2014"/>
      <c r="BC176" s="2014"/>
      <c r="BD176" s="2014"/>
      <c r="BE176" s="2014"/>
      <c r="BF176" s="2014"/>
      <c r="BG176" s="2014"/>
      <c r="BH176" s="2014"/>
      <c r="BI176" s="2014"/>
      <c r="BJ176" s="2014"/>
      <c r="BK176" s="2014"/>
      <c r="BL176" s="2014"/>
      <c r="BM176" s="2014"/>
      <c r="BN176" s="2014"/>
      <c r="BO176" s="2014"/>
    </row>
    <row r="177" spans="1:67" ht="20.100000000000001" customHeight="1">
      <c r="A177" s="1845">
        <v>14</v>
      </c>
      <c r="B177" s="1855"/>
      <c r="C177" s="1847"/>
      <c r="D177" s="1848" t="s">
        <v>544</v>
      </c>
      <c r="E177" s="1848"/>
      <c r="F177" s="1849"/>
      <c r="G177" s="2010" t="s">
        <v>540</v>
      </c>
      <c r="H177" s="2011">
        <f t="shared" ca="1" si="95"/>
        <v>38</v>
      </c>
      <c r="I177" s="2011">
        <f t="shared" ca="1" si="95"/>
        <v>38</v>
      </c>
      <c r="J177" s="2011">
        <f t="shared" ca="1" si="95"/>
        <v>38</v>
      </c>
      <c r="K177" s="2011">
        <f t="shared" ca="1" si="95"/>
        <v>38</v>
      </c>
      <c r="L177" s="2012">
        <f t="shared" ca="1" si="96"/>
        <v>0</v>
      </c>
      <c r="M177" s="2012">
        <f t="shared" ca="1" si="97"/>
        <v>0</v>
      </c>
      <c r="N177" s="2012">
        <f t="shared" ca="1" si="98"/>
        <v>0</v>
      </c>
      <c r="O177" s="2012">
        <f t="shared" ca="1" si="99"/>
        <v>0</v>
      </c>
      <c r="P177" s="2013">
        <f ca="1">SUM(SUMIFS(OFFSET(貼付け_2024実績,$A177,10,1,199),OFFSET(貼付け_2024実績,4,9,1,199),{"横浜*","川崎*"}))</f>
        <v>0</v>
      </c>
      <c r="Q177" s="2013">
        <f ca="1">SUM(SUMIFS(OFFSET(貼付け_2025実績,$A177,10,1,199),OFFSET(貼付け_2025実績,4,9,1,199),{"横浜*","川崎*"}))</f>
        <v>0</v>
      </c>
      <c r="R177" s="2013">
        <f ca="1">SUM(SUMIFS(OFFSET(貼付け_2026実績,$A177,10,1,199),OFFSET(貼付け_2026実績,4,9,1,199),{"横浜*","川崎*"}))</f>
        <v>0</v>
      </c>
      <c r="S177" s="2013">
        <f ca="1">SUM(SUMIFS(OFFSET(貼付け_2027実績,$A177,10,1,199),OFFSET(貼付け_2027実績,4,9,1,199),{"横浜*","川崎*"}))</f>
        <v>0</v>
      </c>
      <c r="T177" s="2012">
        <f t="shared" ca="1" si="100"/>
        <v>0</v>
      </c>
      <c r="U177" s="2012">
        <f t="shared" ca="1" si="101"/>
        <v>0</v>
      </c>
      <c r="V177" s="2012">
        <f t="shared" ca="1" si="102"/>
        <v>0</v>
      </c>
      <c r="W177" s="2012">
        <f t="shared" ca="1" si="103"/>
        <v>0</v>
      </c>
      <c r="X177" s="2014">
        <f t="shared" ca="1" si="104"/>
        <v>0</v>
      </c>
      <c r="Y177" s="2014">
        <f t="shared" ca="1" si="105"/>
        <v>0</v>
      </c>
      <c r="Z177" s="2014">
        <f t="shared" ca="1" si="106"/>
        <v>0</v>
      </c>
      <c r="AA177" s="2014">
        <f t="shared" ca="1" si="107"/>
        <v>0</v>
      </c>
      <c r="AB177" s="2014"/>
      <c r="AC177" s="2014"/>
      <c r="AD177" s="2014"/>
      <c r="AE177" s="2014"/>
      <c r="AF177" s="2014"/>
      <c r="AG177" s="2014"/>
      <c r="AH177" s="2014"/>
      <c r="AI177" s="2014"/>
      <c r="AJ177" s="2014"/>
      <c r="AK177" s="2014"/>
      <c r="AL177" s="2014"/>
      <c r="AM177" s="2014"/>
      <c r="AN177" s="2014"/>
      <c r="AO177" s="2014"/>
      <c r="AP177" s="2014"/>
      <c r="AQ177" s="2014"/>
      <c r="AR177" s="2014"/>
      <c r="AS177" s="2014"/>
      <c r="AT177" s="2014"/>
      <c r="AU177" s="2014"/>
      <c r="AV177" s="2014"/>
      <c r="AW177" s="2014"/>
      <c r="AX177" s="2014"/>
      <c r="AY177" s="2014"/>
      <c r="AZ177" s="2014"/>
      <c r="BA177" s="2014"/>
      <c r="BB177" s="2014"/>
      <c r="BC177" s="2014"/>
      <c r="BD177" s="2014"/>
      <c r="BE177" s="2014"/>
      <c r="BF177" s="2014"/>
      <c r="BG177" s="2014"/>
      <c r="BH177" s="2014"/>
      <c r="BI177" s="2014"/>
      <c r="BJ177" s="2014"/>
      <c r="BK177" s="2014"/>
      <c r="BL177" s="2014"/>
      <c r="BM177" s="2014"/>
      <c r="BN177" s="2014"/>
      <c r="BO177" s="2014"/>
    </row>
    <row r="178" spans="1:67" ht="20.100000000000001" customHeight="1">
      <c r="A178" s="1845">
        <v>15</v>
      </c>
      <c r="B178" s="1854"/>
      <c r="C178" s="1847"/>
      <c r="D178" s="1848" t="s">
        <v>545</v>
      </c>
      <c r="E178" s="1848"/>
      <c r="F178" s="1849"/>
      <c r="G178" s="2010" t="s">
        <v>540</v>
      </c>
      <c r="H178" s="2011">
        <f t="shared" ca="1" si="95"/>
        <v>38.9</v>
      </c>
      <c r="I178" s="2011">
        <f t="shared" ca="1" si="95"/>
        <v>38.9</v>
      </c>
      <c r="J178" s="2011">
        <f t="shared" ca="1" si="95"/>
        <v>38.9</v>
      </c>
      <c r="K178" s="2011">
        <f t="shared" ca="1" si="95"/>
        <v>38.9</v>
      </c>
      <c r="L178" s="2012">
        <f t="shared" ca="1" si="96"/>
        <v>0</v>
      </c>
      <c r="M178" s="2012">
        <f t="shared" ca="1" si="97"/>
        <v>0</v>
      </c>
      <c r="N178" s="2012">
        <f t="shared" ca="1" si="98"/>
        <v>0</v>
      </c>
      <c r="O178" s="2012">
        <f t="shared" ca="1" si="99"/>
        <v>0</v>
      </c>
      <c r="P178" s="2013">
        <f ca="1">SUM(SUMIFS(OFFSET(貼付け_2024実績,$A178,10,1,199),OFFSET(貼付け_2024実績,4,9,1,199),{"横浜*","川崎*"}))</f>
        <v>0</v>
      </c>
      <c r="Q178" s="2013">
        <f ca="1">SUM(SUMIFS(OFFSET(貼付け_2025実績,$A178,10,1,199),OFFSET(貼付け_2025実績,4,9,1,199),{"横浜*","川崎*"}))</f>
        <v>0</v>
      </c>
      <c r="R178" s="2013">
        <f ca="1">SUM(SUMIFS(OFFSET(貼付け_2026実績,$A178,10,1,199),OFFSET(貼付け_2026実績,4,9,1,199),{"横浜*","川崎*"}))</f>
        <v>0</v>
      </c>
      <c r="S178" s="2013">
        <f ca="1">SUM(SUMIFS(OFFSET(貼付け_2027実績,$A178,10,1,199),OFFSET(貼付け_2027実績,4,9,1,199),{"横浜*","川崎*"}))</f>
        <v>0</v>
      </c>
      <c r="T178" s="2012">
        <f t="shared" ca="1" si="100"/>
        <v>0</v>
      </c>
      <c r="U178" s="2012">
        <f t="shared" ca="1" si="101"/>
        <v>0</v>
      </c>
      <c r="V178" s="2012">
        <f t="shared" ca="1" si="102"/>
        <v>0</v>
      </c>
      <c r="W178" s="2012">
        <f t="shared" ca="1" si="103"/>
        <v>0</v>
      </c>
      <c r="X178" s="2014">
        <f t="shared" ca="1" si="104"/>
        <v>0</v>
      </c>
      <c r="Y178" s="2014">
        <f t="shared" ca="1" si="105"/>
        <v>0</v>
      </c>
      <c r="Z178" s="2014">
        <f t="shared" ca="1" si="106"/>
        <v>0</v>
      </c>
      <c r="AA178" s="2014">
        <f t="shared" ca="1" si="107"/>
        <v>0</v>
      </c>
      <c r="AB178" s="2014"/>
      <c r="AC178" s="2014"/>
      <c r="AD178" s="2014"/>
      <c r="AE178" s="2014"/>
      <c r="AF178" s="2014"/>
      <c r="AG178" s="2014"/>
      <c r="AH178" s="2014"/>
      <c r="AI178" s="2014"/>
      <c r="AJ178" s="2014"/>
      <c r="AK178" s="2014"/>
      <c r="AL178" s="2014"/>
      <c r="AM178" s="2014"/>
      <c r="AN178" s="2014"/>
      <c r="AO178" s="2014"/>
      <c r="AP178" s="2014"/>
      <c r="AQ178" s="2014"/>
      <c r="AR178" s="2014"/>
      <c r="AS178" s="2014"/>
      <c r="AT178" s="2014"/>
      <c r="AU178" s="2014"/>
      <c r="AV178" s="2014"/>
      <c r="AW178" s="2014"/>
      <c r="AX178" s="2014"/>
      <c r="AY178" s="2014"/>
      <c r="AZ178" s="2014"/>
      <c r="BA178" s="2014"/>
      <c r="BB178" s="2014"/>
      <c r="BC178" s="2014"/>
      <c r="BD178" s="2014"/>
      <c r="BE178" s="2014"/>
      <c r="BF178" s="2014"/>
      <c r="BG178" s="2014"/>
      <c r="BH178" s="2014"/>
      <c r="BI178" s="2014"/>
      <c r="BJ178" s="2014"/>
      <c r="BK178" s="2014"/>
      <c r="BL178" s="2014"/>
      <c r="BM178" s="2014"/>
      <c r="BN178" s="2014"/>
      <c r="BO178" s="2014"/>
    </row>
    <row r="179" spans="1:67" ht="20.100000000000001" customHeight="1">
      <c r="A179" s="1845">
        <v>16</v>
      </c>
      <c r="B179" s="1854"/>
      <c r="C179" s="1847"/>
      <c r="D179" s="1848" t="s">
        <v>546</v>
      </c>
      <c r="E179" s="1837"/>
      <c r="F179" s="1849"/>
      <c r="G179" s="2010" t="s">
        <v>540</v>
      </c>
      <c r="H179" s="2011">
        <f t="shared" ca="1" si="95"/>
        <v>41.8</v>
      </c>
      <c r="I179" s="2011">
        <f t="shared" ca="1" si="95"/>
        <v>41.8</v>
      </c>
      <c r="J179" s="2011">
        <f t="shared" ca="1" si="95"/>
        <v>41.8</v>
      </c>
      <c r="K179" s="2011">
        <f t="shared" ca="1" si="95"/>
        <v>41.8</v>
      </c>
      <c r="L179" s="2012">
        <f t="shared" ca="1" si="96"/>
        <v>0</v>
      </c>
      <c r="M179" s="2012">
        <f t="shared" ca="1" si="97"/>
        <v>0</v>
      </c>
      <c r="N179" s="2012">
        <f t="shared" ca="1" si="98"/>
        <v>0</v>
      </c>
      <c r="O179" s="2012">
        <f t="shared" ca="1" si="99"/>
        <v>0</v>
      </c>
      <c r="P179" s="2013">
        <f ca="1">SUM(SUMIFS(OFFSET(貼付け_2024実績,$A179,10,1,199),OFFSET(貼付け_2024実績,4,9,1,199),{"横浜*","川崎*"}))</f>
        <v>0</v>
      </c>
      <c r="Q179" s="2013">
        <f ca="1">SUM(SUMIFS(OFFSET(貼付け_2025実績,$A179,10,1,199),OFFSET(貼付け_2025実績,4,9,1,199),{"横浜*","川崎*"}))</f>
        <v>0</v>
      </c>
      <c r="R179" s="2013">
        <f ca="1">SUM(SUMIFS(OFFSET(貼付け_2026実績,$A179,10,1,199),OFFSET(貼付け_2026実績,4,9,1,199),{"横浜*","川崎*"}))</f>
        <v>0</v>
      </c>
      <c r="S179" s="2013">
        <f ca="1">SUM(SUMIFS(OFFSET(貼付け_2027実績,$A179,10,1,199),OFFSET(貼付け_2027実績,4,9,1,199),{"横浜*","川崎*"}))</f>
        <v>0</v>
      </c>
      <c r="T179" s="2012">
        <f t="shared" ca="1" si="100"/>
        <v>0</v>
      </c>
      <c r="U179" s="2012">
        <f t="shared" ca="1" si="101"/>
        <v>0</v>
      </c>
      <c r="V179" s="2012">
        <f t="shared" ca="1" si="102"/>
        <v>0</v>
      </c>
      <c r="W179" s="2012">
        <f t="shared" ca="1" si="103"/>
        <v>0</v>
      </c>
      <c r="X179" s="2014">
        <f t="shared" ca="1" si="104"/>
        <v>0</v>
      </c>
      <c r="Y179" s="2014">
        <f t="shared" ca="1" si="105"/>
        <v>0</v>
      </c>
      <c r="Z179" s="2014">
        <f t="shared" ca="1" si="106"/>
        <v>0</v>
      </c>
      <c r="AA179" s="2014">
        <f t="shared" ca="1" si="107"/>
        <v>0</v>
      </c>
      <c r="AB179" s="2014"/>
      <c r="AC179" s="2014"/>
      <c r="AD179" s="2014"/>
      <c r="AE179" s="2014"/>
      <c r="AF179" s="2014"/>
      <c r="AG179" s="2014"/>
      <c r="AH179" s="2014"/>
      <c r="AI179" s="2014"/>
      <c r="AJ179" s="2014"/>
      <c r="AK179" s="2014"/>
      <c r="AL179" s="2014"/>
      <c r="AM179" s="2014"/>
      <c r="AN179" s="2014"/>
      <c r="AO179" s="2014"/>
      <c r="AP179" s="2014"/>
      <c r="AQ179" s="2014"/>
      <c r="AR179" s="2014"/>
      <c r="AS179" s="2014"/>
      <c r="AT179" s="2014"/>
      <c r="AU179" s="2014"/>
      <c r="AV179" s="2014"/>
      <c r="AW179" s="2014"/>
      <c r="AX179" s="2014"/>
      <c r="AY179" s="2014"/>
      <c r="AZ179" s="2014"/>
      <c r="BA179" s="2014"/>
      <c r="BB179" s="2014"/>
      <c r="BC179" s="2014"/>
      <c r="BD179" s="2014"/>
      <c r="BE179" s="2014"/>
      <c r="BF179" s="2014"/>
      <c r="BG179" s="2014"/>
      <c r="BH179" s="2014"/>
      <c r="BI179" s="2014"/>
      <c r="BJ179" s="2014"/>
      <c r="BK179" s="2014"/>
      <c r="BL179" s="2014"/>
      <c r="BM179" s="2014"/>
      <c r="BN179" s="2014"/>
      <c r="BO179" s="2014"/>
    </row>
    <row r="180" spans="1:67" ht="20.100000000000001" customHeight="1">
      <c r="A180" s="1845">
        <v>17</v>
      </c>
      <c r="B180" s="1854"/>
      <c r="C180" s="1847"/>
      <c r="D180" s="1848" t="s">
        <v>547</v>
      </c>
      <c r="E180" s="1848"/>
      <c r="F180" s="1849"/>
      <c r="G180" s="2010" t="s">
        <v>548</v>
      </c>
      <c r="H180" s="2011">
        <f t="shared" ca="1" si="95"/>
        <v>40</v>
      </c>
      <c r="I180" s="2011">
        <f t="shared" ca="1" si="95"/>
        <v>40</v>
      </c>
      <c r="J180" s="2011">
        <f t="shared" ca="1" si="95"/>
        <v>40</v>
      </c>
      <c r="K180" s="2011">
        <f t="shared" ca="1" si="95"/>
        <v>40</v>
      </c>
      <c r="L180" s="2012">
        <f t="shared" ca="1" si="96"/>
        <v>0</v>
      </c>
      <c r="M180" s="2012">
        <f t="shared" ca="1" si="97"/>
        <v>0</v>
      </c>
      <c r="N180" s="2012">
        <f t="shared" ca="1" si="98"/>
        <v>0</v>
      </c>
      <c r="O180" s="2012">
        <f t="shared" ca="1" si="99"/>
        <v>0</v>
      </c>
      <c r="P180" s="2013">
        <f ca="1">SUM(SUMIFS(OFFSET(貼付け_2024実績,$A180,10,1,199),OFFSET(貼付け_2024実績,4,9,1,199),{"横浜*","川崎*"}))</f>
        <v>0</v>
      </c>
      <c r="Q180" s="2013">
        <f ca="1">SUM(SUMIFS(OFFSET(貼付け_2025実績,$A180,10,1,199),OFFSET(貼付け_2025実績,4,9,1,199),{"横浜*","川崎*"}))</f>
        <v>0</v>
      </c>
      <c r="R180" s="2013">
        <f ca="1">SUM(SUMIFS(OFFSET(貼付け_2026実績,$A180,10,1,199),OFFSET(貼付け_2026実績,4,9,1,199),{"横浜*","川崎*"}))</f>
        <v>0</v>
      </c>
      <c r="S180" s="2013">
        <f ca="1">SUM(SUMIFS(OFFSET(貼付け_2027実績,$A180,10,1,199),OFFSET(貼付け_2027実績,4,9,1,199),{"横浜*","川崎*"}))</f>
        <v>0</v>
      </c>
      <c r="T180" s="2012">
        <f t="shared" ca="1" si="100"/>
        <v>0</v>
      </c>
      <c r="U180" s="2012">
        <f t="shared" ca="1" si="101"/>
        <v>0</v>
      </c>
      <c r="V180" s="2012">
        <f t="shared" ca="1" si="102"/>
        <v>0</v>
      </c>
      <c r="W180" s="2012">
        <f t="shared" ca="1" si="103"/>
        <v>0</v>
      </c>
      <c r="X180" s="2014">
        <f t="shared" ca="1" si="104"/>
        <v>0</v>
      </c>
      <c r="Y180" s="2014">
        <f t="shared" ca="1" si="105"/>
        <v>0</v>
      </c>
      <c r="Z180" s="2014">
        <f t="shared" ca="1" si="106"/>
        <v>0</v>
      </c>
      <c r="AA180" s="2014">
        <f t="shared" ca="1" si="107"/>
        <v>0</v>
      </c>
      <c r="AB180" s="2014"/>
      <c r="AC180" s="2014"/>
      <c r="AD180" s="2014"/>
      <c r="AE180" s="2014"/>
      <c r="AF180" s="2014"/>
      <c r="AG180" s="2014"/>
      <c r="AH180" s="2014"/>
      <c r="AI180" s="2014"/>
      <c r="AJ180" s="2014"/>
      <c r="AK180" s="2014"/>
      <c r="AL180" s="2014"/>
      <c r="AM180" s="2014"/>
      <c r="AN180" s="2014"/>
      <c r="AO180" s="2014"/>
      <c r="AP180" s="2014"/>
      <c r="AQ180" s="2014"/>
      <c r="AR180" s="2014"/>
      <c r="AS180" s="2014"/>
      <c r="AT180" s="2014"/>
      <c r="AU180" s="2014"/>
      <c r="AV180" s="2014"/>
      <c r="AW180" s="2014"/>
      <c r="AX180" s="2014"/>
      <c r="AY180" s="2014"/>
      <c r="AZ180" s="2014"/>
      <c r="BA180" s="2014"/>
      <c r="BB180" s="2014"/>
      <c r="BC180" s="2014"/>
      <c r="BD180" s="2014"/>
      <c r="BE180" s="2014"/>
      <c r="BF180" s="2014"/>
      <c r="BG180" s="2014"/>
      <c r="BH180" s="2014"/>
      <c r="BI180" s="2014"/>
      <c r="BJ180" s="2014"/>
      <c r="BK180" s="2014"/>
      <c r="BL180" s="2014"/>
      <c r="BM180" s="2014"/>
      <c r="BN180" s="2014"/>
      <c r="BO180" s="2014"/>
    </row>
    <row r="181" spans="1:67" ht="20.100000000000001" customHeight="1">
      <c r="A181" s="1845">
        <v>18</v>
      </c>
      <c r="B181" s="1854"/>
      <c r="C181" s="1847"/>
      <c r="D181" s="1848" t="s">
        <v>549</v>
      </c>
      <c r="E181" s="1848"/>
      <c r="F181" s="1849"/>
      <c r="G181" s="2010" t="s">
        <v>548</v>
      </c>
      <c r="H181" s="2011">
        <f t="shared" ca="1" si="95"/>
        <v>34.1</v>
      </c>
      <c r="I181" s="2011">
        <f t="shared" ca="1" si="95"/>
        <v>34.1</v>
      </c>
      <c r="J181" s="2011">
        <f t="shared" ca="1" si="95"/>
        <v>34.1</v>
      </c>
      <c r="K181" s="2011">
        <f t="shared" ca="1" si="95"/>
        <v>34.1</v>
      </c>
      <c r="L181" s="2012">
        <f t="shared" ca="1" si="96"/>
        <v>0</v>
      </c>
      <c r="M181" s="2012">
        <f t="shared" ca="1" si="97"/>
        <v>0</v>
      </c>
      <c r="N181" s="2012">
        <f t="shared" ca="1" si="98"/>
        <v>0</v>
      </c>
      <c r="O181" s="2012">
        <f t="shared" ca="1" si="99"/>
        <v>0</v>
      </c>
      <c r="P181" s="2013">
        <f ca="1">SUM(SUMIFS(OFFSET(貼付け_2024実績,$A181,10,1,199),OFFSET(貼付け_2024実績,4,9,1,199),{"横浜*","川崎*"}))</f>
        <v>0</v>
      </c>
      <c r="Q181" s="2013">
        <f ca="1">SUM(SUMIFS(OFFSET(貼付け_2025実績,$A181,10,1,199),OFFSET(貼付け_2025実績,4,9,1,199),{"横浜*","川崎*"}))</f>
        <v>0</v>
      </c>
      <c r="R181" s="2013">
        <f ca="1">SUM(SUMIFS(OFFSET(貼付け_2026実績,$A181,10,1,199),OFFSET(貼付け_2026実績,4,9,1,199),{"横浜*","川崎*"}))</f>
        <v>0</v>
      </c>
      <c r="S181" s="2013">
        <f ca="1">SUM(SUMIFS(OFFSET(貼付け_2027実績,$A181,10,1,199),OFFSET(貼付け_2027実績,4,9,1,199),{"横浜*","川崎*"}))</f>
        <v>0</v>
      </c>
      <c r="T181" s="2012">
        <f t="shared" ca="1" si="100"/>
        <v>0</v>
      </c>
      <c r="U181" s="2012">
        <f t="shared" ca="1" si="101"/>
        <v>0</v>
      </c>
      <c r="V181" s="2012">
        <f t="shared" ca="1" si="102"/>
        <v>0</v>
      </c>
      <c r="W181" s="2012">
        <f t="shared" ca="1" si="103"/>
        <v>0</v>
      </c>
      <c r="X181" s="2014">
        <f t="shared" ca="1" si="104"/>
        <v>0</v>
      </c>
      <c r="Y181" s="2014">
        <f t="shared" ca="1" si="105"/>
        <v>0</v>
      </c>
      <c r="Z181" s="2014">
        <f t="shared" ca="1" si="106"/>
        <v>0</v>
      </c>
      <c r="AA181" s="2014">
        <f t="shared" ca="1" si="107"/>
        <v>0</v>
      </c>
      <c r="AB181" s="2014"/>
      <c r="AC181" s="2014"/>
      <c r="AD181" s="2014"/>
      <c r="AE181" s="2014"/>
      <c r="AF181" s="2014"/>
      <c r="AG181" s="2014"/>
      <c r="AH181" s="2014"/>
      <c r="AI181" s="2014"/>
      <c r="AJ181" s="2014"/>
      <c r="AK181" s="2014"/>
      <c r="AL181" s="2014"/>
      <c r="AM181" s="2014"/>
      <c r="AN181" s="2014"/>
      <c r="AO181" s="2014"/>
      <c r="AP181" s="2014"/>
      <c r="AQ181" s="2014"/>
      <c r="AR181" s="2014"/>
      <c r="AS181" s="2014"/>
      <c r="AT181" s="2014"/>
      <c r="AU181" s="2014"/>
      <c r="AV181" s="2014"/>
      <c r="AW181" s="2014"/>
      <c r="AX181" s="2014"/>
      <c r="AY181" s="2014"/>
      <c r="AZ181" s="2014"/>
      <c r="BA181" s="2014"/>
      <c r="BB181" s="2014"/>
      <c r="BC181" s="2014"/>
      <c r="BD181" s="2014"/>
      <c r="BE181" s="2014"/>
      <c r="BF181" s="2014"/>
      <c r="BG181" s="2014"/>
      <c r="BH181" s="2014"/>
      <c r="BI181" s="2014"/>
      <c r="BJ181" s="2014"/>
      <c r="BK181" s="2014"/>
      <c r="BL181" s="2014"/>
      <c r="BM181" s="2014"/>
      <c r="BN181" s="2014"/>
      <c r="BO181" s="2014"/>
    </row>
    <row r="182" spans="1:67" ht="20.100000000000001" customHeight="1">
      <c r="A182" s="1845">
        <v>19</v>
      </c>
      <c r="B182" s="1855"/>
      <c r="C182" s="1847"/>
      <c r="D182" s="1848" t="s">
        <v>923</v>
      </c>
      <c r="E182" s="1848"/>
      <c r="F182" s="1849"/>
      <c r="G182" s="2010" t="s">
        <v>548</v>
      </c>
      <c r="H182" s="2011">
        <f t="shared" ca="1" si="95"/>
        <v>50.1</v>
      </c>
      <c r="I182" s="2011">
        <f t="shared" ca="1" si="95"/>
        <v>50.1</v>
      </c>
      <c r="J182" s="2011">
        <f t="shared" ca="1" si="95"/>
        <v>50.1</v>
      </c>
      <c r="K182" s="2011">
        <f t="shared" ca="1" si="95"/>
        <v>50.1</v>
      </c>
      <c r="L182" s="2012">
        <f t="shared" ca="1" si="96"/>
        <v>0</v>
      </c>
      <c r="M182" s="2012">
        <f t="shared" ca="1" si="97"/>
        <v>0</v>
      </c>
      <c r="N182" s="2012">
        <f t="shared" ca="1" si="98"/>
        <v>0</v>
      </c>
      <c r="O182" s="2012">
        <f t="shared" ca="1" si="99"/>
        <v>0</v>
      </c>
      <c r="P182" s="2013">
        <f ca="1">SUM(SUMIFS(OFFSET(貼付け_2024実績,$A182,10,1,199),OFFSET(貼付け_2024実績,4,9,1,199),{"横浜*","川崎*"}))</f>
        <v>0</v>
      </c>
      <c r="Q182" s="2013">
        <f ca="1">SUM(SUMIFS(OFFSET(貼付け_2025実績,$A182,10,1,199),OFFSET(貼付け_2025実績,4,9,1,199),{"横浜*","川崎*"}))</f>
        <v>0</v>
      </c>
      <c r="R182" s="2013">
        <f ca="1">SUM(SUMIFS(OFFSET(貼付け_2026実績,$A182,10,1,199),OFFSET(貼付け_2026実績,4,9,1,199),{"横浜*","川崎*"}))</f>
        <v>0</v>
      </c>
      <c r="S182" s="2013">
        <f ca="1">SUM(SUMIFS(OFFSET(貼付け_2027実績,$A182,10,1,199),OFFSET(貼付け_2027実績,4,9,1,199),{"横浜*","川崎*"}))</f>
        <v>0</v>
      </c>
      <c r="T182" s="2012">
        <f t="shared" ca="1" si="100"/>
        <v>0</v>
      </c>
      <c r="U182" s="2012">
        <f t="shared" ca="1" si="101"/>
        <v>0</v>
      </c>
      <c r="V182" s="2012">
        <f t="shared" ca="1" si="102"/>
        <v>0</v>
      </c>
      <c r="W182" s="2012">
        <f t="shared" ca="1" si="103"/>
        <v>0</v>
      </c>
      <c r="X182" s="2014">
        <f t="shared" ca="1" si="104"/>
        <v>0</v>
      </c>
      <c r="Y182" s="2014">
        <f t="shared" ca="1" si="105"/>
        <v>0</v>
      </c>
      <c r="Z182" s="2014">
        <f t="shared" ca="1" si="106"/>
        <v>0</v>
      </c>
      <c r="AA182" s="2014">
        <f t="shared" ca="1" si="107"/>
        <v>0</v>
      </c>
      <c r="AB182" s="2014"/>
      <c r="AC182" s="2014"/>
      <c r="AD182" s="2014"/>
      <c r="AE182" s="2014"/>
      <c r="AF182" s="2014"/>
      <c r="AG182" s="2014"/>
      <c r="AH182" s="2014"/>
      <c r="AI182" s="2014"/>
      <c r="AJ182" s="2014"/>
      <c r="AK182" s="2014"/>
      <c r="AL182" s="2014"/>
      <c r="AM182" s="2014"/>
      <c r="AN182" s="2014"/>
      <c r="AO182" s="2014"/>
      <c r="AP182" s="2014"/>
      <c r="AQ182" s="2014"/>
      <c r="AR182" s="2014"/>
      <c r="AS182" s="2014"/>
      <c r="AT182" s="2014"/>
      <c r="AU182" s="2014"/>
      <c r="AV182" s="2014"/>
      <c r="AW182" s="2014"/>
      <c r="AX182" s="2014"/>
      <c r="AY182" s="2014"/>
      <c r="AZ182" s="2014"/>
      <c r="BA182" s="2014"/>
      <c r="BB182" s="2014"/>
      <c r="BC182" s="2014"/>
      <c r="BD182" s="2014"/>
      <c r="BE182" s="2014"/>
      <c r="BF182" s="2014"/>
      <c r="BG182" s="2014"/>
      <c r="BH182" s="2014"/>
      <c r="BI182" s="2014"/>
      <c r="BJ182" s="2014"/>
      <c r="BK182" s="2014"/>
      <c r="BL182" s="2014"/>
      <c r="BM182" s="2014"/>
      <c r="BN182" s="2014"/>
      <c r="BO182" s="2014"/>
    </row>
    <row r="183" spans="1:67" ht="20.100000000000001" customHeight="1">
      <c r="A183" s="1845">
        <v>20</v>
      </c>
      <c r="B183" s="1854"/>
      <c r="C183" s="1847"/>
      <c r="D183" s="1848" t="s">
        <v>924</v>
      </c>
      <c r="E183" s="1848"/>
      <c r="F183" s="1849"/>
      <c r="G183" s="2010" t="s">
        <v>553</v>
      </c>
      <c r="H183" s="2011">
        <f t="shared" ca="1" si="95"/>
        <v>46.1</v>
      </c>
      <c r="I183" s="2011">
        <f t="shared" ca="1" si="95"/>
        <v>46.1</v>
      </c>
      <c r="J183" s="2011">
        <f t="shared" ca="1" si="95"/>
        <v>46.1</v>
      </c>
      <c r="K183" s="2011">
        <f t="shared" ca="1" si="95"/>
        <v>46.1</v>
      </c>
      <c r="L183" s="2012">
        <f t="shared" ca="1" si="96"/>
        <v>0</v>
      </c>
      <c r="M183" s="2012">
        <f t="shared" ca="1" si="97"/>
        <v>0</v>
      </c>
      <c r="N183" s="2012">
        <f t="shared" ca="1" si="98"/>
        <v>0</v>
      </c>
      <c r="O183" s="2012">
        <f t="shared" ca="1" si="99"/>
        <v>0</v>
      </c>
      <c r="P183" s="2013">
        <f ca="1">SUM(SUMIFS(OFFSET(貼付け_2024実績,$A183,10,1,199),OFFSET(貼付け_2024実績,4,9,1,199),{"横浜*","川崎*"}))</f>
        <v>0</v>
      </c>
      <c r="Q183" s="2013">
        <f ca="1">SUM(SUMIFS(OFFSET(貼付け_2025実績,$A183,10,1,199),OFFSET(貼付け_2025実績,4,9,1,199),{"横浜*","川崎*"}))</f>
        <v>0</v>
      </c>
      <c r="R183" s="2013">
        <f ca="1">SUM(SUMIFS(OFFSET(貼付け_2026実績,$A183,10,1,199),OFFSET(貼付け_2026実績,4,9,1,199),{"横浜*","川崎*"}))</f>
        <v>0</v>
      </c>
      <c r="S183" s="2013">
        <f ca="1">SUM(SUMIFS(OFFSET(貼付け_2027実績,$A183,10,1,199),OFFSET(貼付け_2027実績,4,9,1,199),{"横浜*","川崎*"}))</f>
        <v>0</v>
      </c>
      <c r="T183" s="2012">
        <f t="shared" ca="1" si="100"/>
        <v>0</v>
      </c>
      <c r="U183" s="2012">
        <f t="shared" ca="1" si="101"/>
        <v>0</v>
      </c>
      <c r="V183" s="2012">
        <f t="shared" ca="1" si="102"/>
        <v>0</v>
      </c>
      <c r="W183" s="2012">
        <f t="shared" ca="1" si="103"/>
        <v>0</v>
      </c>
      <c r="X183" s="2014">
        <f t="shared" ca="1" si="104"/>
        <v>0</v>
      </c>
      <c r="Y183" s="2014">
        <f t="shared" ca="1" si="105"/>
        <v>0</v>
      </c>
      <c r="Z183" s="2014">
        <f t="shared" ca="1" si="106"/>
        <v>0</v>
      </c>
      <c r="AA183" s="2014">
        <f t="shared" ca="1" si="107"/>
        <v>0</v>
      </c>
      <c r="AB183" s="2014"/>
      <c r="AC183" s="2014"/>
      <c r="AD183" s="2014"/>
      <c r="AE183" s="2014"/>
      <c r="AF183" s="2014"/>
      <c r="AG183" s="2014"/>
      <c r="AH183" s="2014"/>
      <c r="AI183" s="2014"/>
      <c r="AJ183" s="2014"/>
      <c r="AK183" s="2014"/>
      <c r="AL183" s="2014"/>
      <c r="AM183" s="2014"/>
      <c r="AN183" s="2014"/>
      <c r="AO183" s="2014"/>
      <c r="AP183" s="2014"/>
      <c r="AQ183" s="2014"/>
      <c r="AR183" s="2014"/>
      <c r="AS183" s="2014"/>
      <c r="AT183" s="2014"/>
      <c r="AU183" s="2014"/>
      <c r="AV183" s="2014"/>
      <c r="AW183" s="2014"/>
      <c r="AX183" s="2014"/>
      <c r="AY183" s="2014"/>
      <c r="AZ183" s="2014"/>
      <c r="BA183" s="2014"/>
      <c r="BB183" s="2014"/>
      <c r="BC183" s="2014"/>
      <c r="BD183" s="2014"/>
      <c r="BE183" s="2014"/>
      <c r="BF183" s="2014"/>
      <c r="BG183" s="2014"/>
      <c r="BH183" s="2014"/>
      <c r="BI183" s="2014"/>
      <c r="BJ183" s="2014"/>
      <c r="BK183" s="2014"/>
      <c r="BL183" s="2014"/>
      <c r="BM183" s="2014"/>
      <c r="BN183" s="2014"/>
      <c r="BO183" s="2014"/>
    </row>
    <row r="184" spans="1:67" ht="20.100000000000001" customHeight="1">
      <c r="A184" s="1845">
        <v>21</v>
      </c>
      <c r="B184" s="1855"/>
      <c r="C184" s="1847"/>
      <c r="D184" s="1848" t="s">
        <v>925</v>
      </c>
      <c r="E184" s="1837"/>
      <c r="F184" s="1849"/>
      <c r="G184" s="2010" t="s">
        <v>548</v>
      </c>
      <c r="H184" s="2011">
        <f t="shared" ca="1" si="95"/>
        <v>54.7</v>
      </c>
      <c r="I184" s="2011">
        <f t="shared" ca="1" si="95"/>
        <v>54.7</v>
      </c>
      <c r="J184" s="2011">
        <f t="shared" ca="1" si="95"/>
        <v>54.7</v>
      </c>
      <c r="K184" s="2011">
        <f t="shared" ca="1" si="95"/>
        <v>54.7</v>
      </c>
      <c r="L184" s="2012">
        <f t="shared" ca="1" si="96"/>
        <v>0</v>
      </c>
      <c r="M184" s="2012">
        <f t="shared" ca="1" si="97"/>
        <v>0</v>
      </c>
      <c r="N184" s="2012">
        <f t="shared" ca="1" si="98"/>
        <v>0</v>
      </c>
      <c r="O184" s="2012">
        <f t="shared" ca="1" si="99"/>
        <v>0</v>
      </c>
      <c r="P184" s="2013">
        <f ca="1">SUM(SUMIFS(OFFSET(貼付け_2024実績,$A184,10,1,199),OFFSET(貼付け_2024実績,4,9,1,199),{"横浜*","川崎*"}))</f>
        <v>0</v>
      </c>
      <c r="Q184" s="2013">
        <f ca="1">SUM(SUMIFS(OFFSET(貼付け_2025実績,$A184,10,1,199),OFFSET(貼付け_2025実績,4,9,1,199),{"横浜*","川崎*"}))</f>
        <v>0</v>
      </c>
      <c r="R184" s="2013">
        <f ca="1">SUM(SUMIFS(OFFSET(貼付け_2026実績,$A184,10,1,199),OFFSET(貼付け_2026実績,4,9,1,199),{"横浜*","川崎*"}))</f>
        <v>0</v>
      </c>
      <c r="S184" s="2013">
        <f ca="1">SUM(SUMIFS(OFFSET(貼付け_2027実績,$A184,10,1,199),OFFSET(貼付け_2027実績,4,9,1,199),{"横浜*","川崎*"}))</f>
        <v>0</v>
      </c>
      <c r="T184" s="2012">
        <f t="shared" ca="1" si="100"/>
        <v>0</v>
      </c>
      <c r="U184" s="2012">
        <f t="shared" ca="1" si="101"/>
        <v>0</v>
      </c>
      <c r="V184" s="2012">
        <f t="shared" ca="1" si="102"/>
        <v>0</v>
      </c>
      <c r="W184" s="2012">
        <f t="shared" ca="1" si="103"/>
        <v>0</v>
      </c>
      <c r="X184" s="2014">
        <f t="shared" ca="1" si="104"/>
        <v>0</v>
      </c>
      <c r="Y184" s="2014">
        <f t="shared" ca="1" si="105"/>
        <v>0</v>
      </c>
      <c r="Z184" s="2014">
        <f t="shared" ca="1" si="106"/>
        <v>0</v>
      </c>
      <c r="AA184" s="2014">
        <f t="shared" ca="1" si="107"/>
        <v>0</v>
      </c>
      <c r="AB184" s="2014"/>
      <c r="AC184" s="2014"/>
      <c r="AD184" s="2014"/>
      <c r="AE184" s="2014"/>
      <c r="AF184" s="2014"/>
      <c r="AG184" s="2014"/>
      <c r="AH184" s="2014"/>
      <c r="AI184" s="2014"/>
      <c r="AJ184" s="2014"/>
      <c r="AK184" s="2014"/>
      <c r="AL184" s="2014"/>
      <c r="AM184" s="2014"/>
      <c r="AN184" s="2014"/>
      <c r="AO184" s="2014"/>
      <c r="AP184" s="2014"/>
      <c r="AQ184" s="2014"/>
      <c r="AR184" s="2014"/>
      <c r="AS184" s="2014"/>
      <c r="AT184" s="2014"/>
      <c r="AU184" s="2014"/>
      <c r="AV184" s="2014"/>
      <c r="AW184" s="2014"/>
      <c r="AX184" s="2014"/>
      <c r="AY184" s="2014"/>
      <c r="AZ184" s="2014"/>
      <c r="BA184" s="2014"/>
      <c r="BB184" s="2014"/>
      <c r="BC184" s="2014"/>
      <c r="BD184" s="2014"/>
      <c r="BE184" s="2014"/>
      <c r="BF184" s="2014"/>
      <c r="BG184" s="2014"/>
      <c r="BH184" s="2014"/>
      <c r="BI184" s="2014"/>
      <c r="BJ184" s="2014"/>
      <c r="BK184" s="2014"/>
      <c r="BL184" s="2014"/>
      <c r="BM184" s="2014"/>
      <c r="BN184" s="2014"/>
      <c r="BO184" s="2014"/>
    </row>
    <row r="185" spans="1:67" ht="20.100000000000001" customHeight="1">
      <c r="A185" s="1845">
        <v>22</v>
      </c>
      <c r="B185" s="1854"/>
      <c r="C185" s="1847"/>
      <c r="D185" s="1848" t="s">
        <v>926</v>
      </c>
      <c r="E185" s="1848"/>
      <c r="F185" s="1849"/>
      <c r="G185" s="2010" t="s">
        <v>553</v>
      </c>
      <c r="H185" s="2011">
        <f t="shared" ca="1" si="95"/>
        <v>38.4</v>
      </c>
      <c r="I185" s="2011">
        <f t="shared" ca="1" si="95"/>
        <v>38.4</v>
      </c>
      <c r="J185" s="2011">
        <f t="shared" ca="1" si="95"/>
        <v>38.4</v>
      </c>
      <c r="K185" s="2011">
        <f t="shared" ca="1" si="95"/>
        <v>38.4</v>
      </c>
      <c r="L185" s="2012">
        <f t="shared" ca="1" si="96"/>
        <v>0</v>
      </c>
      <c r="M185" s="2012">
        <f t="shared" ca="1" si="97"/>
        <v>0</v>
      </c>
      <c r="N185" s="2012">
        <f t="shared" ca="1" si="98"/>
        <v>0</v>
      </c>
      <c r="O185" s="2012">
        <f t="shared" ca="1" si="99"/>
        <v>0</v>
      </c>
      <c r="P185" s="2013">
        <f ca="1">SUM(SUMIFS(OFFSET(貼付け_2024実績,$A185,10,1,199),OFFSET(貼付け_2024実績,4,9,1,199),{"横浜*","川崎*"}))</f>
        <v>0</v>
      </c>
      <c r="Q185" s="2013">
        <f ca="1">SUM(SUMIFS(OFFSET(貼付け_2025実績,$A185,10,1,199),OFFSET(貼付け_2025実績,4,9,1,199),{"横浜*","川崎*"}))</f>
        <v>0</v>
      </c>
      <c r="R185" s="2013">
        <f ca="1">SUM(SUMIFS(OFFSET(貼付け_2026実績,$A185,10,1,199),OFFSET(貼付け_2026実績,4,9,1,199),{"横浜*","川崎*"}))</f>
        <v>0</v>
      </c>
      <c r="S185" s="2013">
        <f ca="1">SUM(SUMIFS(OFFSET(貼付け_2027実績,$A185,10,1,199),OFFSET(貼付け_2027実績,4,9,1,199),{"横浜*","川崎*"}))</f>
        <v>0</v>
      </c>
      <c r="T185" s="2012">
        <f t="shared" ca="1" si="100"/>
        <v>0</v>
      </c>
      <c r="U185" s="2012">
        <f t="shared" ca="1" si="101"/>
        <v>0</v>
      </c>
      <c r="V185" s="2012">
        <f t="shared" ca="1" si="102"/>
        <v>0</v>
      </c>
      <c r="W185" s="2012">
        <f t="shared" ca="1" si="103"/>
        <v>0</v>
      </c>
      <c r="X185" s="2014">
        <f t="shared" ca="1" si="104"/>
        <v>0</v>
      </c>
      <c r="Y185" s="2014">
        <f t="shared" ca="1" si="105"/>
        <v>0</v>
      </c>
      <c r="Z185" s="2014">
        <f t="shared" ca="1" si="106"/>
        <v>0</v>
      </c>
      <c r="AA185" s="2014">
        <f t="shared" ca="1" si="107"/>
        <v>0</v>
      </c>
      <c r="AB185" s="2014"/>
      <c r="AC185" s="2014"/>
      <c r="AD185" s="2014"/>
      <c r="AE185" s="2014"/>
      <c r="AF185" s="2014"/>
      <c r="AG185" s="2014"/>
      <c r="AH185" s="2014"/>
      <c r="AI185" s="2014"/>
      <c r="AJ185" s="2014"/>
      <c r="AK185" s="2014"/>
      <c r="AL185" s="2014"/>
      <c r="AM185" s="2014"/>
      <c r="AN185" s="2014"/>
      <c r="AO185" s="2014"/>
      <c r="AP185" s="2014"/>
      <c r="AQ185" s="2014"/>
      <c r="AR185" s="2014"/>
      <c r="AS185" s="2014"/>
      <c r="AT185" s="2014"/>
      <c r="AU185" s="2014"/>
      <c r="AV185" s="2014"/>
      <c r="AW185" s="2014"/>
      <c r="AX185" s="2014"/>
      <c r="AY185" s="2014"/>
      <c r="AZ185" s="2014"/>
      <c r="BA185" s="2014"/>
      <c r="BB185" s="2014"/>
      <c r="BC185" s="2014"/>
      <c r="BD185" s="2014"/>
      <c r="BE185" s="2014"/>
      <c r="BF185" s="2014"/>
      <c r="BG185" s="2014"/>
      <c r="BH185" s="2014"/>
      <c r="BI185" s="2014"/>
      <c r="BJ185" s="2014"/>
      <c r="BK185" s="2014"/>
      <c r="BL185" s="2014"/>
      <c r="BM185" s="2014"/>
      <c r="BN185" s="2014"/>
      <c r="BO185" s="2014"/>
    </row>
    <row r="186" spans="1:67" ht="20.100000000000001" customHeight="1">
      <c r="A186" s="1845">
        <v>23</v>
      </c>
      <c r="B186" s="1854"/>
      <c r="C186" s="1847"/>
      <c r="D186" s="1848" t="s">
        <v>927</v>
      </c>
      <c r="E186" s="1848"/>
      <c r="F186" s="1849"/>
      <c r="G186" s="2010" t="s">
        <v>548</v>
      </c>
      <c r="H186" s="2011">
        <f t="shared" ca="1" si="95"/>
        <v>28.7</v>
      </c>
      <c r="I186" s="2011">
        <f t="shared" ca="1" si="95"/>
        <v>28.7</v>
      </c>
      <c r="J186" s="2011">
        <f t="shared" ca="1" si="95"/>
        <v>28.7</v>
      </c>
      <c r="K186" s="2011">
        <f t="shared" ca="1" si="95"/>
        <v>28.7</v>
      </c>
      <c r="L186" s="2012">
        <f t="shared" ca="1" si="96"/>
        <v>0</v>
      </c>
      <c r="M186" s="2012">
        <f t="shared" ca="1" si="97"/>
        <v>0</v>
      </c>
      <c r="N186" s="2012">
        <f t="shared" ca="1" si="98"/>
        <v>0</v>
      </c>
      <c r="O186" s="2012">
        <f t="shared" ca="1" si="99"/>
        <v>0</v>
      </c>
      <c r="P186" s="2013">
        <f ca="1">SUM(SUMIFS(OFFSET(貼付け_2024実績,$A186,10,1,199),OFFSET(貼付け_2024実績,4,9,1,199),{"横浜*","川崎*"}))</f>
        <v>0</v>
      </c>
      <c r="Q186" s="2013">
        <f ca="1">SUM(SUMIFS(OFFSET(貼付け_2025実績,$A186,10,1,199),OFFSET(貼付け_2025実績,4,9,1,199),{"横浜*","川崎*"}))</f>
        <v>0</v>
      </c>
      <c r="R186" s="2013">
        <f ca="1">SUM(SUMIFS(OFFSET(貼付け_2026実績,$A186,10,1,199),OFFSET(貼付け_2026実績,4,9,1,199),{"横浜*","川崎*"}))</f>
        <v>0</v>
      </c>
      <c r="S186" s="2013">
        <f ca="1">SUM(SUMIFS(OFFSET(貼付け_2027実績,$A186,10,1,199),OFFSET(貼付け_2027実績,4,9,1,199),{"横浜*","川崎*"}))</f>
        <v>0</v>
      </c>
      <c r="T186" s="2012">
        <f t="shared" ca="1" si="100"/>
        <v>0</v>
      </c>
      <c r="U186" s="2012">
        <f t="shared" ca="1" si="101"/>
        <v>0</v>
      </c>
      <c r="V186" s="2012">
        <f t="shared" ca="1" si="102"/>
        <v>0</v>
      </c>
      <c r="W186" s="2012">
        <f t="shared" ca="1" si="103"/>
        <v>0</v>
      </c>
      <c r="X186" s="2014">
        <f t="shared" ca="1" si="104"/>
        <v>0</v>
      </c>
      <c r="Y186" s="2014">
        <f t="shared" ca="1" si="105"/>
        <v>0</v>
      </c>
      <c r="Z186" s="2014">
        <f t="shared" ca="1" si="106"/>
        <v>0</v>
      </c>
      <c r="AA186" s="2014">
        <f t="shared" ca="1" si="107"/>
        <v>0</v>
      </c>
      <c r="AB186" s="2014"/>
      <c r="AC186" s="2014"/>
      <c r="AD186" s="2014"/>
      <c r="AE186" s="2014"/>
      <c r="AF186" s="2014"/>
      <c r="AG186" s="2014"/>
      <c r="AH186" s="2014"/>
      <c r="AI186" s="2014"/>
      <c r="AJ186" s="2014"/>
      <c r="AK186" s="2014"/>
      <c r="AL186" s="2014"/>
      <c r="AM186" s="2014"/>
      <c r="AN186" s="2014"/>
      <c r="AO186" s="2014"/>
      <c r="AP186" s="2014"/>
      <c r="AQ186" s="2014"/>
      <c r="AR186" s="2014"/>
      <c r="AS186" s="2014"/>
      <c r="AT186" s="2014"/>
      <c r="AU186" s="2014"/>
      <c r="AV186" s="2014"/>
      <c r="AW186" s="2014"/>
      <c r="AX186" s="2014"/>
      <c r="AY186" s="2014"/>
      <c r="AZ186" s="2014"/>
      <c r="BA186" s="2014"/>
      <c r="BB186" s="2014"/>
      <c r="BC186" s="2014"/>
      <c r="BD186" s="2014"/>
      <c r="BE186" s="2014"/>
      <c r="BF186" s="2014"/>
      <c r="BG186" s="2014"/>
      <c r="BH186" s="2014"/>
      <c r="BI186" s="2014"/>
      <c r="BJ186" s="2014"/>
      <c r="BK186" s="2014"/>
      <c r="BL186" s="2014"/>
      <c r="BM186" s="2014"/>
      <c r="BN186" s="2014"/>
      <c r="BO186" s="2014"/>
    </row>
    <row r="187" spans="1:67" ht="20.100000000000001" customHeight="1">
      <c r="A187" s="1845">
        <v>24</v>
      </c>
      <c r="B187" s="1854"/>
      <c r="C187" s="1847"/>
      <c r="D187" s="1848" t="s">
        <v>928</v>
      </c>
      <c r="E187" s="1837"/>
      <c r="F187" s="1849"/>
      <c r="G187" s="2010" t="s">
        <v>548</v>
      </c>
      <c r="H187" s="2011">
        <f t="shared" ca="1" si="95"/>
        <v>28.9</v>
      </c>
      <c r="I187" s="2011">
        <f t="shared" ca="1" si="95"/>
        <v>28.9</v>
      </c>
      <c r="J187" s="2011">
        <f t="shared" ca="1" si="95"/>
        <v>28.9</v>
      </c>
      <c r="K187" s="2011">
        <f t="shared" ca="1" si="95"/>
        <v>28.9</v>
      </c>
      <c r="L187" s="2012">
        <f t="shared" ca="1" si="96"/>
        <v>0</v>
      </c>
      <c r="M187" s="2012">
        <f t="shared" ca="1" si="97"/>
        <v>0</v>
      </c>
      <c r="N187" s="2012">
        <f t="shared" ca="1" si="98"/>
        <v>0</v>
      </c>
      <c r="O187" s="2012">
        <f t="shared" ca="1" si="99"/>
        <v>0</v>
      </c>
      <c r="P187" s="2013">
        <f ca="1">SUM(SUMIFS(OFFSET(貼付け_2024実績,$A187,10,1,199),OFFSET(貼付け_2024実績,4,9,1,199),{"横浜*","川崎*"}))</f>
        <v>0</v>
      </c>
      <c r="Q187" s="2013">
        <f ca="1">SUM(SUMIFS(OFFSET(貼付け_2025実績,$A187,10,1,199),OFFSET(貼付け_2025実績,4,9,1,199),{"横浜*","川崎*"}))</f>
        <v>0</v>
      </c>
      <c r="R187" s="2013">
        <f ca="1">SUM(SUMIFS(OFFSET(貼付け_2026実績,$A187,10,1,199),OFFSET(貼付け_2026実績,4,9,1,199),{"横浜*","川崎*"}))</f>
        <v>0</v>
      </c>
      <c r="S187" s="2013">
        <f ca="1">SUM(SUMIFS(OFFSET(貼付け_2027実績,$A187,10,1,199),OFFSET(貼付け_2027実績,4,9,1,199),{"横浜*","川崎*"}))</f>
        <v>0</v>
      </c>
      <c r="T187" s="2012">
        <f t="shared" ca="1" si="100"/>
        <v>0</v>
      </c>
      <c r="U187" s="2012">
        <f t="shared" ca="1" si="101"/>
        <v>0</v>
      </c>
      <c r="V187" s="2012">
        <f t="shared" ca="1" si="102"/>
        <v>0</v>
      </c>
      <c r="W187" s="2012">
        <f t="shared" ca="1" si="103"/>
        <v>0</v>
      </c>
      <c r="X187" s="2014">
        <f t="shared" ca="1" si="104"/>
        <v>0</v>
      </c>
      <c r="Y187" s="2014">
        <f t="shared" ca="1" si="105"/>
        <v>0</v>
      </c>
      <c r="Z187" s="2014">
        <f t="shared" ca="1" si="106"/>
        <v>0</v>
      </c>
      <c r="AA187" s="2014">
        <f t="shared" ca="1" si="107"/>
        <v>0</v>
      </c>
      <c r="AB187" s="2014"/>
      <c r="AC187" s="2014"/>
      <c r="AD187" s="2014"/>
      <c r="AE187" s="2014"/>
      <c r="AF187" s="2014"/>
      <c r="AG187" s="2014"/>
      <c r="AH187" s="2014"/>
      <c r="AI187" s="2014"/>
      <c r="AJ187" s="2014"/>
      <c r="AK187" s="2014"/>
      <c r="AL187" s="2014"/>
      <c r="AM187" s="2014"/>
      <c r="AN187" s="2014"/>
      <c r="AO187" s="2014"/>
      <c r="AP187" s="2014"/>
      <c r="AQ187" s="2014"/>
      <c r="AR187" s="2014"/>
      <c r="AS187" s="2014"/>
      <c r="AT187" s="2014"/>
      <c r="AU187" s="2014"/>
      <c r="AV187" s="2014"/>
      <c r="AW187" s="2014"/>
      <c r="AX187" s="2014"/>
      <c r="AY187" s="2014"/>
      <c r="AZ187" s="2014"/>
      <c r="BA187" s="2014"/>
      <c r="BB187" s="2014"/>
      <c r="BC187" s="2014"/>
      <c r="BD187" s="2014"/>
      <c r="BE187" s="2014"/>
      <c r="BF187" s="2014"/>
      <c r="BG187" s="2014"/>
      <c r="BH187" s="2014"/>
      <c r="BI187" s="2014"/>
      <c r="BJ187" s="2014"/>
      <c r="BK187" s="2014"/>
      <c r="BL187" s="2014"/>
      <c r="BM187" s="2014"/>
      <c r="BN187" s="2014"/>
      <c r="BO187" s="2014"/>
    </row>
    <row r="188" spans="1:67" ht="20.100000000000001" customHeight="1">
      <c r="A188" s="1845">
        <v>25</v>
      </c>
      <c r="B188" s="1854"/>
      <c r="C188" s="1847"/>
      <c r="D188" s="1848" t="s">
        <v>929</v>
      </c>
      <c r="E188" s="1848"/>
      <c r="F188" s="1849"/>
      <c r="G188" s="2010" t="s">
        <v>548</v>
      </c>
      <c r="H188" s="2011">
        <f t="shared" ca="1" si="95"/>
        <v>28.3</v>
      </c>
      <c r="I188" s="2011">
        <f t="shared" ca="1" si="95"/>
        <v>28.3</v>
      </c>
      <c r="J188" s="2011">
        <f t="shared" ca="1" si="95"/>
        <v>28.3</v>
      </c>
      <c r="K188" s="2011">
        <f t="shared" ca="1" si="95"/>
        <v>28.3</v>
      </c>
      <c r="L188" s="2012">
        <f t="shared" ca="1" si="96"/>
        <v>0</v>
      </c>
      <c r="M188" s="2012">
        <f t="shared" ca="1" si="97"/>
        <v>0</v>
      </c>
      <c r="N188" s="2012">
        <f t="shared" ca="1" si="98"/>
        <v>0</v>
      </c>
      <c r="O188" s="2012">
        <f t="shared" ca="1" si="99"/>
        <v>0</v>
      </c>
      <c r="P188" s="2013">
        <f ca="1">SUM(SUMIFS(OFFSET(貼付け_2024実績,$A188,10,1,199),OFFSET(貼付け_2024実績,4,9,1,199),{"横浜*","川崎*"}))</f>
        <v>0</v>
      </c>
      <c r="Q188" s="2013">
        <f ca="1">SUM(SUMIFS(OFFSET(貼付け_2025実績,$A188,10,1,199),OFFSET(貼付け_2025実績,4,9,1,199),{"横浜*","川崎*"}))</f>
        <v>0</v>
      </c>
      <c r="R188" s="2013">
        <f ca="1">SUM(SUMIFS(OFFSET(貼付け_2026実績,$A188,10,1,199),OFFSET(貼付け_2026実績,4,9,1,199),{"横浜*","川崎*"}))</f>
        <v>0</v>
      </c>
      <c r="S188" s="2013">
        <f ca="1">SUM(SUMIFS(OFFSET(貼付け_2027実績,$A188,10,1,199),OFFSET(貼付け_2027実績,4,9,1,199),{"横浜*","川崎*"}))</f>
        <v>0</v>
      </c>
      <c r="T188" s="2012">
        <f t="shared" ca="1" si="100"/>
        <v>0</v>
      </c>
      <c r="U188" s="2012">
        <f t="shared" ca="1" si="101"/>
        <v>0</v>
      </c>
      <c r="V188" s="2012">
        <f t="shared" ca="1" si="102"/>
        <v>0</v>
      </c>
      <c r="W188" s="2012">
        <f t="shared" ca="1" si="103"/>
        <v>0</v>
      </c>
      <c r="X188" s="2014">
        <f t="shared" ca="1" si="104"/>
        <v>0</v>
      </c>
      <c r="Y188" s="2014">
        <f t="shared" ca="1" si="105"/>
        <v>0</v>
      </c>
      <c r="Z188" s="2014">
        <f t="shared" ca="1" si="106"/>
        <v>0</v>
      </c>
      <c r="AA188" s="2014">
        <f t="shared" ca="1" si="107"/>
        <v>0</v>
      </c>
      <c r="AB188" s="2014"/>
      <c r="AC188" s="2014"/>
      <c r="AD188" s="2014"/>
      <c r="AE188" s="2014"/>
      <c r="AF188" s="2014"/>
      <c r="AG188" s="2014"/>
      <c r="AH188" s="2014"/>
      <c r="AI188" s="2014"/>
      <c r="AJ188" s="2014"/>
      <c r="AK188" s="2014"/>
      <c r="AL188" s="2014"/>
      <c r="AM188" s="2014"/>
      <c r="AN188" s="2014"/>
      <c r="AO188" s="2014"/>
      <c r="AP188" s="2014"/>
      <c r="AQ188" s="2014"/>
      <c r="AR188" s="2014"/>
      <c r="AS188" s="2014"/>
      <c r="AT188" s="2014"/>
      <c r="AU188" s="2014"/>
      <c r="AV188" s="2014"/>
      <c r="AW188" s="2014"/>
      <c r="AX188" s="2014"/>
      <c r="AY188" s="2014"/>
      <c r="AZ188" s="2014"/>
      <c r="BA188" s="2014"/>
      <c r="BB188" s="2014"/>
      <c r="BC188" s="2014"/>
      <c r="BD188" s="2014"/>
      <c r="BE188" s="2014"/>
      <c r="BF188" s="2014"/>
      <c r="BG188" s="2014"/>
      <c r="BH188" s="2014"/>
      <c r="BI188" s="2014"/>
      <c r="BJ188" s="2014"/>
      <c r="BK188" s="2014"/>
      <c r="BL188" s="2014"/>
      <c r="BM188" s="2014"/>
      <c r="BN188" s="2014"/>
      <c r="BO188" s="2014"/>
    </row>
    <row r="189" spans="1:67" ht="20.100000000000001" customHeight="1">
      <c r="A189" s="1845">
        <v>26</v>
      </c>
      <c r="B189" s="1854"/>
      <c r="C189" s="1847"/>
      <c r="D189" s="1848" t="s">
        <v>930</v>
      </c>
      <c r="E189" s="1848"/>
      <c r="F189" s="1849"/>
      <c r="G189" s="2010" t="s">
        <v>548</v>
      </c>
      <c r="H189" s="2011">
        <f t="shared" ca="1" si="95"/>
        <v>26.1</v>
      </c>
      <c r="I189" s="2011">
        <f t="shared" ca="1" si="95"/>
        <v>26.1</v>
      </c>
      <c r="J189" s="2011">
        <f t="shared" ca="1" si="95"/>
        <v>26.1</v>
      </c>
      <c r="K189" s="2011">
        <f t="shared" ca="1" si="95"/>
        <v>26.1</v>
      </c>
      <c r="L189" s="2012">
        <f t="shared" ca="1" si="96"/>
        <v>0</v>
      </c>
      <c r="M189" s="2012">
        <f t="shared" ca="1" si="97"/>
        <v>0</v>
      </c>
      <c r="N189" s="2012">
        <f t="shared" ca="1" si="98"/>
        <v>0</v>
      </c>
      <c r="O189" s="2012">
        <f t="shared" ca="1" si="99"/>
        <v>0</v>
      </c>
      <c r="P189" s="2013">
        <f ca="1">SUM(SUMIFS(OFFSET(貼付け_2024実績,$A189,10,1,199),OFFSET(貼付け_2024実績,4,9,1,199),{"横浜*","川崎*"}))</f>
        <v>0</v>
      </c>
      <c r="Q189" s="2013">
        <f ca="1">SUM(SUMIFS(OFFSET(貼付け_2025実績,$A189,10,1,199),OFFSET(貼付け_2025実績,4,9,1,199),{"横浜*","川崎*"}))</f>
        <v>0</v>
      </c>
      <c r="R189" s="2013">
        <f ca="1">SUM(SUMIFS(OFFSET(貼付け_2026実績,$A189,10,1,199),OFFSET(貼付け_2026実績,4,9,1,199),{"横浜*","川崎*"}))</f>
        <v>0</v>
      </c>
      <c r="S189" s="2013">
        <f ca="1">SUM(SUMIFS(OFFSET(貼付け_2027実績,$A189,10,1,199),OFFSET(貼付け_2027実績,4,9,1,199),{"横浜*","川崎*"}))</f>
        <v>0</v>
      </c>
      <c r="T189" s="2012">
        <f t="shared" ca="1" si="100"/>
        <v>0</v>
      </c>
      <c r="U189" s="2012">
        <f t="shared" ca="1" si="101"/>
        <v>0</v>
      </c>
      <c r="V189" s="2012">
        <f t="shared" ca="1" si="102"/>
        <v>0</v>
      </c>
      <c r="W189" s="2012">
        <f t="shared" ca="1" si="103"/>
        <v>0</v>
      </c>
      <c r="X189" s="2014">
        <f t="shared" ca="1" si="104"/>
        <v>0</v>
      </c>
      <c r="Y189" s="2014">
        <f t="shared" ca="1" si="105"/>
        <v>0</v>
      </c>
      <c r="Z189" s="2014">
        <f t="shared" ca="1" si="106"/>
        <v>0</v>
      </c>
      <c r="AA189" s="2014">
        <f t="shared" ca="1" si="107"/>
        <v>0</v>
      </c>
      <c r="AB189" s="2014"/>
      <c r="AC189" s="2014"/>
      <c r="AD189" s="2014"/>
      <c r="AE189" s="2014"/>
      <c r="AF189" s="2014"/>
      <c r="AG189" s="2014"/>
      <c r="AH189" s="2014"/>
      <c r="AI189" s="2014"/>
      <c r="AJ189" s="2014"/>
      <c r="AK189" s="2014"/>
      <c r="AL189" s="2014"/>
      <c r="AM189" s="2014"/>
      <c r="AN189" s="2014"/>
      <c r="AO189" s="2014"/>
      <c r="AP189" s="2014"/>
      <c r="AQ189" s="2014"/>
      <c r="AR189" s="2014"/>
      <c r="AS189" s="2014"/>
      <c r="AT189" s="2014"/>
      <c r="AU189" s="2014"/>
      <c r="AV189" s="2014"/>
      <c r="AW189" s="2014"/>
      <c r="AX189" s="2014"/>
      <c r="AY189" s="2014"/>
      <c r="AZ189" s="2014"/>
      <c r="BA189" s="2014"/>
      <c r="BB189" s="2014"/>
      <c r="BC189" s="2014"/>
      <c r="BD189" s="2014"/>
      <c r="BE189" s="2014"/>
      <c r="BF189" s="2014"/>
      <c r="BG189" s="2014"/>
      <c r="BH189" s="2014"/>
      <c r="BI189" s="2014"/>
      <c r="BJ189" s="2014"/>
      <c r="BK189" s="2014"/>
      <c r="BL189" s="2014"/>
      <c r="BM189" s="2014"/>
      <c r="BN189" s="2014"/>
      <c r="BO189" s="2014"/>
    </row>
    <row r="190" spans="1:67" ht="20.100000000000001" customHeight="1">
      <c r="A190" s="1845">
        <v>27</v>
      </c>
      <c r="B190" s="1854"/>
      <c r="C190" s="1847"/>
      <c r="D190" s="1848" t="s">
        <v>931</v>
      </c>
      <c r="E190" s="1848"/>
      <c r="F190" s="1849"/>
      <c r="G190" s="2010" t="s">
        <v>548</v>
      </c>
      <c r="H190" s="2011">
        <f t="shared" ca="1" si="95"/>
        <v>24.2</v>
      </c>
      <c r="I190" s="2011">
        <f t="shared" ca="1" si="95"/>
        <v>24.2</v>
      </c>
      <c r="J190" s="2011">
        <f t="shared" ca="1" si="95"/>
        <v>24.2</v>
      </c>
      <c r="K190" s="2011">
        <f t="shared" ca="1" si="95"/>
        <v>24.2</v>
      </c>
      <c r="L190" s="2012">
        <f t="shared" ca="1" si="96"/>
        <v>0</v>
      </c>
      <c r="M190" s="2012">
        <f t="shared" ca="1" si="97"/>
        <v>0</v>
      </c>
      <c r="N190" s="2012">
        <f t="shared" ca="1" si="98"/>
        <v>0</v>
      </c>
      <c r="O190" s="2012">
        <f t="shared" ca="1" si="99"/>
        <v>0</v>
      </c>
      <c r="P190" s="2013">
        <f ca="1">SUM(SUMIFS(OFFSET(貼付け_2024実績,$A190,10,1,199),OFFSET(貼付け_2024実績,4,9,1,199),{"横浜*","川崎*"}))</f>
        <v>0</v>
      </c>
      <c r="Q190" s="2013">
        <f ca="1">SUM(SUMIFS(OFFSET(貼付け_2025実績,$A190,10,1,199),OFFSET(貼付け_2025実績,4,9,1,199),{"横浜*","川崎*"}))</f>
        <v>0</v>
      </c>
      <c r="R190" s="2013">
        <f ca="1">SUM(SUMIFS(OFFSET(貼付け_2026実績,$A190,10,1,199),OFFSET(貼付け_2026実績,4,9,1,199),{"横浜*","川崎*"}))</f>
        <v>0</v>
      </c>
      <c r="S190" s="2013">
        <f ca="1">SUM(SUMIFS(OFFSET(貼付け_2027実績,$A190,10,1,199),OFFSET(貼付け_2027実績,4,9,1,199),{"横浜*","川崎*"}))</f>
        <v>0</v>
      </c>
      <c r="T190" s="2012">
        <f t="shared" ca="1" si="100"/>
        <v>0</v>
      </c>
      <c r="U190" s="2012">
        <f t="shared" ca="1" si="101"/>
        <v>0</v>
      </c>
      <c r="V190" s="2012">
        <f t="shared" ca="1" si="102"/>
        <v>0</v>
      </c>
      <c r="W190" s="2012">
        <f t="shared" ca="1" si="103"/>
        <v>0</v>
      </c>
      <c r="X190" s="2014">
        <f t="shared" ca="1" si="104"/>
        <v>0</v>
      </c>
      <c r="Y190" s="2014">
        <f t="shared" ca="1" si="105"/>
        <v>0</v>
      </c>
      <c r="Z190" s="2014">
        <f t="shared" ca="1" si="106"/>
        <v>0</v>
      </c>
      <c r="AA190" s="2014">
        <f t="shared" ca="1" si="107"/>
        <v>0</v>
      </c>
      <c r="AB190" s="2014"/>
      <c r="AC190" s="2014"/>
      <c r="AD190" s="2014"/>
      <c r="AE190" s="2014"/>
      <c r="AF190" s="2014"/>
      <c r="AG190" s="2014"/>
      <c r="AH190" s="2014"/>
      <c r="AI190" s="2014"/>
      <c r="AJ190" s="2014"/>
      <c r="AK190" s="2014"/>
      <c r="AL190" s="2014"/>
      <c r="AM190" s="2014"/>
      <c r="AN190" s="2014"/>
      <c r="AO190" s="2014"/>
      <c r="AP190" s="2014"/>
      <c r="AQ190" s="2014"/>
      <c r="AR190" s="2014"/>
      <c r="AS190" s="2014"/>
      <c r="AT190" s="2014"/>
      <c r="AU190" s="2014"/>
      <c r="AV190" s="2014"/>
      <c r="AW190" s="2014"/>
      <c r="AX190" s="2014"/>
      <c r="AY190" s="2014"/>
      <c r="AZ190" s="2014"/>
      <c r="BA190" s="2014"/>
      <c r="BB190" s="2014"/>
      <c r="BC190" s="2014"/>
      <c r="BD190" s="2014"/>
      <c r="BE190" s="2014"/>
      <c r="BF190" s="2014"/>
      <c r="BG190" s="2014"/>
      <c r="BH190" s="2014"/>
      <c r="BI190" s="2014"/>
      <c r="BJ190" s="2014"/>
      <c r="BK190" s="2014"/>
      <c r="BL190" s="2014"/>
      <c r="BM190" s="2014"/>
      <c r="BN190" s="2014"/>
      <c r="BO190" s="2014"/>
    </row>
    <row r="191" spans="1:67" ht="20.100000000000001" customHeight="1">
      <c r="A191" s="1845">
        <v>28</v>
      </c>
      <c r="B191" s="1854"/>
      <c r="C191" s="1847"/>
      <c r="D191" s="1848" t="s">
        <v>932</v>
      </c>
      <c r="E191" s="1848"/>
      <c r="F191" s="1849"/>
      <c r="G191" s="2010" t="s">
        <v>548</v>
      </c>
      <c r="H191" s="2011">
        <f t="shared" ref="H191:K210" ca="1" si="108">H29</f>
        <v>27.8</v>
      </c>
      <c r="I191" s="2011">
        <f t="shared" ca="1" si="108"/>
        <v>27.8</v>
      </c>
      <c r="J191" s="2011">
        <f t="shared" ca="1" si="108"/>
        <v>27.8</v>
      </c>
      <c r="K191" s="2011">
        <f t="shared" ca="1" si="108"/>
        <v>27.8</v>
      </c>
      <c r="L191" s="2012">
        <f t="shared" ca="1" si="96"/>
        <v>0</v>
      </c>
      <c r="M191" s="2012">
        <f t="shared" ca="1" si="97"/>
        <v>0</v>
      </c>
      <c r="N191" s="2012">
        <f t="shared" ca="1" si="98"/>
        <v>0</v>
      </c>
      <c r="O191" s="2012">
        <f t="shared" ca="1" si="99"/>
        <v>0</v>
      </c>
      <c r="P191" s="2013">
        <f ca="1">SUM(SUMIFS(OFFSET(貼付け_2024実績,$A191,10,1,199),OFFSET(貼付け_2024実績,4,9,1,199),{"横浜*","川崎*"}))</f>
        <v>0</v>
      </c>
      <c r="Q191" s="2013">
        <f ca="1">SUM(SUMIFS(OFFSET(貼付け_2025実績,$A191,10,1,199),OFFSET(貼付け_2025実績,4,9,1,199),{"横浜*","川崎*"}))</f>
        <v>0</v>
      </c>
      <c r="R191" s="2013">
        <f ca="1">SUM(SUMIFS(OFFSET(貼付け_2026実績,$A191,10,1,199),OFFSET(貼付け_2026実績,4,9,1,199),{"横浜*","川崎*"}))</f>
        <v>0</v>
      </c>
      <c r="S191" s="2013">
        <f ca="1">SUM(SUMIFS(OFFSET(貼付け_2027実績,$A191,10,1,199),OFFSET(貼付け_2027実績,4,9,1,199),{"横浜*","川崎*"}))</f>
        <v>0</v>
      </c>
      <c r="T191" s="2012">
        <f t="shared" ca="1" si="100"/>
        <v>0</v>
      </c>
      <c r="U191" s="2012">
        <f t="shared" ca="1" si="101"/>
        <v>0</v>
      </c>
      <c r="V191" s="2012">
        <f t="shared" ca="1" si="102"/>
        <v>0</v>
      </c>
      <c r="W191" s="2012">
        <f t="shared" ca="1" si="103"/>
        <v>0</v>
      </c>
      <c r="X191" s="2014">
        <f t="shared" ca="1" si="104"/>
        <v>0</v>
      </c>
      <c r="Y191" s="2014">
        <f t="shared" ca="1" si="105"/>
        <v>0</v>
      </c>
      <c r="Z191" s="2014">
        <f t="shared" ca="1" si="106"/>
        <v>0</v>
      </c>
      <c r="AA191" s="2014">
        <f t="shared" ca="1" si="107"/>
        <v>0</v>
      </c>
      <c r="AB191" s="2014"/>
      <c r="AC191" s="2014"/>
      <c r="AD191" s="2014"/>
      <c r="AE191" s="2014"/>
      <c r="AF191" s="2014"/>
      <c r="AG191" s="2014"/>
      <c r="AH191" s="2014"/>
      <c r="AI191" s="2014"/>
      <c r="AJ191" s="2014"/>
      <c r="AK191" s="2014"/>
      <c r="AL191" s="2014"/>
      <c r="AM191" s="2014"/>
      <c r="AN191" s="2014"/>
      <c r="AO191" s="2014"/>
      <c r="AP191" s="2014"/>
      <c r="AQ191" s="2014"/>
      <c r="AR191" s="2014"/>
      <c r="AS191" s="2014"/>
      <c r="AT191" s="2014"/>
      <c r="AU191" s="2014"/>
      <c r="AV191" s="2014"/>
      <c r="AW191" s="2014"/>
      <c r="AX191" s="2014"/>
      <c r="AY191" s="2014"/>
      <c r="AZ191" s="2014"/>
      <c r="BA191" s="2014"/>
      <c r="BB191" s="2014"/>
      <c r="BC191" s="2014"/>
      <c r="BD191" s="2014"/>
      <c r="BE191" s="2014"/>
      <c r="BF191" s="2014"/>
      <c r="BG191" s="2014"/>
      <c r="BH191" s="2014"/>
      <c r="BI191" s="2014"/>
      <c r="BJ191" s="2014"/>
      <c r="BK191" s="2014"/>
      <c r="BL191" s="2014"/>
      <c r="BM191" s="2014"/>
      <c r="BN191" s="2014"/>
      <c r="BO191" s="2014"/>
    </row>
    <row r="192" spans="1:67" ht="20.100000000000001" customHeight="1">
      <c r="A192" s="1845">
        <v>29</v>
      </c>
      <c r="B192" s="1854"/>
      <c r="C192" s="1847"/>
      <c r="D192" s="1848" t="s">
        <v>558</v>
      </c>
      <c r="E192" s="1848"/>
      <c r="F192" s="1849"/>
      <c r="G192" s="2010" t="s">
        <v>548</v>
      </c>
      <c r="H192" s="2011">
        <f t="shared" ca="1" si="108"/>
        <v>29</v>
      </c>
      <c r="I192" s="2011">
        <f t="shared" ca="1" si="108"/>
        <v>29</v>
      </c>
      <c r="J192" s="2011">
        <f t="shared" ca="1" si="108"/>
        <v>29</v>
      </c>
      <c r="K192" s="2011">
        <f t="shared" ca="1" si="108"/>
        <v>29</v>
      </c>
      <c r="L192" s="2012">
        <f t="shared" ca="1" si="96"/>
        <v>0</v>
      </c>
      <c r="M192" s="2012">
        <f t="shared" ca="1" si="97"/>
        <v>0</v>
      </c>
      <c r="N192" s="2012">
        <f t="shared" ca="1" si="98"/>
        <v>0</v>
      </c>
      <c r="O192" s="2012">
        <f t="shared" ca="1" si="99"/>
        <v>0</v>
      </c>
      <c r="P192" s="2013">
        <f ca="1">SUM(SUMIFS(OFFSET(貼付け_2024実績,$A192,10,1,199),OFFSET(貼付け_2024実績,4,9,1,199),{"横浜*","川崎*"}))</f>
        <v>0</v>
      </c>
      <c r="Q192" s="2013">
        <f ca="1">SUM(SUMIFS(OFFSET(貼付け_2025実績,$A192,10,1,199),OFFSET(貼付け_2025実績,4,9,1,199),{"横浜*","川崎*"}))</f>
        <v>0</v>
      </c>
      <c r="R192" s="2013">
        <f ca="1">SUM(SUMIFS(OFFSET(貼付け_2026実績,$A192,10,1,199),OFFSET(貼付け_2026実績,4,9,1,199),{"横浜*","川崎*"}))</f>
        <v>0</v>
      </c>
      <c r="S192" s="2013">
        <f ca="1">SUM(SUMIFS(OFFSET(貼付け_2027実績,$A192,10,1,199),OFFSET(貼付け_2027実績,4,9,1,199),{"横浜*","川崎*"}))</f>
        <v>0</v>
      </c>
      <c r="T192" s="2012">
        <f t="shared" ca="1" si="100"/>
        <v>0</v>
      </c>
      <c r="U192" s="2012">
        <f t="shared" ca="1" si="101"/>
        <v>0</v>
      </c>
      <c r="V192" s="2012">
        <f t="shared" ca="1" si="102"/>
        <v>0</v>
      </c>
      <c r="W192" s="2012">
        <f t="shared" ca="1" si="103"/>
        <v>0</v>
      </c>
      <c r="X192" s="2014">
        <f t="shared" ca="1" si="104"/>
        <v>0</v>
      </c>
      <c r="Y192" s="2014">
        <f t="shared" ca="1" si="105"/>
        <v>0</v>
      </c>
      <c r="Z192" s="2014">
        <f t="shared" ca="1" si="106"/>
        <v>0</v>
      </c>
      <c r="AA192" s="2014">
        <f t="shared" ca="1" si="107"/>
        <v>0</v>
      </c>
      <c r="AB192" s="2014"/>
      <c r="AC192" s="2014"/>
      <c r="AD192" s="2014"/>
      <c r="AE192" s="2014"/>
      <c r="AF192" s="2014"/>
      <c r="AG192" s="2014"/>
      <c r="AH192" s="2014"/>
      <c r="AI192" s="2014"/>
      <c r="AJ192" s="2014"/>
      <c r="AK192" s="2014"/>
      <c r="AL192" s="2014"/>
      <c r="AM192" s="2014"/>
      <c r="AN192" s="2014"/>
      <c r="AO192" s="2014"/>
      <c r="AP192" s="2014"/>
      <c r="AQ192" s="2014"/>
      <c r="AR192" s="2014"/>
      <c r="AS192" s="2014"/>
      <c r="AT192" s="2014"/>
      <c r="AU192" s="2014"/>
      <c r="AV192" s="2014"/>
      <c r="AW192" s="2014"/>
      <c r="AX192" s="2014"/>
      <c r="AY192" s="2014"/>
      <c r="AZ192" s="2014"/>
      <c r="BA192" s="2014"/>
      <c r="BB192" s="2014"/>
      <c r="BC192" s="2014"/>
      <c r="BD192" s="2014"/>
      <c r="BE192" s="2014"/>
      <c r="BF192" s="2014"/>
      <c r="BG192" s="2014"/>
      <c r="BH192" s="2014"/>
      <c r="BI192" s="2014"/>
      <c r="BJ192" s="2014"/>
      <c r="BK192" s="2014"/>
      <c r="BL192" s="2014"/>
      <c r="BM192" s="2014"/>
      <c r="BN192" s="2014"/>
      <c r="BO192" s="2014"/>
    </row>
    <row r="193" spans="1:67" ht="20.100000000000001" customHeight="1">
      <c r="A193" s="1845">
        <v>30</v>
      </c>
      <c r="B193" s="1854"/>
      <c r="C193" s="1847"/>
      <c r="D193" s="1848" t="s">
        <v>559</v>
      </c>
      <c r="E193" s="1837"/>
      <c r="F193" s="1849"/>
      <c r="G193" s="2010" t="s">
        <v>548</v>
      </c>
      <c r="H193" s="2011">
        <f t="shared" ca="1" si="108"/>
        <v>37.299999999999997</v>
      </c>
      <c r="I193" s="2011">
        <f t="shared" ca="1" si="108"/>
        <v>37.299999999999997</v>
      </c>
      <c r="J193" s="2011">
        <f t="shared" ca="1" si="108"/>
        <v>37.299999999999997</v>
      </c>
      <c r="K193" s="2011">
        <f t="shared" ca="1" si="108"/>
        <v>37.299999999999997</v>
      </c>
      <c r="L193" s="2012">
        <f t="shared" ca="1" si="96"/>
        <v>0</v>
      </c>
      <c r="M193" s="2012">
        <f t="shared" ca="1" si="97"/>
        <v>0</v>
      </c>
      <c r="N193" s="2012">
        <f t="shared" ca="1" si="98"/>
        <v>0</v>
      </c>
      <c r="O193" s="2012">
        <f t="shared" ca="1" si="99"/>
        <v>0</v>
      </c>
      <c r="P193" s="2013">
        <f ca="1">SUM(SUMIFS(OFFSET(貼付け_2024実績,$A193,10,1,199),OFFSET(貼付け_2024実績,4,9,1,199),{"横浜*","川崎*"}))</f>
        <v>0</v>
      </c>
      <c r="Q193" s="2013">
        <f ca="1">SUM(SUMIFS(OFFSET(貼付け_2025実績,$A193,10,1,199),OFFSET(貼付け_2025実績,4,9,1,199),{"横浜*","川崎*"}))</f>
        <v>0</v>
      </c>
      <c r="R193" s="2013">
        <f ca="1">SUM(SUMIFS(OFFSET(貼付け_2026実績,$A193,10,1,199),OFFSET(貼付け_2026実績,4,9,1,199),{"横浜*","川崎*"}))</f>
        <v>0</v>
      </c>
      <c r="S193" s="2013">
        <f ca="1">SUM(SUMIFS(OFFSET(貼付け_2027実績,$A193,10,1,199),OFFSET(貼付け_2027実績,4,9,1,199),{"横浜*","川崎*"}))</f>
        <v>0</v>
      </c>
      <c r="T193" s="2012">
        <f t="shared" ca="1" si="100"/>
        <v>0</v>
      </c>
      <c r="U193" s="2012">
        <f t="shared" ca="1" si="101"/>
        <v>0</v>
      </c>
      <c r="V193" s="2012">
        <f t="shared" ca="1" si="102"/>
        <v>0</v>
      </c>
      <c r="W193" s="2012">
        <f t="shared" ca="1" si="103"/>
        <v>0</v>
      </c>
      <c r="X193" s="2014">
        <f t="shared" ca="1" si="104"/>
        <v>0</v>
      </c>
      <c r="Y193" s="2014">
        <f t="shared" ca="1" si="105"/>
        <v>0</v>
      </c>
      <c r="Z193" s="2014">
        <f t="shared" ca="1" si="106"/>
        <v>0</v>
      </c>
      <c r="AA193" s="2014">
        <f t="shared" ca="1" si="107"/>
        <v>0</v>
      </c>
      <c r="AB193" s="2014"/>
      <c r="AC193" s="2014"/>
      <c r="AD193" s="2014"/>
      <c r="AE193" s="2014"/>
      <c r="AF193" s="2014"/>
      <c r="AG193" s="2014"/>
      <c r="AH193" s="2014"/>
      <c r="AI193" s="2014"/>
      <c r="AJ193" s="2014"/>
      <c r="AK193" s="2014"/>
      <c r="AL193" s="2014"/>
      <c r="AM193" s="2014"/>
      <c r="AN193" s="2014"/>
      <c r="AO193" s="2014"/>
      <c r="AP193" s="2014"/>
      <c r="AQ193" s="2014"/>
      <c r="AR193" s="2014"/>
      <c r="AS193" s="2014"/>
      <c r="AT193" s="2014"/>
      <c r="AU193" s="2014"/>
      <c r="AV193" s="2014"/>
      <c r="AW193" s="2014"/>
      <c r="AX193" s="2014"/>
      <c r="AY193" s="2014"/>
      <c r="AZ193" s="2014"/>
      <c r="BA193" s="2014"/>
      <c r="BB193" s="2014"/>
      <c r="BC193" s="2014"/>
      <c r="BD193" s="2014"/>
      <c r="BE193" s="2014"/>
      <c r="BF193" s="2014"/>
      <c r="BG193" s="2014"/>
      <c r="BH193" s="2014"/>
      <c r="BI193" s="2014"/>
      <c r="BJ193" s="2014"/>
      <c r="BK193" s="2014"/>
      <c r="BL193" s="2014"/>
      <c r="BM193" s="2014"/>
      <c r="BN193" s="2014"/>
      <c r="BO193" s="2014"/>
    </row>
    <row r="194" spans="1:67" ht="20.100000000000001" customHeight="1">
      <c r="A194" s="1845">
        <v>31</v>
      </c>
      <c r="B194" s="1854"/>
      <c r="C194" s="1847"/>
      <c r="D194" s="1848" t="s">
        <v>560</v>
      </c>
      <c r="E194" s="1848"/>
      <c r="F194" s="1849"/>
      <c r="G194" s="2010" t="s">
        <v>553</v>
      </c>
      <c r="H194" s="2011">
        <f t="shared" ca="1" si="108"/>
        <v>18.399999999999999</v>
      </c>
      <c r="I194" s="2011">
        <f t="shared" ca="1" si="108"/>
        <v>18.399999999999999</v>
      </c>
      <c r="J194" s="2011">
        <f t="shared" ca="1" si="108"/>
        <v>18.399999999999999</v>
      </c>
      <c r="K194" s="2011">
        <f t="shared" ca="1" si="108"/>
        <v>18.399999999999999</v>
      </c>
      <c r="L194" s="2012">
        <f t="shared" ca="1" si="96"/>
        <v>0</v>
      </c>
      <c r="M194" s="2012">
        <f t="shared" ca="1" si="97"/>
        <v>0</v>
      </c>
      <c r="N194" s="2012">
        <f t="shared" ca="1" si="98"/>
        <v>0</v>
      </c>
      <c r="O194" s="2012">
        <f t="shared" ca="1" si="99"/>
        <v>0</v>
      </c>
      <c r="P194" s="2013">
        <f ca="1">SUM(SUMIFS(OFFSET(貼付け_2024実績,$A194,10,1,199),OFFSET(貼付け_2024実績,4,9,1,199),{"横浜*","川崎*"}))</f>
        <v>0</v>
      </c>
      <c r="Q194" s="2013">
        <f ca="1">SUM(SUMIFS(OFFSET(貼付け_2025実績,$A194,10,1,199),OFFSET(貼付け_2025実績,4,9,1,199),{"横浜*","川崎*"}))</f>
        <v>0</v>
      </c>
      <c r="R194" s="2013">
        <f ca="1">SUM(SUMIFS(OFFSET(貼付け_2026実績,$A194,10,1,199),OFFSET(貼付け_2026実績,4,9,1,199),{"横浜*","川崎*"}))</f>
        <v>0</v>
      </c>
      <c r="S194" s="2013">
        <f ca="1">SUM(SUMIFS(OFFSET(貼付け_2027実績,$A194,10,1,199),OFFSET(貼付け_2027実績,4,9,1,199),{"横浜*","川崎*"}))</f>
        <v>0</v>
      </c>
      <c r="T194" s="2012">
        <f t="shared" ca="1" si="100"/>
        <v>0</v>
      </c>
      <c r="U194" s="2012">
        <f t="shared" ca="1" si="101"/>
        <v>0</v>
      </c>
      <c r="V194" s="2012">
        <f t="shared" ca="1" si="102"/>
        <v>0</v>
      </c>
      <c r="W194" s="2012">
        <f t="shared" ca="1" si="103"/>
        <v>0</v>
      </c>
      <c r="X194" s="2014">
        <f t="shared" ca="1" si="104"/>
        <v>0</v>
      </c>
      <c r="Y194" s="2014">
        <f t="shared" ca="1" si="105"/>
        <v>0</v>
      </c>
      <c r="Z194" s="2014">
        <f t="shared" ca="1" si="106"/>
        <v>0</v>
      </c>
      <c r="AA194" s="2014">
        <f t="shared" ca="1" si="107"/>
        <v>0</v>
      </c>
      <c r="AB194" s="2014"/>
      <c r="AC194" s="2014"/>
      <c r="AD194" s="2014"/>
      <c r="AE194" s="2014"/>
      <c r="AF194" s="2014"/>
      <c r="AG194" s="2014"/>
      <c r="AH194" s="2014"/>
      <c r="AI194" s="2014"/>
      <c r="AJ194" s="2014"/>
      <c r="AK194" s="2014"/>
      <c r="AL194" s="2014"/>
      <c r="AM194" s="2014"/>
      <c r="AN194" s="2014"/>
      <c r="AO194" s="2014"/>
      <c r="AP194" s="2014"/>
      <c r="AQ194" s="2014"/>
      <c r="AR194" s="2014"/>
      <c r="AS194" s="2014"/>
      <c r="AT194" s="2014"/>
      <c r="AU194" s="2014"/>
      <c r="AV194" s="2014"/>
      <c r="AW194" s="2014"/>
      <c r="AX194" s="2014"/>
      <c r="AY194" s="2014"/>
      <c r="AZ194" s="2014"/>
      <c r="BA194" s="2014"/>
      <c r="BB194" s="2014"/>
      <c r="BC194" s="2014"/>
      <c r="BD194" s="2014"/>
      <c r="BE194" s="2014"/>
      <c r="BF194" s="2014"/>
      <c r="BG194" s="2014"/>
      <c r="BH194" s="2014"/>
      <c r="BI194" s="2014"/>
      <c r="BJ194" s="2014"/>
      <c r="BK194" s="2014"/>
      <c r="BL194" s="2014"/>
      <c r="BM194" s="2014"/>
      <c r="BN194" s="2014"/>
      <c r="BO194" s="2014"/>
    </row>
    <row r="195" spans="1:67" ht="20.100000000000001" customHeight="1">
      <c r="A195" s="1845">
        <v>32</v>
      </c>
      <c r="B195" s="1854"/>
      <c r="C195" s="1847"/>
      <c r="D195" s="1848" t="s">
        <v>561</v>
      </c>
      <c r="E195" s="1848"/>
      <c r="F195" s="1849"/>
      <c r="G195" s="2010" t="s">
        <v>553</v>
      </c>
      <c r="H195" s="2011">
        <f t="shared" ca="1" si="108"/>
        <v>3.23</v>
      </c>
      <c r="I195" s="2011">
        <f t="shared" ca="1" si="108"/>
        <v>3.23</v>
      </c>
      <c r="J195" s="2011">
        <f t="shared" ca="1" si="108"/>
        <v>3.23</v>
      </c>
      <c r="K195" s="2011">
        <f t="shared" ca="1" si="108"/>
        <v>3.23</v>
      </c>
      <c r="L195" s="2012">
        <f t="shared" ca="1" si="96"/>
        <v>0</v>
      </c>
      <c r="M195" s="2012">
        <f t="shared" ca="1" si="97"/>
        <v>0</v>
      </c>
      <c r="N195" s="2012">
        <f t="shared" ca="1" si="98"/>
        <v>0</v>
      </c>
      <c r="O195" s="2012">
        <f t="shared" ca="1" si="99"/>
        <v>0</v>
      </c>
      <c r="P195" s="2013">
        <f ca="1">SUM(SUMIFS(OFFSET(貼付け_2024実績,$A195,10,1,199),OFFSET(貼付け_2024実績,4,9,1,199),{"横浜*","川崎*"}))</f>
        <v>0</v>
      </c>
      <c r="Q195" s="2013">
        <f ca="1">SUM(SUMIFS(OFFSET(貼付け_2025実績,$A195,10,1,199),OFFSET(貼付け_2025実績,4,9,1,199),{"横浜*","川崎*"}))</f>
        <v>0</v>
      </c>
      <c r="R195" s="2013">
        <f ca="1">SUM(SUMIFS(OFFSET(貼付け_2026実績,$A195,10,1,199),OFFSET(貼付け_2026実績,4,9,1,199),{"横浜*","川崎*"}))</f>
        <v>0</v>
      </c>
      <c r="S195" s="2013">
        <f ca="1">SUM(SUMIFS(OFFSET(貼付け_2027実績,$A195,10,1,199),OFFSET(貼付け_2027実績,4,9,1,199),{"横浜*","川崎*"}))</f>
        <v>0</v>
      </c>
      <c r="T195" s="2012">
        <f t="shared" ca="1" si="100"/>
        <v>0</v>
      </c>
      <c r="U195" s="2012">
        <f t="shared" ca="1" si="101"/>
        <v>0</v>
      </c>
      <c r="V195" s="2012">
        <f t="shared" ca="1" si="102"/>
        <v>0</v>
      </c>
      <c r="W195" s="2012">
        <f t="shared" ca="1" si="103"/>
        <v>0</v>
      </c>
      <c r="X195" s="2014">
        <f t="shared" ca="1" si="104"/>
        <v>0</v>
      </c>
      <c r="Y195" s="2014">
        <f t="shared" ca="1" si="105"/>
        <v>0</v>
      </c>
      <c r="Z195" s="2014">
        <f t="shared" ca="1" si="106"/>
        <v>0</v>
      </c>
      <c r="AA195" s="2014">
        <f t="shared" ca="1" si="107"/>
        <v>0</v>
      </c>
      <c r="AB195" s="2014"/>
      <c r="AC195" s="2014"/>
      <c r="AD195" s="2014"/>
      <c r="AE195" s="2014"/>
      <c r="AF195" s="2014"/>
      <c r="AG195" s="2014"/>
      <c r="AH195" s="2014"/>
      <c r="AI195" s="2014"/>
      <c r="AJ195" s="2014"/>
      <c r="AK195" s="2014"/>
      <c r="AL195" s="2014"/>
      <c r="AM195" s="2014"/>
      <c r="AN195" s="2014"/>
      <c r="AO195" s="2014"/>
      <c r="AP195" s="2014"/>
      <c r="AQ195" s="2014"/>
      <c r="AR195" s="2014"/>
      <c r="AS195" s="2014"/>
      <c r="AT195" s="2014"/>
      <c r="AU195" s="2014"/>
      <c r="AV195" s="2014"/>
      <c r="AW195" s="2014"/>
      <c r="AX195" s="2014"/>
      <c r="AY195" s="2014"/>
      <c r="AZ195" s="2014"/>
      <c r="BA195" s="2014"/>
      <c r="BB195" s="2014"/>
      <c r="BC195" s="2014"/>
      <c r="BD195" s="2014"/>
      <c r="BE195" s="2014"/>
      <c r="BF195" s="2014"/>
      <c r="BG195" s="2014"/>
      <c r="BH195" s="2014"/>
      <c r="BI195" s="2014"/>
      <c r="BJ195" s="2014"/>
      <c r="BK195" s="2014"/>
      <c r="BL195" s="2014"/>
      <c r="BM195" s="2014"/>
      <c r="BN195" s="2014"/>
      <c r="BO195" s="2014"/>
    </row>
    <row r="196" spans="1:67" ht="20.100000000000001" customHeight="1">
      <c r="A196" s="1845">
        <v>33</v>
      </c>
      <c r="B196" s="1854"/>
      <c r="C196" s="1847"/>
      <c r="D196" s="1848" t="s">
        <v>933</v>
      </c>
      <c r="E196" s="1848"/>
      <c r="F196" s="1849"/>
      <c r="G196" s="2010" t="s">
        <v>553</v>
      </c>
      <c r="H196" s="2011">
        <f t="shared" ca="1" si="108"/>
        <v>3.45</v>
      </c>
      <c r="I196" s="2011">
        <f t="shared" ca="1" si="108"/>
        <v>3.45</v>
      </c>
      <c r="J196" s="2011">
        <f t="shared" ca="1" si="108"/>
        <v>3.45</v>
      </c>
      <c r="K196" s="2011">
        <f t="shared" ca="1" si="108"/>
        <v>3.45</v>
      </c>
      <c r="L196" s="2012">
        <f t="shared" ca="1" si="96"/>
        <v>0</v>
      </c>
      <c r="M196" s="2012">
        <f t="shared" ca="1" si="97"/>
        <v>0</v>
      </c>
      <c r="N196" s="2012">
        <f t="shared" ca="1" si="98"/>
        <v>0</v>
      </c>
      <c r="O196" s="2012">
        <f t="shared" ca="1" si="99"/>
        <v>0</v>
      </c>
      <c r="P196" s="2013">
        <f ca="1">SUM(SUMIFS(OFFSET(貼付け_2024実績,$A196,10,1,199),OFFSET(貼付け_2024実績,4,9,1,199),{"横浜*","川崎*"}))</f>
        <v>0</v>
      </c>
      <c r="Q196" s="2013">
        <f ca="1">SUM(SUMIFS(OFFSET(貼付け_2025実績,$A196,10,1,199),OFFSET(貼付け_2025実績,4,9,1,199),{"横浜*","川崎*"}))</f>
        <v>0</v>
      </c>
      <c r="R196" s="2013">
        <f ca="1">SUM(SUMIFS(OFFSET(貼付け_2026実績,$A196,10,1,199),OFFSET(貼付け_2026実績,4,9,1,199),{"横浜*","川崎*"}))</f>
        <v>0</v>
      </c>
      <c r="S196" s="2013">
        <f ca="1">SUM(SUMIFS(OFFSET(貼付け_2027実績,$A196,10,1,199),OFFSET(貼付け_2027実績,4,9,1,199),{"横浜*","川崎*"}))</f>
        <v>0</v>
      </c>
      <c r="T196" s="2012">
        <f t="shared" ca="1" si="100"/>
        <v>0</v>
      </c>
      <c r="U196" s="2012">
        <f t="shared" ca="1" si="101"/>
        <v>0</v>
      </c>
      <c r="V196" s="2012">
        <f t="shared" ca="1" si="102"/>
        <v>0</v>
      </c>
      <c r="W196" s="2012">
        <f t="shared" ca="1" si="103"/>
        <v>0</v>
      </c>
      <c r="X196" s="2014">
        <f t="shared" ca="1" si="104"/>
        <v>0</v>
      </c>
      <c r="Y196" s="2014">
        <f t="shared" ca="1" si="105"/>
        <v>0</v>
      </c>
      <c r="Z196" s="2014">
        <f t="shared" ca="1" si="106"/>
        <v>0</v>
      </c>
      <c r="AA196" s="2014">
        <f t="shared" ca="1" si="107"/>
        <v>0</v>
      </c>
      <c r="AB196" s="2014"/>
      <c r="AC196" s="2014"/>
      <c r="AD196" s="2014"/>
      <c r="AE196" s="2014"/>
      <c r="AF196" s="2014"/>
      <c r="AG196" s="2014"/>
      <c r="AH196" s="2014"/>
      <c r="AI196" s="2014"/>
      <c r="AJ196" s="2014"/>
      <c r="AK196" s="2014"/>
      <c r="AL196" s="2014"/>
      <c r="AM196" s="2014"/>
      <c r="AN196" s="2014"/>
      <c r="AO196" s="2014"/>
      <c r="AP196" s="2014"/>
      <c r="AQ196" s="2014"/>
      <c r="AR196" s="2014"/>
      <c r="AS196" s="2014"/>
      <c r="AT196" s="2014"/>
      <c r="AU196" s="2014"/>
      <c r="AV196" s="2014"/>
      <c r="AW196" s="2014"/>
      <c r="AX196" s="2014"/>
      <c r="AY196" s="2014"/>
      <c r="AZ196" s="2014"/>
      <c r="BA196" s="2014"/>
      <c r="BB196" s="2014"/>
      <c r="BC196" s="2014"/>
      <c r="BD196" s="2014"/>
      <c r="BE196" s="2014"/>
      <c r="BF196" s="2014"/>
      <c r="BG196" s="2014"/>
      <c r="BH196" s="2014"/>
      <c r="BI196" s="2014"/>
      <c r="BJ196" s="2014"/>
      <c r="BK196" s="2014"/>
      <c r="BL196" s="2014"/>
      <c r="BM196" s="2014"/>
      <c r="BN196" s="2014"/>
      <c r="BO196" s="2014"/>
    </row>
    <row r="197" spans="1:67" ht="20.100000000000001" customHeight="1">
      <c r="A197" s="1845">
        <v>34</v>
      </c>
      <c r="B197" s="1854"/>
      <c r="C197" s="1847"/>
      <c r="D197" s="1848" t="s">
        <v>562</v>
      </c>
      <c r="E197" s="1848"/>
      <c r="F197" s="1849"/>
      <c r="G197" s="2010" t="s">
        <v>553</v>
      </c>
      <c r="H197" s="2011">
        <f t="shared" ca="1" si="108"/>
        <v>7.53</v>
      </c>
      <c r="I197" s="2011">
        <f t="shared" ca="1" si="108"/>
        <v>7.53</v>
      </c>
      <c r="J197" s="2011">
        <f t="shared" ca="1" si="108"/>
        <v>7.53</v>
      </c>
      <c r="K197" s="2011">
        <f t="shared" ca="1" si="108"/>
        <v>7.53</v>
      </c>
      <c r="L197" s="2012">
        <f t="shared" ca="1" si="96"/>
        <v>0</v>
      </c>
      <c r="M197" s="2012">
        <f t="shared" ca="1" si="97"/>
        <v>0</v>
      </c>
      <c r="N197" s="2012">
        <f t="shared" ca="1" si="98"/>
        <v>0</v>
      </c>
      <c r="O197" s="2012">
        <f t="shared" ca="1" si="99"/>
        <v>0</v>
      </c>
      <c r="P197" s="2013">
        <f ca="1">SUM(SUMIFS(OFFSET(貼付け_2024実績,$A197,10,1,199),OFFSET(貼付け_2024実績,4,9,1,199),{"横浜*","川崎*"}))</f>
        <v>0</v>
      </c>
      <c r="Q197" s="2013">
        <f ca="1">SUM(SUMIFS(OFFSET(貼付け_2025実績,$A197,10,1,199),OFFSET(貼付け_2025実績,4,9,1,199),{"横浜*","川崎*"}))</f>
        <v>0</v>
      </c>
      <c r="R197" s="2013">
        <f ca="1">SUM(SUMIFS(OFFSET(貼付け_2026実績,$A197,10,1,199),OFFSET(貼付け_2026実績,4,9,1,199),{"横浜*","川崎*"}))</f>
        <v>0</v>
      </c>
      <c r="S197" s="2013">
        <f ca="1">SUM(SUMIFS(OFFSET(貼付け_2027実績,$A197,10,1,199),OFFSET(貼付け_2027実績,4,9,1,199),{"横浜*","川崎*"}))</f>
        <v>0</v>
      </c>
      <c r="T197" s="2012">
        <f t="shared" ca="1" si="100"/>
        <v>0</v>
      </c>
      <c r="U197" s="2012">
        <f t="shared" ca="1" si="101"/>
        <v>0</v>
      </c>
      <c r="V197" s="2012">
        <f t="shared" ca="1" si="102"/>
        <v>0</v>
      </c>
      <c r="W197" s="2012">
        <f t="shared" ca="1" si="103"/>
        <v>0</v>
      </c>
      <c r="X197" s="2014">
        <f t="shared" ca="1" si="104"/>
        <v>0</v>
      </c>
      <c r="Y197" s="2014">
        <f t="shared" ca="1" si="105"/>
        <v>0</v>
      </c>
      <c r="Z197" s="2014">
        <f t="shared" ca="1" si="106"/>
        <v>0</v>
      </c>
      <c r="AA197" s="2014">
        <f t="shared" ca="1" si="107"/>
        <v>0</v>
      </c>
      <c r="AB197" s="2014"/>
      <c r="AC197" s="2014"/>
      <c r="AD197" s="2014"/>
      <c r="AE197" s="2014"/>
      <c r="AF197" s="2014"/>
      <c r="AG197" s="2014"/>
      <c r="AH197" s="2014"/>
      <c r="AI197" s="2014"/>
      <c r="AJ197" s="2014"/>
      <c r="AK197" s="2014"/>
      <c r="AL197" s="2014"/>
      <c r="AM197" s="2014"/>
      <c r="AN197" s="2014"/>
      <c r="AO197" s="2014"/>
      <c r="AP197" s="2014"/>
      <c r="AQ197" s="2014"/>
      <c r="AR197" s="2014"/>
      <c r="AS197" s="2014"/>
      <c r="AT197" s="2014"/>
      <c r="AU197" s="2014"/>
      <c r="AV197" s="2014"/>
      <c r="AW197" s="2014"/>
      <c r="AX197" s="2014"/>
      <c r="AY197" s="2014"/>
      <c r="AZ197" s="2014"/>
      <c r="BA197" s="2014"/>
      <c r="BB197" s="2014"/>
      <c r="BC197" s="2014"/>
      <c r="BD197" s="2014"/>
      <c r="BE197" s="2014"/>
      <c r="BF197" s="2014"/>
      <c r="BG197" s="2014"/>
      <c r="BH197" s="2014"/>
      <c r="BI197" s="2014"/>
      <c r="BJ197" s="2014"/>
      <c r="BK197" s="2014"/>
      <c r="BL197" s="2014"/>
      <c r="BM197" s="2014"/>
      <c r="BN197" s="2014"/>
      <c r="BO197" s="2014"/>
    </row>
    <row r="198" spans="1:67" ht="20.100000000000001" customHeight="1">
      <c r="A198" s="1845">
        <v>35</v>
      </c>
      <c r="B198" s="1855"/>
      <c r="C198" s="1847"/>
      <c r="D198" s="1848" t="s">
        <v>934</v>
      </c>
      <c r="E198" s="1856"/>
      <c r="F198" s="1849"/>
      <c r="G198" s="2010" t="s">
        <v>553</v>
      </c>
      <c r="H198" s="2011">
        <f t="shared" si="108"/>
        <v>0</v>
      </c>
      <c r="I198" s="2011">
        <f t="shared" si="108"/>
        <v>0</v>
      </c>
      <c r="J198" s="2011">
        <f t="shared" si="108"/>
        <v>0</v>
      </c>
      <c r="K198" s="2011">
        <f t="shared" si="108"/>
        <v>0</v>
      </c>
      <c r="L198" s="2012">
        <f t="shared" ca="1" si="96"/>
        <v>0</v>
      </c>
      <c r="M198" s="2012">
        <f t="shared" ca="1" si="97"/>
        <v>0</v>
      </c>
      <c r="N198" s="2012">
        <f t="shared" ca="1" si="98"/>
        <v>0</v>
      </c>
      <c r="O198" s="2012">
        <f t="shared" ca="1" si="99"/>
        <v>0</v>
      </c>
      <c r="P198" s="2013">
        <f ca="1">SUM(SUMIFS(OFFSET(貼付け_2024実績,$A198,10,1,199),OFFSET(貼付け_2024実績,4,9,1,199),{"横浜*","川崎*"}))</f>
        <v>0</v>
      </c>
      <c r="Q198" s="2013">
        <f ca="1">SUM(SUMIFS(OFFSET(貼付け_2025実績,$A198,10,1,199),OFFSET(貼付け_2025実績,4,9,1,199),{"横浜*","川崎*"}))</f>
        <v>0</v>
      </c>
      <c r="R198" s="2013">
        <f ca="1">SUM(SUMIFS(OFFSET(貼付け_2026実績,$A198,10,1,199),OFFSET(貼付け_2026実績,4,9,1,199),{"横浜*","川崎*"}))</f>
        <v>0</v>
      </c>
      <c r="S198" s="2013">
        <f ca="1">SUM(SUMIFS(OFFSET(貼付け_2027実績,$A198,10,1,199),OFFSET(貼付け_2027実績,4,9,1,199),{"横浜*","川崎*"}))</f>
        <v>0</v>
      </c>
      <c r="T198" s="2012">
        <f t="shared" ca="1" si="100"/>
        <v>0</v>
      </c>
      <c r="U198" s="2012">
        <f t="shared" ca="1" si="101"/>
        <v>0</v>
      </c>
      <c r="V198" s="2012">
        <f t="shared" ca="1" si="102"/>
        <v>0</v>
      </c>
      <c r="W198" s="2012">
        <f t="shared" ca="1" si="103"/>
        <v>0</v>
      </c>
      <c r="X198" s="2014">
        <f t="shared" ca="1" si="104"/>
        <v>0</v>
      </c>
      <c r="Y198" s="2014">
        <f t="shared" ca="1" si="105"/>
        <v>0</v>
      </c>
      <c r="Z198" s="2014">
        <f t="shared" ca="1" si="106"/>
        <v>0</v>
      </c>
      <c r="AA198" s="2014">
        <f t="shared" ca="1" si="107"/>
        <v>0</v>
      </c>
      <c r="AB198" s="2014"/>
      <c r="AC198" s="2014"/>
      <c r="AD198" s="2014"/>
      <c r="AE198" s="2014"/>
      <c r="AF198" s="2014"/>
      <c r="AG198" s="2014"/>
      <c r="AH198" s="2014"/>
      <c r="AI198" s="2014"/>
      <c r="AJ198" s="2014"/>
      <c r="AK198" s="2014"/>
      <c r="AL198" s="2014"/>
      <c r="AM198" s="2014"/>
      <c r="AN198" s="2014"/>
      <c r="AO198" s="2014"/>
      <c r="AP198" s="2014"/>
      <c r="AQ198" s="2014"/>
      <c r="AR198" s="2014"/>
      <c r="AS198" s="2014"/>
      <c r="AT198" s="2014"/>
      <c r="AU198" s="2014"/>
      <c r="AV198" s="2014"/>
      <c r="AW198" s="2014"/>
      <c r="AX198" s="2014"/>
      <c r="AY198" s="2014"/>
      <c r="AZ198" s="2014"/>
      <c r="BA198" s="2014"/>
      <c r="BB198" s="2014"/>
      <c r="BC198" s="2014"/>
      <c r="BD198" s="2014"/>
      <c r="BE198" s="2014"/>
      <c r="BF198" s="2014"/>
      <c r="BG198" s="2014"/>
      <c r="BH198" s="2014"/>
      <c r="BI198" s="2014"/>
      <c r="BJ198" s="2014"/>
      <c r="BK198" s="2014"/>
      <c r="BL198" s="2014"/>
      <c r="BM198" s="2014"/>
      <c r="BN198" s="2014"/>
      <c r="BO198" s="2014"/>
    </row>
    <row r="199" spans="1:67" ht="20.100000000000001" customHeight="1">
      <c r="A199" s="1845">
        <v>36</v>
      </c>
      <c r="B199" s="1854"/>
      <c r="C199" s="1847"/>
      <c r="D199" s="1848" t="s">
        <v>935</v>
      </c>
      <c r="E199" s="1858" t="str">
        <f ca="1">E37</f>
        <v/>
      </c>
      <c r="F199" s="1849"/>
      <c r="G199" s="1858" t="str">
        <f ca="1">G37</f>
        <v/>
      </c>
      <c r="H199" s="2011">
        <f t="shared" ca="1" si="108"/>
        <v>0</v>
      </c>
      <c r="I199" s="2011">
        <f t="shared" ca="1" si="108"/>
        <v>0</v>
      </c>
      <c r="J199" s="2011">
        <f t="shared" ca="1" si="108"/>
        <v>0</v>
      </c>
      <c r="K199" s="2011">
        <f t="shared" ca="1" si="108"/>
        <v>0</v>
      </c>
      <c r="L199" s="2012">
        <f t="shared" ca="1" si="96"/>
        <v>0</v>
      </c>
      <c r="M199" s="2012">
        <f t="shared" ca="1" si="97"/>
        <v>0</v>
      </c>
      <c r="N199" s="2012">
        <f t="shared" ca="1" si="98"/>
        <v>0</v>
      </c>
      <c r="O199" s="2012">
        <f t="shared" ca="1" si="99"/>
        <v>0</v>
      </c>
      <c r="P199" s="2013">
        <f ca="1">SUM(SUMIFS(OFFSET(貼付け_2024実績,$A199,10,1,199),OFFSET(貼付け_2024実績,4,9,1,199),{"横浜*","川崎*"}))</f>
        <v>0</v>
      </c>
      <c r="Q199" s="2013">
        <f ca="1">SUM(SUMIFS(OFFSET(貼付け_2025実績,$A199,10,1,199),OFFSET(貼付け_2025実績,4,9,1,199),{"横浜*","川崎*"}))</f>
        <v>0</v>
      </c>
      <c r="R199" s="2013">
        <f ca="1">SUM(SUMIFS(OFFSET(貼付け_2026実績,$A199,10,1,199),OFFSET(貼付け_2026実績,4,9,1,199),{"横浜*","川崎*"}))</f>
        <v>0</v>
      </c>
      <c r="S199" s="2013">
        <f ca="1">SUM(SUMIFS(OFFSET(貼付け_2027実績,$A199,10,1,199),OFFSET(貼付け_2027実績,4,9,1,199),{"横浜*","川崎*"}))</f>
        <v>0</v>
      </c>
      <c r="T199" s="2012">
        <f t="shared" ca="1" si="100"/>
        <v>0</v>
      </c>
      <c r="U199" s="2012">
        <f t="shared" ca="1" si="101"/>
        <v>0</v>
      </c>
      <c r="V199" s="2012">
        <f t="shared" ca="1" si="102"/>
        <v>0</v>
      </c>
      <c r="W199" s="2012">
        <f t="shared" ca="1" si="103"/>
        <v>0</v>
      </c>
      <c r="X199" s="2014">
        <f t="shared" ca="1" si="104"/>
        <v>0</v>
      </c>
      <c r="Y199" s="2014">
        <f t="shared" ca="1" si="105"/>
        <v>0</v>
      </c>
      <c r="Z199" s="2014">
        <f t="shared" ca="1" si="106"/>
        <v>0</v>
      </c>
      <c r="AA199" s="2014">
        <f t="shared" ca="1" si="107"/>
        <v>0</v>
      </c>
      <c r="AB199" s="2014"/>
      <c r="AC199" s="2014"/>
      <c r="AD199" s="2014"/>
      <c r="AE199" s="2014"/>
      <c r="AF199" s="2014"/>
      <c r="AG199" s="2014"/>
      <c r="AH199" s="2014"/>
      <c r="AI199" s="2014"/>
      <c r="AJ199" s="2014"/>
      <c r="AK199" s="2014"/>
      <c r="AL199" s="2014"/>
      <c r="AM199" s="2014"/>
      <c r="AN199" s="2014"/>
      <c r="AO199" s="2014"/>
      <c r="AP199" s="2014"/>
      <c r="AQ199" s="2014"/>
      <c r="AR199" s="2014"/>
      <c r="AS199" s="2014"/>
      <c r="AT199" s="2014"/>
      <c r="AU199" s="2014"/>
      <c r="AV199" s="2014"/>
      <c r="AW199" s="2014"/>
      <c r="AX199" s="2014"/>
      <c r="AY199" s="2014"/>
      <c r="AZ199" s="2014"/>
      <c r="BA199" s="2014"/>
      <c r="BB199" s="2014"/>
      <c r="BC199" s="2014"/>
      <c r="BD199" s="2014"/>
      <c r="BE199" s="2014"/>
      <c r="BF199" s="2014"/>
      <c r="BG199" s="2014"/>
      <c r="BH199" s="2014"/>
      <c r="BI199" s="2014"/>
      <c r="BJ199" s="2014"/>
      <c r="BK199" s="2014"/>
      <c r="BL199" s="2014"/>
      <c r="BM199" s="2014"/>
      <c r="BN199" s="2014"/>
      <c r="BO199" s="2014"/>
    </row>
    <row r="200" spans="1:67" ht="20.100000000000001" customHeight="1">
      <c r="A200" s="1845">
        <v>37</v>
      </c>
      <c r="B200" s="1854"/>
      <c r="C200" s="1847" t="s">
        <v>936</v>
      </c>
      <c r="D200" s="1859" t="s">
        <v>937</v>
      </c>
      <c r="E200" s="1848"/>
      <c r="F200" s="1849"/>
      <c r="G200" s="2010" t="s">
        <v>548</v>
      </c>
      <c r="H200" s="2011">
        <f t="shared" ca="1" si="108"/>
        <v>13.6</v>
      </c>
      <c r="I200" s="2011">
        <f t="shared" ca="1" si="108"/>
        <v>13.6</v>
      </c>
      <c r="J200" s="2011">
        <f t="shared" ca="1" si="108"/>
        <v>13.6</v>
      </c>
      <c r="K200" s="2011">
        <f t="shared" ca="1" si="108"/>
        <v>13.6</v>
      </c>
      <c r="L200" s="2012">
        <f t="shared" ca="1" si="96"/>
        <v>0</v>
      </c>
      <c r="M200" s="2012">
        <f t="shared" ca="1" si="97"/>
        <v>0</v>
      </c>
      <c r="N200" s="2012">
        <f t="shared" ca="1" si="98"/>
        <v>0</v>
      </c>
      <c r="O200" s="2012">
        <f t="shared" ca="1" si="99"/>
        <v>0</v>
      </c>
      <c r="P200" s="2013">
        <f ca="1">SUM(SUMIFS(OFFSET(貼付け_2024実績,$A200,10,1,199),OFFSET(貼付け_2024実績,4,9,1,199),{"横浜*","川崎*"}))</f>
        <v>0</v>
      </c>
      <c r="Q200" s="2013">
        <f ca="1">SUM(SUMIFS(OFFSET(貼付け_2025実績,$A200,10,1,199),OFFSET(貼付け_2025実績,4,9,1,199),{"横浜*","川崎*"}))</f>
        <v>0</v>
      </c>
      <c r="R200" s="2013">
        <f ca="1">SUM(SUMIFS(OFFSET(貼付け_2026実績,$A200,10,1,199),OFFSET(貼付け_2026実績,4,9,1,199),{"横浜*","川崎*"}))</f>
        <v>0</v>
      </c>
      <c r="S200" s="2013">
        <f ca="1">SUM(SUMIFS(OFFSET(貼付け_2027実績,$A200,10,1,199),OFFSET(貼付け_2027実績,4,9,1,199),{"横浜*","川崎*"}))</f>
        <v>0</v>
      </c>
      <c r="T200" s="2012">
        <f t="shared" ca="1" si="100"/>
        <v>0</v>
      </c>
      <c r="U200" s="2012">
        <f t="shared" ca="1" si="101"/>
        <v>0</v>
      </c>
      <c r="V200" s="2012">
        <f t="shared" ca="1" si="102"/>
        <v>0</v>
      </c>
      <c r="W200" s="2012">
        <f t="shared" ca="1" si="103"/>
        <v>0</v>
      </c>
      <c r="X200" s="2014">
        <f t="shared" ca="1" si="104"/>
        <v>0</v>
      </c>
      <c r="Y200" s="2014">
        <f t="shared" ca="1" si="105"/>
        <v>0</v>
      </c>
      <c r="Z200" s="2014">
        <f t="shared" ca="1" si="106"/>
        <v>0</v>
      </c>
      <c r="AA200" s="2014">
        <f t="shared" ca="1" si="107"/>
        <v>0</v>
      </c>
      <c r="AB200" s="2014"/>
      <c r="AC200" s="2014"/>
      <c r="AD200" s="2014"/>
      <c r="AE200" s="2014"/>
      <c r="AF200" s="2014"/>
      <c r="AG200" s="2014"/>
      <c r="AH200" s="2014"/>
      <c r="AI200" s="2014"/>
      <c r="AJ200" s="2014"/>
      <c r="AK200" s="2014"/>
      <c r="AL200" s="2014"/>
      <c r="AM200" s="2014"/>
      <c r="AN200" s="2014"/>
      <c r="AO200" s="2014"/>
      <c r="AP200" s="2014"/>
      <c r="AQ200" s="2014"/>
      <c r="AR200" s="2014"/>
      <c r="AS200" s="2014"/>
      <c r="AT200" s="2014"/>
      <c r="AU200" s="2014"/>
      <c r="AV200" s="2014"/>
      <c r="AW200" s="2014"/>
      <c r="AX200" s="2014"/>
      <c r="AY200" s="2014"/>
      <c r="AZ200" s="2014"/>
      <c r="BA200" s="2014"/>
      <c r="BB200" s="2014"/>
      <c r="BC200" s="2014"/>
      <c r="BD200" s="2014"/>
      <c r="BE200" s="2014"/>
      <c r="BF200" s="2014"/>
      <c r="BG200" s="2014"/>
      <c r="BH200" s="2014"/>
      <c r="BI200" s="2014"/>
      <c r="BJ200" s="2014"/>
      <c r="BK200" s="2014"/>
      <c r="BL200" s="2014"/>
      <c r="BM200" s="2014"/>
      <c r="BN200" s="2014"/>
      <c r="BO200" s="2014"/>
    </row>
    <row r="201" spans="1:67" ht="20.100000000000001" customHeight="1">
      <c r="A201" s="1845">
        <v>38</v>
      </c>
      <c r="B201" s="1854"/>
      <c r="C201" s="1847"/>
      <c r="D201" s="1859" t="s">
        <v>938</v>
      </c>
      <c r="E201" s="1848"/>
      <c r="F201" s="1849"/>
      <c r="G201" s="2010" t="s">
        <v>548</v>
      </c>
      <c r="H201" s="2011">
        <f t="shared" ca="1" si="108"/>
        <v>13.2</v>
      </c>
      <c r="I201" s="2011">
        <f t="shared" ca="1" si="108"/>
        <v>13.2</v>
      </c>
      <c r="J201" s="2011">
        <f t="shared" ca="1" si="108"/>
        <v>13.2</v>
      </c>
      <c r="K201" s="2011">
        <f t="shared" ca="1" si="108"/>
        <v>13.2</v>
      </c>
      <c r="L201" s="2012">
        <f t="shared" ca="1" si="96"/>
        <v>0</v>
      </c>
      <c r="M201" s="2012">
        <f t="shared" ca="1" si="97"/>
        <v>0</v>
      </c>
      <c r="N201" s="2012">
        <f t="shared" ca="1" si="98"/>
        <v>0</v>
      </c>
      <c r="O201" s="2012">
        <f t="shared" ca="1" si="99"/>
        <v>0</v>
      </c>
      <c r="P201" s="2013">
        <f ca="1">SUM(SUMIFS(OFFSET(貼付け_2024実績,$A201,10,1,199),OFFSET(貼付け_2024実績,4,9,1,199),{"横浜*","川崎*"}))</f>
        <v>0</v>
      </c>
      <c r="Q201" s="2013">
        <f ca="1">SUM(SUMIFS(OFFSET(貼付け_2025実績,$A201,10,1,199),OFFSET(貼付け_2025実績,4,9,1,199),{"横浜*","川崎*"}))</f>
        <v>0</v>
      </c>
      <c r="R201" s="2013">
        <f ca="1">SUM(SUMIFS(OFFSET(貼付け_2026実績,$A201,10,1,199),OFFSET(貼付け_2026実績,4,9,1,199),{"横浜*","川崎*"}))</f>
        <v>0</v>
      </c>
      <c r="S201" s="2013">
        <f ca="1">SUM(SUMIFS(OFFSET(貼付け_2027実績,$A201,10,1,199),OFFSET(貼付け_2027実績,4,9,1,199),{"横浜*","川崎*"}))</f>
        <v>0</v>
      </c>
      <c r="T201" s="2012">
        <f t="shared" ca="1" si="100"/>
        <v>0</v>
      </c>
      <c r="U201" s="2012">
        <f t="shared" ca="1" si="101"/>
        <v>0</v>
      </c>
      <c r="V201" s="2012">
        <f t="shared" ca="1" si="102"/>
        <v>0</v>
      </c>
      <c r="W201" s="2012">
        <f t="shared" ca="1" si="103"/>
        <v>0</v>
      </c>
      <c r="X201" s="2014">
        <f t="shared" ca="1" si="104"/>
        <v>0</v>
      </c>
      <c r="Y201" s="2014">
        <f t="shared" ca="1" si="105"/>
        <v>0</v>
      </c>
      <c r="Z201" s="2014">
        <f t="shared" ca="1" si="106"/>
        <v>0</v>
      </c>
      <c r="AA201" s="2014">
        <f t="shared" ca="1" si="107"/>
        <v>0</v>
      </c>
      <c r="AB201" s="2014"/>
      <c r="AC201" s="2014"/>
      <c r="AD201" s="2014"/>
      <c r="AE201" s="2014"/>
      <c r="AF201" s="2014"/>
      <c r="AG201" s="2014"/>
      <c r="AH201" s="2014"/>
      <c r="AI201" s="2014"/>
      <c r="AJ201" s="2014"/>
      <c r="AK201" s="2014"/>
      <c r="AL201" s="2014"/>
      <c r="AM201" s="2014"/>
      <c r="AN201" s="2014"/>
      <c r="AO201" s="2014"/>
      <c r="AP201" s="2014"/>
      <c r="AQ201" s="2014"/>
      <c r="AR201" s="2014"/>
      <c r="AS201" s="2014"/>
      <c r="AT201" s="2014"/>
      <c r="AU201" s="2014"/>
      <c r="AV201" s="2014"/>
      <c r="AW201" s="2014"/>
      <c r="AX201" s="2014"/>
      <c r="AY201" s="2014"/>
      <c r="AZ201" s="2014"/>
      <c r="BA201" s="2014"/>
      <c r="BB201" s="2014"/>
      <c r="BC201" s="2014"/>
      <c r="BD201" s="2014"/>
      <c r="BE201" s="2014"/>
      <c r="BF201" s="2014"/>
      <c r="BG201" s="2014"/>
      <c r="BH201" s="2014"/>
      <c r="BI201" s="2014"/>
      <c r="BJ201" s="2014"/>
      <c r="BK201" s="2014"/>
      <c r="BL201" s="2014"/>
      <c r="BM201" s="2014"/>
      <c r="BN201" s="2014"/>
      <c r="BO201" s="2014"/>
    </row>
    <row r="202" spans="1:67" ht="20.100000000000001" customHeight="1">
      <c r="A202" s="1845">
        <v>39</v>
      </c>
      <c r="B202" s="1854"/>
      <c r="C202" s="1847"/>
      <c r="D202" s="1859" t="s">
        <v>939</v>
      </c>
      <c r="E202" s="1837"/>
      <c r="F202" s="1849"/>
      <c r="G202" s="2010" t="s">
        <v>548</v>
      </c>
      <c r="H202" s="2011">
        <f t="shared" ca="1" si="108"/>
        <v>17.100000000000001</v>
      </c>
      <c r="I202" s="2011">
        <f t="shared" ca="1" si="108"/>
        <v>17.100000000000001</v>
      </c>
      <c r="J202" s="2011">
        <f t="shared" ca="1" si="108"/>
        <v>17.100000000000001</v>
      </c>
      <c r="K202" s="2011">
        <f t="shared" ca="1" si="108"/>
        <v>17.100000000000001</v>
      </c>
      <c r="L202" s="2012">
        <f t="shared" ca="1" si="96"/>
        <v>0</v>
      </c>
      <c r="M202" s="2012">
        <f t="shared" ca="1" si="97"/>
        <v>0</v>
      </c>
      <c r="N202" s="2012">
        <f t="shared" ca="1" si="98"/>
        <v>0</v>
      </c>
      <c r="O202" s="2012">
        <f t="shared" ca="1" si="99"/>
        <v>0</v>
      </c>
      <c r="P202" s="2013">
        <f ca="1">SUM(SUMIFS(OFFSET(貼付け_2024実績,$A202,10,1,199),OFFSET(貼付け_2024実績,4,9,1,199),{"横浜*","川崎*"}))</f>
        <v>0</v>
      </c>
      <c r="Q202" s="2013">
        <f ca="1">SUM(SUMIFS(OFFSET(貼付け_2025実績,$A202,10,1,199),OFFSET(貼付け_2025実績,4,9,1,199),{"横浜*","川崎*"}))</f>
        <v>0</v>
      </c>
      <c r="R202" s="2013">
        <f ca="1">SUM(SUMIFS(OFFSET(貼付け_2026実績,$A202,10,1,199),OFFSET(貼付け_2026実績,4,9,1,199),{"横浜*","川崎*"}))</f>
        <v>0</v>
      </c>
      <c r="S202" s="2013">
        <f ca="1">SUM(SUMIFS(OFFSET(貼付け_2027実績,$A202,10,1,199),OFFSET(貼付け_2027実績,4,9,1,199),{"横浜*","川崎*"}))</f>
        <v>0</v>
      </c>
      <c r="T202" s="2012">
        <f t="shared" ca="1" si="100"/>
        <v>0</v>
      </c>
      <c r="U202" s="2012">
        <f t="shared" ca="1" si="101"/>
        <v>0</v>
      </c>
      <c r="V202" s="2012">
        <f t="shared" ca="1" si="102"/>
        <v>0</v>
      </c>
      <c r="W202" s="2012">
        <f t="shared" ca="1" si="103"/>
        <v>0</v>
      </c>
      <c r="X202" s="2014">
        <f t="shared" ca="1" si="104"/>
        <v>0</v>
      </c>
      <c r="Y202" s="2014">
        <f t="shared" ca="1" si="105"/>
        <v>0</v>
      </c>
      <c r="Z202" s="2014">
        <f t="shared" ca="1" si="106"/>
        <v>0</v>
      </c>
      <c r="AA202" s="2014">
        <f t="shared" ca="1" si="107"/>
        <v>0</v>
      </c>
      <c r="AB202" s="2014"/>
      <c r="AC202" s="2014"/>
      <c r="AD202" s="2014"/>
      <c r="AE202" s="2014"/>
      <c r="AF202" s="2014"/>
      <c r="AG202" s="2014"/>
      <c r="AH202" s="2014"/>
      <c r="AI202" s="2014"/>
      <c r="AJ202" s="2014"/>
      <c r="AK202" s="2014"/>
      <c r="AL202" s="2014"/>
      <c r="AM202" s="2014"/>
      <c r="AN202" s="2014"/>
      <c r="AO202" s="2014"/>
      <c r="AP202" s="2014"/>
      <c r="AQ202" s="2014"/>
      <c r="AR202" s="2014"/>
      <c r="AS202" s="2014"/>
      <c r="AT202" s="2014"/>
      <c r="AU202" s="2014"/>
      <c r="AV202" s="2014"/>
      <c r="AW202" s="2014"/>
      <c r="AX202" s="2014"/>
      <c r="AY202" s="2014"/>
      <c r="AZ202" s="2014"/>
      <c r="BA202" s="2014"/>
      <c r="BB202" s="2014"/>
      <c r="BC202" s="2014"/>
      <c r="BD202" s="2014"/>
      <c r="BE202" s="2014"/>
      <c r="BF202" s="2014"/>
      <c r="BG202" s="2014"/>
      <c r="BH202" s="2014"/>
      <c r="BI202" s="2014"/>
      <c r="BJ202" s="2014"/>
      <c r="BK202" s="2014"/>
      <c r="BL202" s="2014"/>
      <c r="BM202" s="2014"/>
      <c r="BN202" s="2014"/>
      <c r="BO202" s="2014"/>
    </row>
    <row r="203" spans="1:67" ht="20.100000000000001" customHeight="1">
      <c r="A203" s="1845">
        <v>40</v>
      </c>
      <c r="B203" s="1854"/>
      <c r="C203" s="1847"/>
      <c r="D203" s="1848" t="s">
        <v>564</v>
      </c>
      <c r="E203" s="1848"/>
      <c r="F203" s="1849"/>
      <c r="G203" s="2010" t="s">
        <v>540</v>
      </c>
      <c r="H203" s="2011">
        <f t="shared" ca="1" si="108"/>
        <v>23.4</v>
      </c>
      <c r="I203" s="2011">
        <f t="shared" ca="1" si="108"/>
        <v>23.4</v>
      </c>
      <c r="J203" s="2011">
        <f t="shared" ca="1" si="108"/>
        <v>23.4</v>
      </c>
      <c r="K203" s="2011">
        <f t="shared" ca="1" si="108"/>
        <v>23.4</v>
      </c>
      <c r="L203" s="2012">
        <f t="shared" ca="1" si="96"/>
        <v>0</v>
      </c>
      <c r="M203" s="2012">
        <f t="shared" ca="1" si="97"/>
        <v>0</v>
      </c>
      <c r="N203" s="2012">
        <f t="shared" ca="1" si="98"/>
        <v>0</v>
      </c>
      <c r="O203" s="2012">
        <f t="shared" ca="1" si="99"/>
        <v>0</v>
      </c>
      <c r="P203" s="2013">
        <f ca="1">SUM(SUMIFS(OFFSET(貼付け_2024実績,$A203,10,1,199),OFFSET(貼付け_2024実績,4,9,1,199),{"横浜*","川崎*"}))</f>
        <v>0</v>
      </c>
      <c r="Q203" s="2013">
        <f ca="1">SUM(SUMIFS(OFFSET(貼付け_2025実績,$A203,10,1,199),OFFSET(貼付け_2025実績,4,9,1,199),{"横浜*","川崎*"}))</f>
        <v>0</v>
      </c>
      <c r="R203" s="2013">
        <f ca="1">SUM(SUMIFS(OFFSET(貼付け_2026実績,$A203,10,1,199),OFFSET(貼付け_2026実績,4,9,1,199),{"横浜*","川崎*"}))</f>
        <v>0</v>
      </c>
      <c r="S203" s="2013">
        <f ca="1">SUM(SUMIFS(OFFSET(貼付け_2027実績,$A203,10,1,199),OFFSET(貼付け_2027実績,4,9,1,199),{"横浜*","川崎*"}))</f>
        <v>0</v>
      </c>
      <c r="T203" s="2012">
        <f t="shared" ca="1" si="100"/>
        <v>0</v>
      </c>
      <c r="U203" s="2012">
        <f t="shared" ca="1" si="101"/>
        <v>0</v>
      </c>
      <c r="V203" s="2012">
        <f t="shared" ca="1" si="102"/>
        <v>0</v>
      </c>
      <c r="W203" s="2012">
        <f t="shared" ca="1" si="103"/>
        <v>0</v>
      </c>
      <c r="X203" s="2014">
        <f t="shared" ca="1" si="104"/>
        <v>0</v>
      </c>
      <c r="Y203" s="2014">
        <f t="shared" ca="1" si="105"/>
        <v>0</v>
      </c>
      <c r="Z203" s="2014">
        <f t="shared" ca="1" si="106"/>
        <v>0</v>
      </c>
      <c r="AA203" s="2014">
        <f t="shared" ca="1" si="107"/>
        <v>0</v>
      </c>
      <c r="AB203" s="2014"/>
      <c r="AC203" s="2014"/>
      <c r="AD203" s="2014"/>
      <c r="AE203" s="2014"/>
      <c r="AF203" s="2014"/>
      <c r="AG203" s="2014"/>
      <c r="AH203" s="2014"/>
      <c r="AI203" s="2014"/>
      <c r="AJ203" s="2014"/>
      <c r="AK203" s="2014"/>
      <c r="AL203" s="2014"/>
      <c r="AM203" s="2014"/>
      <c r="AN203" s="2014"/>
      <c r="AO203" s="2014"/>
      <c r="AP203" s="2014"/>
      <c r="AQ203" s="2014"/>
      <c r="AR203" s="2014"/>
      <c r="AS203" s="2014"/>
      <c r="AT203" s="2014"/>
      <c r="AU203" s="2014"/>
      <c r="AV203" s="2014"/>
      <c r="AW203" s="2014"/>
      <c r="AX203" s="2014"/>
      <c r="AY203" s="2014"/>
      <c r="AZ203" s="2014"/>
      <c r="BA203" s="2014"/>
      <c r="BB203" s="2014"/>
      <c r="BC203" s="2014"/>
      <c r="BD203" s="2014"/>
      <c r="BE203" s="2014"/>
      <c r="BF203" s="2014"/>
      <c r="BG203" s="2014"/>
      <c r="BH203" s="2014"/>
      <c r="BI203" s="2014"/>
      <c r="BJ203" s="2014"/>
      <c r="BK203" s="2014"/>
      <c r="BL203" s="2014"/>
      <c r="BM203" s="2014"/>
      <c r="BN203" s="2014"/>
      <c r="BO203" s="2014"/>
    </row>
    <row r="204" spans="1:67" ht="20.100000000000001" customHeight="1">
      <c r="A204" s="1845">
        <v>41</v>
      </c>
      <c r="B204" s="1854"/>
      <c r="C204" s="1847"/>
      <c r="D204" s="1848" t="s">
        <v>565</v>
      </c>
      <c r="E204" s="1848"/>
      <c r="F204" s="1849"/>
      <c r="G204" s="2010" t="s">
        <v>540</v>
      </c>
      <c r="H204" s="2011">
        <f t="shared" ca="1" si="108"/>
        <v>35.6</v>
      </c>
      <c r="I204" s="2011">
        <f t="shared" ca="1" si="108"/>
        <v>35.6</v>
      </c>
      <c r="J204" s="2011">
        <f t="shared" ca="1" si="108"/>
        <v>35.6</v>
      </c>
      <c r="K204" s="2011">
        <f t="shared" ca="1" si="108"/>
        <v>35.6</v>
      </c>
      <c r="L204" s="2012">
        <f t="shared" ca="1" si="96"/>
        <v>0</v>
      </c>
      <c r="M204" s="2012">
        <f t="shared" ca="1" si="97"/>
        <v>0</v>
      </c>
      <c r="N204" s="2012">
        <f t="shared" ca="1" si="98"/>
        <v>0</v>
      </c>
      <c r="O204" s="2012">
        <f t="shared" ca="1" si="99"/>
        <v>0</v>
      </c>
      <c r="P204" s="2013">
        <f ca="1">SUM(SUMIFS(OFFSET(貼付け_2024実績,$A204,10,1,199),OFFSET(貼付け_2024実績,4,9,1,199),{"横浜*","川崎*"}))</f>
        <v>0</v>
      </c>
      <c r="Q204" s="2013">
        <f ca="1">SUM(SUMIFS(OFFSET(貼付け_2025実績,$A204,10,1,199),OFFSET(貼付け_2025実績,4,9,1,199),{"横浜*","川崎*"}))</f>
        <v>0</v>
      </c>
      <c r="R204" s="2013">
        <f ca="1">SUM(SUMIFS(OFFSET(貼付け_2026実績,$A204,10,1,199),OFFSET(貼付け_2026実績,4,9,1,199),{"横浜*","川崎*"}))</f>
        <v>0</v>
      </c>
      <c r="S204" s="2013">
        <f ca="1">SUM(SUMIFS(OFFSET(貼付け_2027実績,$A204,10,1,199),OFFSET(貼付け_2027実績,4,9,1,199),{"横浜*","川崎*"}))</f>
        <v>0</v>
      </c>
      <c r="T204" s="2012">
        <f t="shared" ca="1" si="100"/>
        <v>0</v>
      </c>
      <c r="U204" s="2012">
        <f t="shared" ca="1" si="101"/>
        <v>0</v>
      </c>
      <c r="V204" s="2012">
        <f t="shared" ca="1" si="102"/>
        <v>0</v>
      </c>
      <c r="W204" s="2012">
        <f t="shared" ca="1" si="103"/>
        <v>0</v>
      </c>
      <c r="X204" s="2014">
        <f t="shared" ca="1" si="104"/>
        <v>0</v>
      </c>
      <c r="Y204" s="2014">
        <f t="shared" ca="1" si="105"/>
        <v>0</v>
      </c>
      <c r="Z204" s="2014">
        <f t="shared" ca="1" si="106"/>
        <v>0</v>
      </c>
      <c r="AA204" s="2014">
        <f t="shared" ca="1" si="107"/>
        <v>0</v>
      </c>
      <c r="AB204" s="2014"/>
      <c r="AC204" s="2014"/>
      <c r="AD204" s="2014"/>
      <c r="AE204" s="2014"/>
      <c r="AF204" s="2014"/>
      <c r="AG204" s="2014"/>
      <c r="AH204" s="2014"/>
      <c r="AI204" s="2014"/>
      <c r="AJ204" s="2014"/>
      <c r="AK204" s="2014"/>
      <c r="AL204" s="2014"/>
      <c r="AM204" s="2014"/>
      <c r="AN204" s="2014"/>
      <c r="AO204" s="2014"/>
      <c r="AP204" s="2014"/>
      <c r="AQ204" s="2014"/>
      <c r="AR204" s="2014"/>
      <c r="AS204" s="2014"/>
      <c r="AT204" s="2014"/>
      <c r="AU204" s="2014"/>
      <c r="AV204" s="2014"/>
      <c r="AW204" s="2014"/>
      <c r="AX204" s="2014"/>
      <c r="AY204" s="2014"/>
      <c r="AZ204" s="2014"/>
      <c r="BA204" s="2014"/>
      <c r="BB204" s="2014"/>
      <c r="BC204" s="2014"/>
      <c r="BD204" s="2014"/>
      <c r="BE204" s="2014"/>
      <c r="BF204" s="2014"/>
      <c r="BG204" s="2014"/>
      <c r="BH204" s="2014"/>
      <c r="BI204" s="2014"/>
      <c r="BJ204" s="2014"/>
      <c r="BK204" s="2014"/>
      <c r="BL204" s="2014"/>
      <c r="BM204" s="2014"/>
      <c r="BN204" s="2014"/>
      <c r="BO204" s="2014"/>
    </row>
    <row r="205" spans="1:67" ht="20.100000000000001" customHeight="1">
      <c r="A205" s="1845">
        <v>42</v>
      </c>
      <c r="B205" s="1854"/>
      <c r="C205" s="1847"/>
      <c r="D205" s="1848" t="s">
        <v>566</v>
      </c>
      <c r="E205" s="1848"/>
      <c r="F205" s="1849"/>
      <c r="G205" s="2010" t="s">
        <v>553</v>
      </c>
      <c r="H205" s="2011">
        <f t="shared" ca="1" si="108"/>
        <v>21.2</v>
      </c>
      <c r="I205" s="2011">
        <f t="shared" ca="1" si="108"/>
        <v>21.2</v>
      </c>
      <c r="J205" s="2011">
        <f t="shared" ca="1" si="108"/>
        <v>21.2</v>
      </c>
      <c r="K205" s="2011">
        <f t="shared" ca="1" si="108"/>
        <v>21.2</v>
      </c>
      <c r="L205" s="2012">
        <f t="shared" ca="1" si="96"/>
        <v>0</v>
      </c>
      <c r="M205" s="2012">
        <f t="shared" ca="1" si="97"/>
        <v>0</v>
      </c>
      <c r="N205" s="2012">
        <f t="shared" ca="1" si="98"/>
        <v>0</v>
      </c>
      <c r="O205" s="2012">
        <f t="shared" ca="1" si="99"/>
        <v>0</v>
      </c>
      <c r="P205" s="2013">
        <f ca="1">SUM(SUMIFS(OFFSET(貼付け_2024実績,$A205,10,1,199),OFFSET(貼付け_2024実績,4,9,1,199),{"横浜*","川崎*"}))</f>
        <v>0</v>
      </c>
      <c r="Q205" s="2013">
        <f ca="1">SUM(SUMIFS(OFFSET(貼付け_2025実績,$A205,10,1,199),OFFSET(貼付け_2025実績,4,9,1,199),{"横浜*","川崎*"}))</f>
        <v>0</v>
      </c>
      <c r="R205" s="2013">
        <f ca="1">SUM(SUMIFS(OFFSET(貼付け_2026実績,$A205,10,1,199),OFFSET(貼付け_2026実績,4,9,1,199),{"横浜*","川崎*"}))</f>
        <v>0</v>
      </c>
      <c r="S205" s="2013">
        <f ca="1">SUM(SUMIFS(OFFSET(貼付け_2027実績,$A205,10,1,199),OFFSET(貼付け_2027実績,4,9,1,199),{"横浜*","川崎*"}))</f>
        <v>0</v>
      </c>
      <c r="T205" s="2012">
        <f t="shared" ca="1" si="100"/>
        <v>0</v>
      </c>
      <c r="U205" s="2012">
        <f t="shared" ca="1" si="101"/>
        <v>0</v>
      </c>
      <c r="V205" s="2012">
        <f t="shared" ca="1" si="102"/>
        <v>0</v>
      </c>
      <c r="W205" s="2012">
        <f t="shared" ca="1" si="103"/>
        <v>0</v>
      </c>
      <c r="X205" s="2014">
        <f t="shared" ca="1" si="104"/>
        <v>0</v>
      </c>
      <c r="Y205" s="2014">
        <f t="shared" ca="1" si="105"/>
        <v>0</v>
      </c>
      <c r="Z205" s="2014">
        <f t="shared" ca="1" si="106"/>
        <v>0</v>
      </c>
      <c r="AA205" s="2014">
        <f t="shared" ca="1" si="107"/>
        <v>0</v>
      </c>
      <c r="AB205" s="2014"/>
      <c r="AC205" s="2014"/>
      <c r="AD205" s="2014"/>
      <c r="AE205" s="2014"/>
      <c r="AF205" s="2014"/>
      <c r="AG205" s="2014"/>
      <c r="AH205" s="2014"/>
      <c r="AI205" s="2014"/>
      <c r="AJ205" s="2014"/>
      <c r="AK205" s="2014"/>
      <c r="AL205" s="2014"/>
      <c r="AM205" s="2014"/>
      <c r="AN205" s="2014"/>
      <c r="AO205" s="2014"/>
      <c r="AP205" s="2014"/>
      <c r="AQ205" s="2014"/>
      <c r="AR205" s="2014"/>
      <c r="AS205" s="2014"/>
      <c r="AT205" s="2014"/>
      <c r="AU205" s="2014"/>
      <c r="AV205" s="2014"/>
      <c r="AW205" s="2014"/>
      <c r="AX205" s="2014"/>
      <c r="AY205" s="2014"/>
      <c r="AZ205" s="2014"/>
      <c r="BA205" s="2014"/>
      <c r="BB205" s="2014"/>
      <c r="BC205" s="2014"/>
      <c r="BD205" s="2014"/>
      <c r="BE205" s="2014"/>
      <c r="BF205" s="2014"/>
      <c r="BG205" s="2014"/>
      <c r="BH205" s="2014"/>
      <c r="BI205" s="2014"/>
      <c r="BJ205" s="2014"/>
      <c r="BK205" s="2014"/>
      <c r="BL205" s="2014"/>
      <c r="BM205" s="2014"/>
      <c r="BN205" s="2014"/>
      <c r="BO205" s="2014"/>
    </row>
    <row r="206" spans="1:67" ht="20.100000000000001" customHeight="1">
      <c r="A206" s="1845">
        <v>43</v>
      </c>
      <c r="B206" s="1854"/>
      <c r="C206" s="1847"/>
      <c r="D206" s="1848" t="s">
        <v>940</v>
      </c>
      <c r="E206" s="1858" t="str">
        <f ca="1">E44</f>
        <v/>
      </c>
      <c r="F206" s="1860"/>
      <c r="G206" s="2010" t="s">
        <v>548</v>
      </c>
      <c r="H206" s="2011">
        <f t="shared" ca="1" si="108"/>
        <v>13.2</v>
      </c>
      <c r="I206" s="2011">
        <f t="shared" ca="1" si="108"/>
        <v>13.2</v>
      </c>
      <c r="J206" s="2011">
        <f t="shared" ca="1" si="108"/>
        <v>13.2</v>
      </c>
      <c r="K206" s="2011">
        <f t="shared" ca="1" si="108"/>
        <v>13.2</v>
      </c>
      <c r="L206" s="2012">
        <f t="shared" ca="1" si="96"/>
        <v>0</v>
      </c>
      <c r="M206" s="2012">
        <f t="shared" ca="1" si="97"/>
        <v>0</v>
      </c>
      <c r="N206" s="2012">
        <f t="shared" ca="1" si="98"/>
        <v>0</v>
      </c>
      <c r="O206" s="2012">
        <f t="shared" ca="1" si="99"/>
        <v>0</v>
      </c>
      <c r="P206" s="2013">
        <f ca="1">SUM(SUMIFS(OFFSET(貼付け_2024実績,$A206,10,1,199),OFFSET(貼付け_2024実績,4,9,1,199),{"横浜*","川崎*"}))</f>
        <v>0</v>
      </c>
      <c r="Q206" s="2013">
        <f ca="1">SUM(SUMIFS(OFFSET(貼付け_2025実績,$A206,10,1,199),OFFSET(貼付け_2025実績,4,9,1,199),{"横浜*","川崎*"}))</f>
        <v>0</v>
      </c>
      <c r="R206" s="2013">
        <f ca="1">SUM(SUMIFS(OFFSET(貼付け_2026実績,$A206,10,1,199),OFFSET(貼付け_2026実績,4,9,1,199),{"横浜*","川崎*"}))</f>
        <v>0</v>
      </c>
      <c r="S206" s="2013">
        <f ca="1">SUM(SUMIFS(OFFSET(貼付け_2027実績,$A206,10,1,199),OFFSET(貼付け_2027実績,4,9,1,199),{"横浜*","川崎*"}))</f>
        <v>0</v>
      </c>
      <c r="T206" s="2012">
        <f t="shared" ca="1" si="100"/>
        <v>0</v>
      </c>
      <c r="U206" s="2012">
        <f t="shared" ca="1" si="101"/>
        <v>0</v>
      </c>
      <c r="V206" s="2012">
        <f t="shared" ca="1" si="102"/>
        <v>0</v>
      </c>
      <c r="W206" s="2012">
        <f t="shared" ca="1" si="103"/>
        <v>0</v>
      </c>
      <c r="X206" s="2014">
        <f t="shared" ca="1" si="104"/>
        <v>0</v>
      </c>
      <c r="Y206" s="2014">
        <f t="shared" ca="1" si="105"/>
        <v>0</v>
      </c>
      <c r="Z206" s="2014">
        <f t="shared" ca="1" si="106"/>
        <v>0</v>
      </c>
      <c r="AA206" s="2014">
        <f t="shared" ca="1" si="107"/>
        <v>0</v>
      </c>
      <c r="AB206" s="2014"/>
      <c r="AC206" s="2014"/>
      <c r="AD206" s="2014"/>
      <c r="AE206" s="2014"/>
      <c r="AF206" s="2014"/>
      <c r="AG206" s="2014"/>
      <c r="AH206" s="2014"/>
      <c r="AI206" s="2014"/>
      <c r="AJ206" s="2014"/>
      <c r="AK206" s="2014"/>
      <c r="AL206" s="2014"/>
      <c r="AM206" s="2014"/>
      <c r="AN206" s="2014"/>
      <c r="AO206" s="2014"/>
      <c r="AP206" s="2014"/>
      <c r="AQ206" s="2014"/>
      <c r="AR206" s="2014"/>
      <c r="AS206" s="2014"/>
      <c r="AT206" s="2014"/>
      <c r="AU206" s="2014"/>
      <c r="AV206" s="2014"/>
      <c r="AW206" s="2014"/>
      <c r="AX206" s="2014"/>
      <c r="AY206" s="2014"/>
      <c r="AZ206" s="2014"/>
      <c r="BA206" s="2014"/>
      <c r="BB206" s="2014"/>
      <c r="BC206" s="2014"/>
      <c r="BD206" s="2014"/>
      <c r="BE206" s="2014"/>
      <c r="BF206" s="2014"/>
      <c r="BG206" s="2014"/>
      <c r="BH206" s="2014"/>
      <c r="BI206" s="2014"/>
      <c r="BJ206" s="2014"/>
      <c r="BK206" s="2014"/>
      <c r="BL206" s="2014"/>
      <c r="BM206" s="2014"/>
      <c r="BN206" s="2014"/>
      <c r="BO206" s="2014"/>
    </row>
    <row r="207" spans="1:67" ht="20.100000000000001" customHeight="1">
      <c r="A207" s="1845">
        <v>44</v>
      </c>
      <c r="B207" s="1854"/>
      <c r="C207" s="1847"/>
      <c r="D207" s="1859" t="s">
        <v>567</v>
      </c>
      <c r="E207" s="1848"/>
      <c r="F207" s="1849"/>
      <c r="G207" s="2010" t="s">
        <v>548</v>
      </c>
      <c r="H207" s="2011">
        <f t="shared" ca="1" si="108"/>
        <v>18</v>
      </c>
      <c r="I207" s="2011">
        <f t="shared" ca="1" si="108"/>
        <v>18</v>
      </c>
      <c r="J207" s="2011">
        <f t="shared" ca="1" si="108"/>
        <v>18</v>
      </c>
      <c r="K207" s="2011">
        <f t="shared" ca="1" si="108"/>
        <v>18</v>
      </c>
      <c r="L207" s="2012">
        <f t="shared" ca="1" si="96"/>
        <v>0</v>
      </c>
      <c r="M207" s="2012">
        <f t="shared" ca="1" si="97"/>
        <v>0</v>
      </c>
      <c r="N207" s="2012">
        <f t="shared" ca="1" si="98"/>
        <v>0</v>
      </c>
      <c r="O207" s="2012">
        <f t="shared" ca="1" si="99"/>
        <v>0</v>
      </c>
      <c r="P207" s="2013">
        <f ca="1">SUM(SUMIFS(OFFSET(貼付け_2024実績,$A207,10,1,199),OFFSET(貼付け_2024実績,4,9,1,199),{"横浜*","川崎*"}))</f>
        <v>0</v>
      </c>
      <c r="Q207" s="2013">
        <f ca="1">SUM(SUMIFS(OFFSET(貼付け_2025実績,$A207,10,1,199),OFFSET(貼付け_2025実績,4,9,1,199),{"横浜*","川崎*"}))</f>
        <v>0</v>
      </c>
      <c r="R207" s="2013">
        <f ca="1">SUM(SUMIFS(OFFSET(貼付け_2026実績,$A207,10,1,199),OFFSET(貼付け_2026実績,4,9,1,199),{"横浜*","川崎*"}))</f>
        <v>0</v>
      </c>
      <c r="S207" s="2013">
        <f ca="1">SUM(SUMIFS(OFFSET(貼付け_2027実績,$A207,10,1,199),OFFSET(貼付け_2027実績,4,9,1,199),{"横浜*","川崎*"}))</f>
        <v>0</v>
      </c>
      <c r="T207" s="2012">
        <f t="shared" ca="1" si="100"/>
        <v>0</v>
      </c>
      <c r="U207" s="2012">
        <f t="shared" ca="1" si="101"/>
        <v>0</v>
      </c>
      <c r="V207" s="2012">
        <f t="shared" ca="1" si="102"/>
        <v>0</v>
      </c>
      <c r="W207" s="2012">
        <f t="shared" ca="1" si="103"/>
        <v>0</v>
      </c>
      <c r="X207" s="2014">
        <f t="shared" ca="1" si="104"/>
        <v>0</v>
      </c>
      <c r="Y207" s="2014">
        <f t="shared" ca="1" si="105"/>
        <v>0</v>
      </c>
      <c r="Z207" s="2014">
        <f t="shared" ca="1" si="106"/>
        <v>0</v>
      </c>
      <c r="AA207" s="2014">
        <f t="shared" ca="1" si="107"/>
        <v>0</v>
      </c>
      <c r="AB207" s="2014"/>
      <c r="AC207" s="2014"/>
      <c r="AD207" s="2014"/>
      <c r="AE207" s="2014"/>
      <c r="AF207" s="2014"/>
      <c r="AG207" s="2014"/>
      <c r="AH207" s="2014"/>
      <c r="AI207" s="2014"/>
      <c r="AJ207" s="2014"/>
      <c r="AK207" s="2014"/>
      <c r="AL207" s="2014"/>
      <c r="AM207" s="2014"/>
      <c r="AN207" s="2014"/>
      <c r="AO207" s="2014"/>
      <c r="AP207" s="2014"/>
      <c r="AQ207" s="2014"/>
      <c r="AR207" s="2014"/>
      <c r="AS207" s="2014"/>
      <c r="AT207" s="2014"/>
      <c r="AU207" s="2014"/>
      <c r="AV207" s="2014"/>
      <c r="AW207" s="2014"/>
      <c r="AX207" s="2014"/>
      <c r="AY207" s="2014"/>
      <c r="AZ207" s="2014"/>
      <c r="BA207" s="2014"/>
      <c r="BB207" s="2014"/>
      <c r="BC207" s="2014"/>
      <c r="BD207" s="2014"/>
      <c r="BE207" s="2014"/>
      <c r="BF207" s="2014"/>
      <c r="BG207" s="2014"/>
      <c r="BH207" s="2014"/>
      <c r="BI207" s="2014"/>
      <c r="BJ207" s="2014"/>
      <c r="BK207" s="2014"/>
      <c r="BL207" s="2014"/>
      <c r="BM207" s="2014"/>
      <c r="BN207" s="2014"/>
      <c r="BO207" s="2014"/>
    </row>
    <row r="208" spans="1:67" ht="20.100000000000001" customHeight="1">
      <c r="A208" s="1845">
        <v>45</v>
      </c>
      <c r="B208" s="1854"/>
      <c r="C208" s="1847"/>
      <c r="D208" s="1859" t="s">
        <v>568</v>
      </c>
      <c r="E208" s="1861"/>
      <c r="F208" s="1849"/>
      <c r="G208" s="2010" t="s">
        <v>548</v>
      </c>
      <c r="H208" s="2011">
        <f t="shared" ca="1" si="108"/>
        <v>26.9</v>
      </c>
      <c r="I208" s="2011">
        <f t="shared" ca="1" si="108"/>
        <v>26.9</v>
      </c>
      <c r="J208" s="2011">
        <f t="shared" ca="1" si="108"/>
        <v>26.9</v>
      </c>
      <c r="K208" s="2011">
        <f t="shared" ca="1" si="108"/>
        <v>26.9</v>
      </c>
      <c r="L208" s="2012">
        <f t="shared" ca="1" si="96"/>
        <v>0</v>
      </c>
      <c r="M208" s="2012">
        <f t="shared" ca="1" si="97"/>
        <v>0</v>
      </c>
      <c r="N208" s="2012">
        <f t="shared" ca="1" si="98"/>
        <v>0</v>
      </c>
      <c r="O208" s="2012">
        <f t="shared" ca="1" si="99"/>
        <v>0</v>
      </c>
      <c r="P208" s="2013">
        <f ca="1">SUM(SUMIFS(OFFSET(貼付け_2024実績,$A208,10,1,199),OFFSET(貼付け_2024実績,4,9,1,199),{"横浜*","川崎*"}))</f>
        <v>0</v>
      </c>
      <c r="Q208" s="2013">
        <f ca="1">SUM(SUMIFS(OFFSET(貼付け_2025実績,$A208,10,1,199),OFFSET(貼付け_2025実績,4,9,1,199),{"横浜*","川崎*"}))</f>
        <v>0</v>
      </c>
      <c r="R208" s="2013">
        <f ca="1">SUM(SUMIFS(OFFSET(貼付け_2026実績,$A208,10,1,199),OFFSET(貼付け_2026実績,4,9,1,199),{"横浜*","川崎*"}))</f>
        <v>0</v>
      </c>
      <c r="S208" s="2013">
        <f ca="1">SUM(SUMIFS(OFFSET(貼付け_2027実績,$A208,10,1,199),OFFSET(貼付け_2027実績,4,9,1,199),{"横浜*","川崎*"}))</f>
        <v>0</v>
      </c>
      <c r="T208" s="2012">
        <f t="shared" ca="1" si="100"/>
        <v>0</v>
      </c>
      <c r="U208" s="2012">
        <f t="shared" ca="1" si="101"/>
        <v>0</v>
      </c>
      <c r="V208" s="2012">
        <f t="shared" ca="1" si="102"/>
        <v>0</v>
      </c>
      <c r="W208" s="2012">
        <f t="shared" ca="1" si="103"/>
        <v>0</v>
      </c>
      <c r="X208" s="2014">
        <f t="shared" ca="1" si="104"/>
        <v>0</v>
      </c>
      <c r="Y208" s="2014">
        <f t="shared" ca="1" si="105"/>
        <v>0</v>
      </c>
      <c r="Z208" s="2014">
        <f t="shared" ca="1" si="106"/>
        <v>0</v>
      </c>
      <c r="AA208" s="2014">
        <f t="shared" ca="1" si="107"/>
        <v>0</v>
      </c>
      <c r="AB208" s="2014"/>
      <c r="AC208" s="2014"/>
      <c r="AD208" s="2014"/>
      <c r="AE208" s="2014"/>
      <c r="AF208" s="2014"/>
      <c r="AG208" s="2014"/>
      <c r="AH208" s="2014"/>
      <c r="AI208" s="2014"/>
      <c r="AJ208" s="2014"/>
      <c r="AK208" s="2014"/>
      <c r="AL208" s="2014"/>
      <c r="AM208" s="2014"/>
      <c r="AN208" s="2014"/>
      <c r="AO208" s="2014"/>
      <c r="AP208" s="2014"/>
      <c r="AQ208" s="2014"/>
      <c r="AR208" s="2014"/>
      <c r="AS208" s="2014"/>
      <c r="AT208" s="2014"/>
      <c r="AU208" s="2014"/>
      <c r="AV208" s="2014"/>
      <c r="AW208" s="2014"/>
      <c r="AX208" s="2014"/>
      <c r="AY208" s="2014"/>
      <c r="AZ208" s="2014"/>
      <c r="BA208" s="2014"/>
      <c r="BB208" s="2014"/>
      <c r="BC208" s="2014"/>
      <c r="BD208" s="2014"/>
      <c r="BE208" s="2014"/>
      <c r="BF208" s="2014"/>
      <c r="BG208" s="2014"/>
      <c r="BH208" s="2014"/>
      <c r="BI208" s="2014"/>
      <c r="BJ208" s="2014"/>
      <c r="BK208" s="2014"/>
      <c r="BL208" s="2014"/>
      <c r="BM208" s="2014"/>
      <c r="BN208" s="2014"/>
      <c r="BO208" s="2014"/>
    </row>
    <row r="209" spans="1:68" ht="20.100000000000001" customHeight="1">
      <c r="A209" s="1845">
        <v>46</v>
      </c>
      <c r="B209" s="1854"/>
      <c r="C209" s="1847"/>
      <c r="D209" s="1859" t="s">
        <v>941</v>
      </c>
      <c r="E209" s="1837"/>
      <c r="F209" s="1849"/>
      <c r="G209" s="2010" t="s">
        <v>548</v>
      </c>
      <c r="H209" s="2011">
        <f t="shared" ca="1" si="108"/>
        <v>33.200000000000003</v>
      </c>
      <c r="I209" s="2011">
        <f t="shared" ca="1" si="108"/>
        <v>33.200000000000003</v>
      </c>
      <c r="J209" s="2011">
        <f t="shared" ca="1" si="108"/>
        <v>33.200000000000003</v>
      </c>
      <c r="K209" s="2011">
        <f t="shared" ca="1" si="108"/>
        <v>33.200000000000003</v>
      </c>
      <c r="L209" s="2012">
        <f t="shared" ca="1" si="96"/>
        <v>0</v>
      </c>
      <c r="M209" s="2012">
        <f t="shared" ca="1" si="97"/>
        <v>0</v>
      </c>
      <c r="N209" s="2012">
        <f t="shared" ca="1" si="98"/>
        <v>0</v>
      </c>
      <c r="O209" s="2012">
        <f t="shared" ca="1" si="99"/>
        <v>0</v>
      </c>
      <c r="P209" s="2013">
        <f ca="1">SUM(SUMIFS(OFFSET(貼付け_2024実績,$A209,10,1,199),OFFSET(貼付け_2024実績,4,9,1,199),{"横浜*","川崎*"}))</f>
        <v>0</v>
      </c>
      <c r="Q209" s="2013">
        <f ca="1">SUM(SUMIFS(OFFSET(貼付け_2025実績,$A209,10,1,199),OFFSET(貼付け_2025実績,4,9,1,199),{"横浜*","川崎*"}))</f>
        <v>0</v>
      </c>
      <c r="R209" s="2013">
        <f ca="1">SUM(SUMIFS(OFFSET(貼付け_2026実績,$A209,10,1,199),OFFSET(貼付け_2026実績,4,9,1,199),{"横浜*","川崎*"}))</f>
        <v>0</v>
      </c>
      <c r="S209" s="2013">
        <f ca="1">SUM(SUMIFS(OFFSET(貼付け_2027実績,$A209,10,1,199),OFFSET(貼付け_2027実績,4,9,1,199),{"横浜*","川崎*"}))</f>
        <v>0</v>
      </c>
      <c r="T209" s="2012">
        <f t="shared" ca="1" si="100"/>
        <v>0</v>
      </c>
      <c r="U209" s="2012">
        <f t="shared" ca="1" si="101"/>
        <v>0</v>
      </c>
      <c r="V209" s="2012">
        <f t="shared" ca="1" si="102"/>
        <v>0</v>
      </c>
      <c r="W209" s="2012">
        <f t="shared" ca="1" si="103"/>
        <v>0</v>
      </c>
      <c r="X209" s="2014">
        <f t="shared" ca="1" si="104"/>
        <v>0</v>
      </c>
      <c r="Y209" s="2014">
        <f t="shared" ca="1" si="105"/>
        <v>0</v>
      </c>
      <c r="Z209" s="2014">
        <f t="shared" ca="1" si="106"/>
        <v>0</v>
      </c>
      <c r="AA209" s="2014">
        <f t="shared" ca="1" si="107"/>
        <v>0</v>
      </c>
      <c r="AB209" s="2014"/>
      <c r="AC209" s="2014"/>
      <c r="AD209" s="2014"/>
      <c r="AE209" s="2014"/>
      <c r="AF209" s="2014"/>
      <c r="AG209" s="2014"/>
      <c r="AH209" s="2014"/>
      <c r="AI209" s="2014"/>
      <c r="AJ209" s="2014"/>
      <c r="AK209" s="2014"/>
      <c r="AL209" s="2014"/>
      <c r="AM209" s="2014"/>
      <c r="AN209" s="2014"/>
      <c r="AO209" s="2014"/>
      <c r="AP209" s="2014"/>
      <c r="AQ209" s="2014"/>
      <c r="AR209" s="2014"/>
      <c r="AS209" s="2014"/>
      <c r="AT209" s="2014"/>
      <c r="AU209" s="2014"/>
      <c r="AV209" s="2014"/>
      <c r="AW209" s="2014"/>
      <c r="AX209" s="2014"/>
      <c r="AY209" s="2014"/>
      <c r="AZ209" s="2014"/>
      <c r="BA209" s="2014"/>
      <c r="BB209" s="2014"/>
      <c r="BC209" s="2014"/>
      <c r="BD209" s="2014"/>
      <c r="BE209" s="2014"/>
      <c r="BF209" s="2014"/>
      <c r="BG209" s="2014"/>
      <c r="BH209" s="2014"/>
      <c r="BI209" s="2014"/>
      <c r="BJ209" s="2014"/>
      <c r="BK209" s="2014"/>
      <c r="BL209" s="2014"/>
      <c r="BM209" s="2014"/>
      <c r="BN209" s="2014"/>
      <c r="BO209" s="2014"/>
    </row>
    <row r="210" spans="1:68" ht="20.100000000000001" customHeight="1">
      <c r="A210" s="1845">
        <v>47</v>
      </c>
      <c r="B210" s="1855"/>
      <c r="C210" s="1847"/>
      <c r="D210" s="1859" t="s">
        <v>942</v>
      </c>
      <c r="E210" s="1848"/>
      <c r="F210" s="1849"/>
      <c r="G210" s="2010" t="s">
        <v>548</v>
      </c>
      <c r="H210" s="2011">
        <f t="shared" ca="1" si="108"/>
        <v>29.3</v>
      </c>
      <c r="I210" s="2011">
        <f t="shared" ca="1" si="108"/>
        <v>29.3</v>
      </c>
      <c r="J210" s="2011">
        <f t="shared" ca="1" si="108"/>
        <v>29.3</v>
      </c>
      <c r="K210" s="2011">
        <f t="shared" ca="1" si="108"/>
        <v>29.3</v>
      </c>
      <c r="L210" s="2012">
        <f t="shared" ca="1" si="96"/>
        <v>0</v>
      </c>
      <c r="M210" s="2012">
        <f t="shared" ca="1" si="97"/>
        <v>0</v>
      </c>
      <c r="N210" s="2012">
        <f t="shared" ca="1" si="98"/>
        <v>0</v>
      </c>
      <c r="O210" s="2012">
        <f t="shared" ca="1" si="99"/>
        <v>0</v>
      </c>
      <c r="P210" s="2013">
        <f ca="1">SUM(SUMIFS(OFFSET(貼付け_2024実績,$A210,10,1,199),OFFSET(貼付け_2024実績,4,9,1,199),{"横浜*","川崎*"}))</f>
        <v>0</v>
      </c>
      <c r="Q210" s="2013">
        <f ca="1">SUM(SUMIFS(OFFSET(貼付け_2025実績,$A210,10,1,199),OFFSET(貼付け_2025実績,4,9,1,199),{"横浜*","川崎*"}))</f>
        <v>0</v>
      </c>
      <c r="R210" s="2013">
        <f ca="1">SUM(SUMIFS(OFFSET(貼付け_2026実績,$A210,10,1,199),OFFSET(貼付け_2026実績,4,9,1,199),{"横浜*","川崎*"}))</f>
        <v>0</v>
      </c>
      <c r="S210" s="2013">
        <f ca="1">SUM(SUMIFS(OFFSET(貼付け_2027実績,$A210,10,1,199),OFFSET(貼付け_2027実績,4,9,1,199),{"横浜*","川崎*"}))</f>
        <v>0</v>
      </c>
      <c r="T210" s="2012">
        <f t="shared" ca="1" si="100"/>
        <v>0</v>
      </c>
      <c r="U210" s="2012">
        <f t="shared" ca="1" si="101"/>
        <v>0</v>
      </c>
      <c r="V210" s="2012">
        <f t="shared" ca="1" si="102"/>
        <v>0</v>
      </c>
      <c r="W210" s="2012">
        <f t="shared" ca="1" si="103"/>
        <v>0</v>
      </c>
      <c r="X210" s="2014">
        <f t="shared" ca="1" si="104"/>
        <v>0</v>
      </c>
      <c r="Y210" s="2014">
        <f t="shared" ca="1" si="105"/>
        <v>0</v>
      </c>
      <c r="Z210" s="2014">
        <f t="shared" ca="1" si="106"/>
        <v>0</v>
      </c>
      <c r="AA210" s="2014">
        <f t="shared" ca="1" si="107"/>
        <v>0</v>
      </c>
      <c r="AB210" s="2014"/>
      <c r="AC210" s="2014"/>
      <c r="AD210" s="2014"/>
      <c r="AE210" s="2014"/>
      <c r="AF210" s="2014"/>
      <c r="AG210" s="2014"/>
      <c r="AH210" s="2014"/>
      <c r="AI210" s="2014"/>
      <c r="AJ210" s="2014"/>
      <c r="AK210" s="2014"/>
      <c r="AL210" s="2014"/>
      <c r="AM210" s="2014"/>
      <c r="AN210" s="2014"/>
      <c r="AO210" s="2014"/>
      <c r="AP210" s="2014"/>
      <c r="AQ210" s="2014"/>
      <c r="AR210" s="2014"/>
      <c r="AS210" s="2014"/>
      <c r="AT210" s="2014"/>
      <c r="AU210" s="2014"/>
      <c r="AV210" s="2014"/>
      <c r="AW210" s="2014"/>
      <c r="AX210" s="2014"/>
      <c r="AY210" s="2014"/>
      <c r="AZ210" s="2014"/>
      <c r="BA210" s="2014"/>
      <c r="BB210" s="2014"/>
      <c r="BC210" s="2014"/>
      <c r="BD210" s="2014"/>
      <c r="BE210" s="2014"/>
      <c r="BF210" s="2014"/>
      <c r="BG210" s="2014"/>
      <c r="BH210" s="2014"/>
      <c r="BI210" s="2014"/>
      <c r="BJ210" s="2014"/>
      <c r="BK210" s="2014"/>
      <c r="BL210" s="2014"/>
      <c r="BM210" s="2014"/>
      <c r="BN210" s="2014"/>
      <c r="BO210" s="2014"/>
    </row>
    <row r="211" spans="1:68" ht="20.100000000000001" customHeight="1">
      <c r="A211" s="1845">
        <v>48</v>
      </c>
      <c r="B211" s="1855"/>
      <c r="C211" s="1847"/>
      <c r="D211" s="1859" t="s">
        <v>943</v>
      </c>
      <c r="E211" s="1848"/>
      <c r="F211" s="1849"/>
      <c r="G211" s="2010" t="s">
        <v>548</v>
      </c>
      <c r="H211" s="2011">
        <f t="shared" ref="H211:K218" ca="1" si="109">H49</f>
        <v>29.3</v>
      </c>
      <c r="I211" s="2011">
        <f t="shared" ca="1" si="109"/>
        <v>29.3</v>
      </c>
      <c r="J211" s="2011">
        <f t="shared" ca="1" si="109"/>
        <v>29.3</v>
      </c>
      <c r="K211" s="2011">
        <f t="shared" ca="1" si="109"/>
        <v>29.3</v>
      </c>
      <c r="L211" s="2012">
        <f t="shared" ca="1" si="96"/>
        <v>0</v>
      </c>
      <c r="M211" s="2012">
        <f t="shared" ca="1" si="97"/>
        <v>0</v>
      </c>
      <c r="N211" s="2012">
        <f t="shared" ca="1" si="98"/>
        <v>0</v>
      </c>
      <c r="O211" s="2012">
        <f t="shared" ca="1" si="99"/>
        <v>0</v>
      </c>
      <c r="P211" s="2013">
        <f ca="1">SUM(SUMIFS(OFFSET(貼付け_2024実績,$A211,10,1,199),OFFSET(貼付け_2024実績,4,9,1,199),{"横浜*","川崎*"}))</f>
        <v>0</v>
      </c>
      <c r="Q211" s="2013">
        <f ca="1">SUM(SUMIFS(OFFSET(貼付け_2025実績,$A211,10,1,199),OFFSET(貼付け_2025実績,4,9,1,199),{"横浜*","川崎*"}))</f>
        <v>0</v>
      </c>
      <c r="R211" s="2013">
        <f ca="1">SUM(SUMIFS(OFFSET(貼付け_2026実績,$A211,10,1,199),OFFSET(貼付け_2026実績,4,9,1,199),{"横浜*","川崎*"}))</f>
        <v>0</v>
      </c>
      <c r="S211" s="2013">
        <f ca="1">SUM(SUMIFS(OFFSET(貼付け_2027実績,$A211,10,1,199),OFFSET(貼付け_2027実績,4,9,1,199),{"横浜*","川崎*"}))</f>
        <v>0</v>
      </c>
      <c r="T211" s="2012">
        <f t="shared" ca="1" si="100"/>
        <v>0</v>
      </c>
      <c r="U211" s="2012">
        <f t="shared" ca="1" si="101"/>
        <v>0</v>
      </c>
      <c r="V211" s="2012">
        <f t="shared" ca="1" si="102"/>
        <v>0</v>
      </c>
      <c r="W211" s="2012">
        <f t="shared" ca="1" si="103"/>
        <v>0</v>
      </c>
      <c r="X211" s="2014">
        <f t="shared" ca="1" si="104"/>
        <v>0</v>
      </c>
      <c r="Y211" s="2014">
        <f t="shared" ca="1" si="105"/>
        <v>0</v>
      </c>
      <c r="Z211" s="2014">
        <f t="shared" ca="1" si="106"/>
        <v>0</v>
      </c>
      <c r="AA211" s="2014">
        <f t="shared" ca="1" si="107"/>
        <v>0</v>
      </c>
      <c r="AB211" s="2014"/>
      <c r="AC211" s="2014"/>
      <c r="AD211" s="2014"/>
      <c r="AE211" s="2014"/>
      <c r="AF211" s="2014"/>
      <c r="AG211" s="2014"/>
      <c r="AH211" s="2014"/>
      <c r="AI211" s="2014"/>
      <c r="AJ211" s="2014"/>
      <c r="AK211" s="2014"/>
      <c r="AL211" s="2014"/>
      <c r="AM211" s="2014"/>
      <c r="AN211" s="2014"/>
      <c r="AO211" s="2014"/>
      <c r="AP211" s="2014"/>
      <c r="AQ211" s="2014"/>
      <c r="AR211" s="2014"/>
      <c r="AS211" s="2014"/>
      <c r="AT211" s="2014"/>
      <c r="AU211" s="2014"/>
      <c r="AV211" s="2014"/>
      <c r="AW211" s="2014"/>
      <c r="AX211" s="2014"/>
      <c r="AY211" s="2014"/>
      <c r="AZ211" s="2014"/>
      <c r="BA211" s="2014"/>
      <c r="BB211" s="2014"/>
      <c r="BC211" s="2014"/>
      <c r="BD211" s="2014"/>
      <c r="BE211" s="2014"/>
      <c r="BF211" s="2014"/>
      <c r="BG211" s="2014"/>
      <c r="BH211" s="2014"/>
      <c r="BI211" s="2014"/>
      <c r="BJ211" s="2014"/>
      <c r="BK211" s="2014"/>
      <c r="BL211" s="2014"/>
      <c r="BM211" s="2014"/>
      <c r="BN211" s="2014"/>
      <c r="BO211" s="2014"/>
    </row>
    <row r="212" spans="1:68" ht="20.100000000000001" customHeight="1">
      <c r="A212" s="1845">
        <v>49</v>
      </c>
      <c r="B212" s="1855"/>
      <c r="C212" s="1847"/>
      <c r="D212" s="1859" t="s">
        <v>944</v>
      </c>
      <c r="E212" s="1848"/>
      <c r="F212" s="1849"/>
      <c r="G212" s="2010" t="s">
        <v>540</v>
      </c>
      <c r="H212" s="2011">
        <f t="shared" ca="1" si="109"/>
        <v>40.200000000000003</v>
      </c>
      <c r="I212" s="2011">
        <f t="shared" ca="1" si="109"/>
        <v>40.200000000000003</v>
      </c>
      <c r="J212" s="2011">
        <f t="shared" ca="1" si="109"/>
        <v>40.200000000000003</v>
      </c>
      <c r="K212" s="2011">
        <f t="shared" ca="1" si="109"/>
        <v>40.200000000000003</v>
      </c>
      <c r="L212" s="2012">
        <f t="shared" ca="1" si="96"/>
        <v>0</v>
      </c>
      <c r="M212" s="2012">
        <f t="shared" ca="1" si="97"/>
        <v>0</v>
      </c>
      <c r="N212" s="2012">
        <f t="shared" ca="1" si="98"/>
        <v>0</v>
      </c>
      <c r="O212" s="2012">
        <f t="shared" ca="1" si="99"/>
        <v>0</v>
      </c>
      <c r="P212" s="2013">
        <f ca="1">SUM(SUMIFS(OFFSET(貼付け_2024実績,$A212,10,1,199),OFFSET(貼付け_2024実績,4,9,1,199),{"横浜*","川崎*"}))</f>
        <v>0</v>
      </c>
      <c r="Q212" s="2013">
        <f ca="1">SUM(SUMIFS(OFFSET(貼付け_2025実績,$A212,10,1,199),OFFSET(貼付け_2025実績,4,9,1,199),{"横浜*","川崎*"}))</f>
        <v>0</v>
      </c>
      <c r="R212" s="2013">
        <f ca="1">SUM(SUMIFS(OFFSET(貼付け_2026実績,$A212,10,1,199),OFFSET(貼付け_2026実績,4,9,1,199),{"横浜*","川崎*"}))</f>
        <v>0</v>
      </c>
      <c r="S212" s="2013">
        <f ca="1">SUM(SUMIFS(OFFSET(貼付け_2027実績,$A212,10,1,199),OFFSET(貼付け_2027実績,4,9,1,199),{"横浜*","川崎*"}))</f>
        <v>0</v>
      </c>
      <c r="T212" s="2012">
        <f t="shared" ca="1" si="100"/>
        <v>0</v>
      </c>
      <c r="U212" s="2012">
        <f t="shared" ca="1" si="101"/>
        <v>0</v>
      </c>
      <c r="V212" s="2012">
        <f t="shared" ca="1" si="102"/>
        <v>0</v>
      </c>
      <c r="W212" s="2012">
        <f t="shared" ca="1" si="103"/>
        <v>0</v>
      </c>
      <c r="X212" s="2014">
        <f t="shared" ca="1" si="104"/>
        <v>0</v>
      </c>
      <c r="Y212" s="2014">
        <f t="shared" ca="1" si="105"/>
        <v>0</v>
      </c>
      <c r="Z212" s="2014">
        <f t="shared" ca="1" si="106"/>
        <v>0</v>
      </c>
      <c r="AA212" s="2014">
        <f t="shared" ca="1" si="107"/>
        <v>0</v>
      </c>
      <c r="AB212" s="2014"/>
      <c r="AC212" s="2014"/>
      <c r="AD212" s="2014"/>
      <c r="AE212" s="2014"/>
      <c r="AF212" s="2014"/>
      <c r="AG212" s="2014"/>
      <c r="AH212" s="2014"/>
      <c r="AI212" s="2014"/>
      <c r="AJ212" s="2014"/>
      <c r="AK212" s="2014"/>
      <c r="AL212" s="2014"/>
      <c r="AM212" s="2014"/>
      <c r="AN212" s="2014"/>
      <c r="AO212" s="2014"/>
      <c r="AP212" s="2014"/>
      <c r="AQ212" s="2014"/>
      <c r="AR212" s="2014"/>
      <c r="AS212" s="2014"/>
      <c r="AT212" s="2014"/>
      <c r="AU212" s="2014"/>
      <c r="AV212" s="2014"/>
      <c r="AW212" s="2014"/>
      <c r="AX212" s="2014"/>
      <c r="AY212" s="2014"/>
      <c r="AZ212" s="2014"/>
      <c r="BA212" s="2014"/>
      <c r="BB212" s="2014"/>
      <c r="BC212" s="2014"/>
      <c r="BD212" s="2014"/>
      <c r="BE212" s="2014"/>
      <c r="BF212" s="2014"/>
      <c r="BG212" s="2014"/>
      <c r="BH212" s="2014"/>
      <c r="BI212" s="2014"/>
      <c r="BJ212" s="2014"/>
      <c r="BK212" s="2014"/>
      <c r="BL212" s="2014"/>
      <c r="BM212" s="2014"/>
      <c r="BN212" s="2014"/>
      <c r="BO212" s="2014"/>
    </row>
    <row r="213" spans="1:68" ht="20.100000000000001" customHeight="1">
      <c r="A213" s="1845">
        <v>50</v>
      </c>
      <c r="B213" s="1854"/>
      <c r="C213" s="1847"/>
      <c r="D213" s="1848" t="s">
        <v>945</v>
      </c>
      <c r="E213" s="1848"/>
      <c r="F213" s="1849"/>
      <c r="G213" s="2010" t="s">
        <v>553</v>
      </c>
      <c r="H213" s="2011">
        <f t="shared" ca="1" si="109"/>
        <v>21.2</v>
      </c>
      <c r="I213" s="2011">
        <f t="shared" ca="1" si="109"/>
        <v>21.2</v>
      </c>
      <c r="J213" s="2011">
        <f t="shared" ca="1" si="109"/>
        <v>21.2</v>
      </c>
      <c r="K213" s="2011">
        <f t="shared" ca="1" si="109"/>
        <v>21.2</v>
      </c>
      <c r="L213" s="2012">
        <f t="shared" ca="1" si="96"/>
        <v>0</v>
      </c>
      <c r="M213" s="2012">
        <f t="shared" ca="1" si="97"/>
        <v>0</v>
      </c>
      <c r="N213" s="2012">
        <f t="shared" ca="1" si="98"/>
        <v>0</v>
      </c>
      <c r="O213" s="2012">
        <f t="shared" ca="1" si="99"/>
        <v>0</v>
      </c>
      <c r="P213" s="2013">
        <f ca="1">SUM(SUMIFS(OFFSET(貼付け_2024実績,$A213,10,1,199),OFFSET(貼付け_2024実績,4,9,1,199),{"横浜*","川崎*"}))</f>
        <v>0</v>
      </c>
      <c r="Q213" s="2013">
        <f ca="1">SUM(SUMIFS(OFFSET(貼付け_2025実績,$A213,10,1,199),OFFSET(貼付け_2025実績,4,9,1,199),{"横浜*","川崎*"}))</f>
        <v>0</v>
      </c>
      <c r="R213" s="2013">
        <f ca="1">SUM(SUMIFS(OFFSET(貼付け_2026実績,$A213,10,1,199),OFFSET(貼付け_2026実績,4,9,1,199),{"横浜*","川崎*"}))</f>
        <v>0</v>
      </c>
      <c r="S213" s="2013">
        <f ca="1">SUM(SUMIFS(OFFSET(貼付け_2027実績,$A213,10,1,199),OFFSET(貼付け_2027実績,4,9,1,199),{"横浜*","川崎*"}))</f>
        <v>0</v>
      </c>
      <c r="T213" s="2012">
        <f t="shared" ca="1" si="100"/>
        <v>0</v>
      </c>
      <c r="U213" s="2012">
        <f t="shared" ca="1" si="101"/>
        <v>0</v>
      </c>
      <c r="V213" s="2012">
        <f t="shared" ca="1" si="102"/>
        <v>0</v>
      </c>
      <c r="W213" s="2012">
        <f t="shared" ca="1" si="103"/>
        <v>0</v>
      </c>
      <c r="X213" s="2014">
        <f t="shared" ca="1" si="104"/>
        <v>0</v>
      </c>
      <c r="Y213" s="2014">
        <f t="shared" ca="1" si="105"/>
        <v>0</v>
      </c>
      <c r="Z213" s="2014">
        <f t="shared" ca="1" si="106"/>
        <v>0</v>
      </c>
      <c r="AA213" s="2014">
        <f t="shared" ca="1" si="107"/>
        <v>0</v>
      </c>
      <c r="AB213" s="2014"/>
      <c r="AC213" s="2014"/>
      <c r="AD213" s="2014"/>
      <c r="AE213" s="2014"/>
      <c r="AF213" s="2014"/>
      <c r="AG213" s="2014"/>
      <c r="AH213" s="2014"/>
      <c r="AI213" s="2014"/>
      <c r="AJ213" s="2014"/>
      <c r="AK213" s="2014"/>
      <c r="AL213" s="2014"/>
      <c r="AM213" s="2014"/>
      <c r="AN213" s="2014"/>
      <c r="AO213" s="2014"/>
      <c r="AP213" s="2014"/>
      <c r="AQ213" s="2014"/>
      <c r="AR213" s="2014"/>
      <c r="AS213" s="2014"/>
      <c r="AT213" s="2014"/>
      <c r="AU213" s="2014"/>
      <c r="AV213" s="2014"/>
      <c r="AW213" s="2014"/>
      <c r="AX213" s="2014"/>
      <c r="AY213" s="2014"/>
      <c r="AZ213" s="2014"/>
      <c r="BA213" s="2014"/>
      <c r="BB213" s="2014"/>
      <c r="BC213" s="2014"/>
      <c r="BD213" s="2014"/>
      <c r="BE213" s="2014"/>
      <c r="BF213" s="2014"/>
      <c r="BG213" s="2014"/>
      <c r="BH213" s="2014"/>
      <c r="BI213" s="2014"/>
      <c r="BJ213" s="2014"/>
      <c r="BK213" s="2014"/>
      <c r="BL213" s="2014"/>
      <c r="BM213" s="2014"/>
      <c r="BN213" s="2014"/>
      <c r="BO213" s="2014"/>
    </row>
    <row r="214" spans="1:68" ht="20.100000000000001" customHeight="1">
      <c r="A214" s="1845">
        <v>51</v>
      </c>
      <c r="B214" s="1854"/>
      <c r="C214" s="1847"/>
      <c r="D214" s="1848" t="s">
        <v>946</v>
      </c>
      <c r="E214" s="1848"/>
      <c r="F214" s="1849"/>
      <c r="G214" s="2010" t="s">
        <v>548</v>
      </c>
      <c r="H214" s="2011">
        <f t="shared" ca="1" si="109"/>
        <v>17.100000000000001</v>
      </c>
      <c r="I214" s="2011">
        <f t="shared" ca="1" si="109"/>
        <v>17.100000000000001</v>
      </c>
      <c r="J214" s="2011">
        <f t="shared" ca="1" si="109"/>
        <v>17.100000000000001</v>
      </c>
      <c r="K214" s="2011">
        <f t="shared" ca="1" si="109"/>
        <v>17.100000000000001</v>
      </c>
      <c r="L214" s="2012">
        <f t="shared" ca="1" si="96"/>
        <v>0</v>
      </c>
      <c r="M214" s="2012">
        <f t="shared" ca="1" si="97"/>
        <v>0</v>
      </c>
      <c r="N214" s="2012">
        <f t="shared" ca="1" si="98"/>
        <v>0</v>
      </c>
      <c r="O214" s="2012">
        <f t="shared" ca="1" si="99"/>
        <v>0</v>
      </c>
      <c r="P214" s="2013">
        <f ca="1">SUM(SUMIFS(OFFSET(貼付け_2024実績,$A214,10,1,199),OFFSET(貼付け_2024実績,4,9,1,199),{"横浜*","川崎*"}))</f>
        <v>0</v>
      </c>
      <c r="Q214" s="2013">
        <f ca="1">SUM(SUMIFS(OFFSET(貼付け_2025実績,$A214,10,1,199),OFFSET(貼付け_2025実績,4,9,1,199),{"横浜*","川崎*"}))</f>
        <v>0</v>
      </c>
      <c r="R214" s="2013">
        <f ca="1">SUM(SUMIFS(OFFSET(貼付け_2026実績,$A214,10,1,199),OFFSET(貼付け_2026実績,4,9,1,199),{"横浜*","川崎*"}))</f>
        <v>0</v>
      </c>
      <c r="S214" s="2013">
        <f ca="1">SUM(SUMIFS(OFFSET(貼付け_2027実績,$A214,10,1,199),OFFSET(貼付け_2027実績,4,9,1,199),{"横浜*","川崎*"}))</f>
        <v>0</v>
      </c>
      <c r="T214" s="2012">
        <f t="shared" ca="1" si="100"/>
        <v>0</v>
      </c>
      <c r="U214" s="2012">
        <f t="shared" ca="1" si="101"/>
        <v>0</v>
      </c>
      <c r="V214" s="2012">
        <f t="shared" ca="1" si="102"/>
        <v>0</v>
      </c>
      <c r="W214" s="2012">
        <f t="shared" ca="1" si="103"/>
        <v>0</v>
      </c>
      <c r="X214" s="2014">
        <f t="shared" ca="1" si="104"/>
        <v>0</v>
      </c>
      <c r="Y214" s="2014">
        <f t="shared" ca="1" si="105"/>
        <v>0</v>
      </c>
      <c r="Z214" s="2014">
        <f t="shared" ca="1" si="106"/>
        <v>0</v>
      </c>
      <c r="AA214" s="2014">
        <f t="shared" ca="1" si="107"/>
        <v>0</v>
      </c>
      <c r="AB214" s="2014"/>
      <c r="AC214" s="2014"/>
      <c r="AD214" s="2014"/>
      <c r="AE214" s="2014"/>
      <c r="AF214" s="2014"/>
      <c r="AG214" s="2014"/>
      <c r="AH214" s="2014"/>
      <c r="AI214" s="2014"/>
      <c r="AJ214" s="2014"/>
      <c r="AK214" s="2014"/>
      <c r="AL214" s="2014"/>
      <c r="AM214" s="2014"/>
      <c r="AN214" s="2014"/>
      <c r="AO214" s="2014"/>
      <c r="AP214" s="2014"/>
      <c r="AQ214" s="2014"/>
      <c r="AR214" s="2014"/>
      <c r="AS214" s="2014"/>
      <c r="AT214" s="2014"/>
      <c r="AU214" s="2014"/>
      <c r="AV214" s="2014"/>
      <c r="AW214" s="2014"/>
      <c r="AX214" s="2014"/>
      <c r="AY214" s="2014"/>
      <c r="AZ214" s="2014"/>
      <c r="BA214" s="2014"/>
      <c r="BB214" s="2014"/>
      <c r="BC214" s="2014"/>
      <c r="BD214" s="2014"/>
      <c r="BE214" s="2014"/>
      <c r="BF214" s="2014"/>
      <c r="BG214" s="2014"/>
      <c r="BH214" s="2014"/>
      <c r="BI214" s="2014"/>
      <c r="BJ214" s="2014"/>
      <c r="BK214" s="2014"/>
      <c r="BL214" s="2014"/>
      <c r="BM214" s="2014"/>
      <c r="BN214" s="2014"/>
      <c r="BO214" s="2014"/>
    </row>
    <row r="215" spans="1:68" ht="20.100000000000001" customHeight="1">
      <c r="A215" s="1845">
        <v>52</v>
      </c>
      <c r="B215" s="1854"/>
      <c r="C215" s="1847"/>
      <c r="D215" s="1848" t="s">
        <v>947</v>
      </c>
      <c r="E215" s="1848"/>
      <c r="F215" s="1849"/>
      <c r="G215" s="2010" t="s">
        <v>548</v>
      </c>
      <c r="H215" s="2011">
        <f t="shared" ca="1" si="109"/>
        <v>142</v>
      </c>
      <c r="I215" s="2011">
        <f t="shared" ca="1" si="109"/>
        <v>142</v>
      </c>
      <c r="J215" s="2011">
        <f t="shared" ca="1" si="109"/>
        <v>142</v>
      </c>
      <c r="K215" s="2011">
        <f t="shared" ca="1" si="109"/>
        <v>142</v>
      </c>
      <c r="L215" s="2012">
        <f t="shared" ca="1" si="96"/>
        <v>0</v>
      </c>
      <c r="M215" s="2012">
        <f t="shared" ca="1" si="97"/>
        <v>0</v>
      </c>
      <c r="N215" s="2012">
        <f t="shared" ca="1" si="98"/>
        <v>0</v>
      </c>
      <c r="O215" s="2012">
        <f t="shared" ca="1" si="99"/>
        <v>0</v>
      </c>
      <c r="P215" s="2013">
        <f ca="1">SUM(SUMIFS(OFFSET(貼付け_2024実績,$A215,10,1,199),OFFSET(貼付け_2024実績,4,9,1,199),{"横浜*","川崎*"}))</f>
        <v>0</v>
      </c>
      <c r="Q215" s="2013">
        <f ca="1">SUM(SUMIFS(OFFSET(貼付け_2025実績,$A215,10,1,199),OFFSET(貼付け_2025実績,4,9,1,199),{"横浜*","川崎*"}))</f>
        <v>0</v>
      </c>
      <c r="R215" s="2013">
        <f ca="1">SUM(SUMIFS(OFFSET(貼付け_2026実績,$A215,10,1,199),OFFSET(貼付け_2026実績,4,9,1,199),{"横浜*","川崎*"}))</f>
        <v>0</v>
      </c>
      <c r="S215" s="2013">
        <f ca="1">SUM(SUMIFS(OFFSET(貼付け_2027実績,$A215,10,1,199),OFFSET(貼付け_2027実績,4,9,1,199),{"横浜*","川崎*"}))</f>
        <v>0</v>
      </c>
      <c r="T215" s="2012">
        <f t="shared" ca="1" si="100"/>
        <v>0</v>
      </c>
      <c r="U215" s="2012">
        <f t="shared" ca="1" si="101"/>
        <v>0</v>
      </c>
      <c r="V215" s="2012">
        <f t="shared" ca="1" si="102"/>
        <v>0</v>
      </c>
      <c r="W215" s="2012">
        <f t="shared" ca="1" si="103"/>
        <v>0</v>
      </c>
      <c r="X215" s="2014">
        <f t="shared" ca="1" si="104"/>
        <v>0</v>
      </c>
      <c r="Y215" s="2014">
        <f t="shared" ca="1" si="105"/>
        <v>0</v>
      </c>
      <c r="Z215" s="2014">
        <f t="shared" ca="1" si="106"/>
        <v>0</v>
      </c>
      <c r="AA215" s="2014">
        <f t="shared" ca="1" si="107"/>
        <v>0</v>
      </c>
      <c r="AB215" s="2014"/>
      <c r="AC215" s="2014"/>
      <c r="AD215" s="2014"/>
      <c r="AE215" s="2014"/>
      <c r="AF215" s="2014"/>
      <c r="AG215" s="2014"/>
      <c r="AH215" s="2014"/>
      <c r="AI215" s="2014"/>
      <c r="AJ215" s="2014"/>
      <c r="AK215" s="2014"/>
      <c r="AL215" s="2014"/>
      <c r="AM215" s="2014"/>
      <c r="AN215" s="2014"/>
      <c r="AO215" s="2014"/>
      <c r="AP215" s="2014"/>
      <c r="AQ215" s="2014"/>
      <c r="AR215" s="2014"/>
      <c r="AS215" s="2014"/>
      <c r="AT215" s="2014"/>
      <c r="AU215" s="2014"/>
      <c r="AV215" s="2014"/>
      <c r="AW215" s="2014"/>
      <c r="AX215" s="2014"/>
      <c r="AY215" s="2014"/>
      <c r="AZ215" s="2014"/>
      <c r="BA215" s="2014"/>
      <c r="BB215" s="2014"/>
      <c r="BC215" s="2014"/>
      <c r="BD215" s="2014"/>
      <c r="BE215" s="2014"/>
      <c r="BF215" s="2014"/>
      <c r="BG215" s="2014"/>
      <c r="BH215" s="2014"/>
      <c r="BI215" s="2014"/>
      <c r="BJ215" s="2014"/>
      <c r="BK215" s="2014"/>
      <c r="BL215" s="2014"/>
      <c r="BM215" s="2014"/>
      <c r="BN215" s="2014"/>
      <c r="BO215" s="2014"/>
    </row>
    <row r="216" spans="1:68" ht="20.100000000000001" customHeight="1">
      <c r="A216" s="1845">
        <v>53</v>
      </c>
      <c r="B216" s="1854"/>
      <c r="C216" s="1847"/>
      <c r="D216" s="1848" t="s">
        <v>569</v>
      </c>
      <c r="E216" s="1848"/>
      <c r="F216" s="1849"/>
      <c r="G216" s="2010" t="s">
        <v>548</v>
      </c>
      <c r="H216" s="2011">
        <f t="shared" ca="1" si="109"/>
        <v>22.5</v>
      </c>
      <c r="I216" s="2011">
        <f t="shared" ca="1" si="109"/>
        <v>22.5</v>
      </c>
      <c r="J216" s="2011">
        <f t="shared" ca="1" si="109"/>
        <v>22.5</v>
      </c>
      <c r="K216" s="2011">
        <f t="shared" ca="1" si="109"/>
        <v>22.5</v>
      </c>
      <c r="L216" s="2012">
        <f t="shared" ca="1" si="96"/>
        <v>0</v>
      </c>
      <c r="M216" s="2012">
        <f t="shared" ca="1" si="97"/>
        <v>0</v>
      </c>
      <c r="N216" s="2012">
        <f t="shared" ca="1" si="98"/>
        <v>0</v>
      </c>
      <c r="O216" s="2012">
        <f t="shared" ca="1" si="99"/>
        <v>0</v>
      </c>
      <c r="P216" s="2013">
        <f ca="1">SUM(SUMIFS(OFFSET(貼付け_2024実績,$A216,10,1,199),OFFSET(貼付け_2024実績,4,9,1,199),{"横浜*","川崎*"}))</f>
        <v>0</v>
      </c>
      <c r="Q216" s="2013">
        <f ca="1">SUM(SUMIFS(OFFSET(貼付け_2025実績,$A216,10,1,199),OFFSET(貼付け_2025実績,4,9,1,199),{"横浜*","川崎*"}))</f>
        <v>0</v>
      </c>
      <c r="R216" s="2013">
        <f ca="1">SUM(SUMIFS(OFFSET(貼付け_2026実績,$A216,10,1,199),OFFSET(貼付け_2026実績,4,9,1,199),{"横浜*","川崎*"}))</f>
        <v>0</v>
      </c>
      <c r="S216" s="2013">
        <f ca="1">SUM(SUMIFS(OFFSET(貼付け_2027実績,$A216,10,1,199),OFFSET(貼付け_2027実績,4,9,1,199),{"横浜*","川崎*"}))</f>
        <v>0</v>
      </c>
      <c r="T216" s="2012">
        <f t="shared" ca="1" si="100"/>
        <v>0</v>
      </c>
      <c r="U216" s="2012">
        <f t="shared" ca="1" si="101"/>
        <v>0</v>
      </c>
      <c r="V216" s="2012">
        <f t="shared" ca="1" si="102"/>
        <v>0</v>
      </c>
      <c r="W216" s="2012">
        <f t="shared" ca="1" si="103"/>
        <v>0</v>
      </c>
      <c r="X216" s="2014">
        <f t="shared" ca="1" si="104"/>
        <v>0</v>
      </c>
      <c r="Y216" s="2014">
        <f t="shared" ca="1" si="105"/>
        <v>0</v>
      </c>
      <c r="Z216" s="2014">
        <f t="shared" ca="1" si="106"/>
        <v>0</v>
      </c>
      <c r="AA216" s="2014">
        <f t="shared" ca="1" si="107"/>
        <v>0</v>
      </c>
      <c r="AB216" s="2014"/>
      <c r="AC216" s="2014"/>
      <c r="AD216" s="2014"/>
      <c r="AE216" s="2014"/>
      <c r="AF216" s="2014"/>
      <c r="AG216" s="2014"/>
      <c r="AH216" s="2014"/>
      <c r="AI216" s="2014"/>
      <c r="AJ216" s="2014"/>
      <c r="AK216" s="2014"/>
      <c r="AL216" s="2014"/>
      <c r="AM216" s="2014"/>
      <c r="AN216" s="2014"/>
      <c r="AO216" s="2014"/>
      <c r="AP216" s="2014"/>
      <c r="AQ216" s="2014"/>
      <c r="AR216" s="2014"/>
      <c r="AS216" s="2014"/>
      <c r="AT216" s="2014"/>
      <c r="AU216" s="2014"/>
      <c r="AV216" s="2014"/>
      <c r="AW216" s="2014"/>
      <c r="AX216" s="2014"/>
      <c r="AY216" s="2014"/>
      <c r="AZ216" s="2014"/>
      <c r="BA216" s="2014"/>
      <c r="BB216" s="2014"/>
      <c r="BC216" s="2014"/>
      <c r="BD216" s="2014"/>
      <c r="BE216" s="2014"/>
      <c r="BF216" s="2014"/>
      <c r="BG216" s="2014"/>
      <c r="BH216" s="2014"/>
      <c r="BI216" s="2014"/>
      <c r="BJ216" s="2014"/>
      <c r="BK216" s="2014"/>
      <c r="BL216" s="2014"/>
      <c r="BM216" s="2014"/>
      <c r="BN216" s="2014"/>
      <c r="BO216" s="2014"/>
    </row>
    <row r="217" spans="1:68" ht="20.100000000000001" customHeight="1">
      <c r="A217" s="1845">
        <v>54</v>
      </c>
      <c r="B217" s="1854"/>
      <c r="C217" s="1847"/>
      <c r="D217" s="1848" t="s">
        <v>948</v>
      </c>
      <c r="E217" s="1858" t="str">
        <f ca="1">E55</f>
        <v/>
      </c>
      <c r="F217" s="1860"/>
      <c r="G217" s="1858" t="str">
        <f ca="1">G55</f>
        <v/>
      </c>
      <c r="H217" s="2011">
        <f t="shared" ca="1" si="109"/>
        <v>0</v>
      </c>
      <c r="I217" s="2011">
        <f t="shared" ca="1" si="109"/>
        <v>0</v>
      </c>
      <c r="J217" s="2011">
        <f t="shared" ca="1" si="109"/>
        <v>0</v>
      </c>
      <c r="K217" s="2011">
        <f t="shared" ca="1" si="109"/>
        <v>0</v>
      </c>
      <c r="L217" s="2012">
        <f t="shared" ca="1" si="96"/>
        <v>0</v>
      </c>
      <c r="M217" s="2012">
        <f t="shared" ca="1" si="97"/>
        <v>0</v>
      </c>
      <c r="N217" s="2012">
        <f t="shared" ca="1" si="98"/>
        <v>0</v>
      </c>
      <c r="O217" s="2012">
        <f t="shared" ca="1" si="99"/>
        <v>0</v>
      </c>
      <c r="P217" s="2013">
        <f ca="1">SUM(SUMIFS(OFFSET(貼付け_2024実績,$A217,10,1,199),OFFSET(貼付け_2024実績,4,9,1,199),{"横浜*","川崎*"}))</f>
        <v>0</v>
      </c>
      <c r="Q217" s="2013">
        <f ca="1">SUM(SUMIFS(OFFSET(貼付け_2025実績,$A217,10,1,199),OFFSET(貼付け_2025実績,4,9,1,199),{"横浜*","川崎*"}))</f>
        <v>0</v>
      </c>
      <c r="R217" s="2013">
        <f ca="1">SUM(SUMIFS(OFFSET(貼付け_2026実績,$A217,10,1,199),OFFSET(貼付け_2026実績,4,9,1,199),{"横浜*","川崎*"}))</f>
        <v>0</v>
      </c>
      <c r="S217" s="2013">
        <f ca="1">SUM(SUMIFS(OFFSET(貼付け_2027実績,$A217,10,1,199),OFFSET(貼付け_2027実績,4,9,1,199),{"横浜*","川崎*"}))</f>
        <v>0</v>
      </c>
      <c r="T217" s="2012">
        <f t="shared" ca="1" si="100"/>
        <v>0</v>
      </c>
      <c r="U217" s="2012">
        <f t="shared" ca="1" si="101"/>
        <v>0</v>
      </c>
      <c r="V217" s="2012">
        <f t="shared" ca="1" si="102"/>
        <v>0</v>
      </c>
      <c r="W217" s="2012">
        <f t="shared" ca="1" si="103"/>
        <v>0</v>
      </c>
      <c r="X217" s="2014">
        <f t="shared" ca="1" si="104"/>
        <v>0</v>
      </c>
      <c r="Y217" s="2014">
        <f t="shared" ca="1" si="105"/>
        <v>0</v>
      </c>
      <c r="Z217" s="2014">
        <f t="shared" ca="1" si="106"/>
        <v>0</v>
      </c>
      <c r="AA217" s="2014">
        <f t="shared" ca="1" si="107"/>
        <v>0</v>
      </c>
      <c r="AB217" s="2014"/>
      <c r="AC217" s="2014"/>
      <c r="AD217" s="2014"/>
      <c r="AE217" s="2014"/>
      <c r="AF217" s="2014"/>
      <c r="AG217" s="2014"/>
      <c r="AH217" s="2014"/>
      <c r="AI217" s="2014"/>
      <c r="AJ217" s="2014"/>
      <c r="AK217" s="2014"/>
      <c r="AL217" s="2014"/>
      <c r="AM217" s="2014"/>
      <c r="AN217" s="2014"/>
      <c r="AO217" s="2014"/>
      <c r="AP217" s="2014"/>
      <c r="AQ217" s="2014"/>
      <c r="AR217" s="2014"/>
      <c r="AS217" s="2014"/>
      <c r="AT217" s="2014"/>
      <c r="AU217" s="2014"/>
      <c r="AV217" s="2014"/>
      <c r="AW217" s="2014"/>
      <c r="AX217" s="2014"/>
      <c r="AY217" s="2014"/>
      <c r="AZ217" s="2014"/>
      <c r="BA217" s="2014"/>
      <c r="BB217" s="2014"/>
      <c r="BC217" s="2014"/>
      <c r="BD217" s="2014"/>
      <c r="BE217" s="2014"/>
      <c r="BF217" s="2014"/>
      <c r="BG217" s="2014"/>
      <c r="BH217" s="2014"/>
      <c r="BI217" s="2014"/>
      <c r="BJ217" s="2014"/>
      <c r="BK217" s="2014"/>
      <c r="BL217" s="2014"/>
      <c r="BM217" s="2014"/>
      <c r="BN217" s="2014"/>
      <c r="BO217" s="2014"/>
    </row>
    <row r="218" spans="1:68" ht="20.100000000000001" customHeight="1">
      <c r="A218" s="1845">
        <v>55</v>
      </c>
      <c r="B218" s="1854"/>
      <c r="C218" s="1847"/>
      <c r="D218" s="1848" t="s">
        <v>949</v>
      </c>
      <c r="E218" s="1858" t="str">
        <f ca="1">E56</f>
        <v/>
      </c>
      <c r="F218" s="1860"/>
      <c r="G218" s="1858" t="str">
        <f ca="1">G56</f>
        <v/>
      </c>
      <c r="H218" s="2011">
        <f t="shared" ca="1" si="109"/>
        <v>0</v>
      </c>
      <c r="I218" s="2011">
        <f t="shared" ca="1" si="109"/>
        <v>0</v>
      </c>
      <c r="J218" s="2011">
        <f t="shared" ca="1" si="109"/>
        <v>0</v>
      </c>
      <c r="K218" s="2011">
        <f t="shared" ca="1" si="109"/>
        <v>0</v>
      </c>
      <c r="L218" s="2012">
        <f t="shared" ca="1" si="96"/>
        <v>0</v>
      </c>
      <c r="M218" s="2012">
        <f t="shared" ca="1" si="97"/>
        <v>0</v>
      </c>
      <c r="N218" s="2012">
        <f t="shared" ca="1" si="98"/>
        <v>0</v>
      </c>
      <c r="O218" s="2012">
        <f t="shared" ca="1" si="99"/>
        <v>0</v>
      </c>
      <c r="P218" s="2013">
        <f ca="1">SUM(SUMIFS(OFFSET(貼付け_2024実績,$A218,10,1,199),OFFSET(貼付け_2024実績,4,9,1,199),{"横浜*","川崎*"}))</f>
        <v>0</v>
      </c>
      <c r="Q218" s="2013">
        <f ca="1">SUM(SUMIFS(OFFSET(貼付け_2025実績,$A218,10,1,199),OFFSET(貼付け_2025実績,4,9,1,199),{"横浜*","川崎*"}))</f>
        <v>0</v>
      </c>
      <c r="R218" s="2013">
        <f ca="1">SUM(SUMIFS(OFFSET(貼付け_2026実績,$A218,10,1,199),OFFSET(貼付け_2026実績,4,9,1,199),{"横浜*","川崎*"}))</f>
        <v>0</v>
      </c>
      <c r="S218" s="2013">
        <f ca="1">SUM(SUMIFS(OFFSET(貼付け_2027実績,$A218,10,1,199),OFFSET(貼付け_2027実績,4,9,1,199),{"横浜*","川崎*"}))</f>
        <v>0</v>
      </c>
      <c r="T218" s="2012">
        <f t="shared" ca="1" si="100"/>
        <v>0</v>
      </c>
      <c r="U218" s="2012">
        <f t="shared" ca="1" si="101"/>
        <v>0</v>
      </c>
      <c r="V218" s="2012">
        <f t="shared" ca="1" si="102"/>
        <v>0</v>
      </c>
      <c r="W218" s="2012">
        <f t="shared" ca="1" si="103"/>
        <v>0</v>
      </c>
      <c r="X218" s="2014">
        <f t="shared" ca="1" si="104"/>
        <v>0</v>
      </c>
      <c r="Y218" s="2014">
        <f t="shared" ca="1" si="105"/>
        <v>0</v>
      </c>
      <c r="Z218" s="2014">
        <f t="shared" ca="1" si="106"/>
        <v>0</v>
      </c>
      <c r="AA218" s="2014">
        <f t="shared" ca="1" si="107"/>
        <v>0</v>
      </c>
      <c r="AB218" s="2014"/>
      <c r="AC218" s="2014"/>
      <c r="AD218" s="2014"/>
      <c r="AE218" s="2014"/>
      <c r="AF218" s="2014"/>
      <c r="AG218" s="2014"/>
      <c r="AH218" s="2014"/>
      <c r="AI218" s="2014"/>
      <c r="AJ218" s="2014"/>
      <c r="AK218" s="2014"/>
      <c r="AL218" s="2014"/>
      <c r="AM218" s="2014"/>
      <c r="AN218" s="2014"/>
      <c r="AO218" s="2014"/>
      <c r="AP218" s="2014"/>
      <c r="AQ218" s="2014"/>
      <c r="AR218" s="2014"/>
      <c r="AS218" s="2014"/>
      <c r="AT218" s="2014"/>
      <c r="AU218" s="2014"/>
      <c r="AV218" s="2014"/>
      <c r="AW218" s="2014"/>
      <c r="AX218" s="2014"/>
      <c r="AY218" s="2014"/>
      <c r="AZ218" s="2014"/>
      <c r="BA218" s="2014"/>
      <c r="BB218" s="2014"/>
      <c r="BC218" s="2014"/>
      <c r="BD218" s="2014"/>
      <c r="BE218" s="2014"/>
      <c r="BF218" s="2014"/>
      <c r="BG218" s="2014"/>
      <c r="BH218" s="2014"/>
      <c r="BI218" s="2014"/>
      <c r="BJ218" s="2014"/>
      <c r="BK218" s="2014"/>
      <c r="BL218" s="2014"/>
      <c r="BM218" s="2014"/>
      <c r="BN218" s="2014"/>
      <c r="BO218" s="2014"/>
      <c r="BP218" s="1862"/>
    </row>
    <row r="219" spans="1:68" ht="20.100000000000001" hidden="1" customHeight="1" outlineLevel="1">
      <c r="A219" s="1845"/>
      <c r="B219" s="1846" t="s">
        <v>950</v>
      </c>
      <c r="C219" s="1847" t="s">
        <v>951</v>
      </c>
      <c r="D219" s="1848" t="s">
        <v>952</v>
      </c>
      <c r="E219" s="1856"/>
      <c r="F219" s="1863"/>
      <c r="G219" s="2010" t="s">
        <v>0</v>
      </c>
      <c r="H219" s="2065"/>
      <c r="I219" s="2065"/>
      <c r="J219" s="2065"/>
      <c r="K219" s="2065"/>
      <c r="L219" s="2131"/>
      <c r="M219" s="2131"/>
      <c r="N219" s="2131"/>
      <c r="O219" s="2131"/>
      <c r="P219" s="2131"/>
      <c r="Q219" s="2131"/>
      <c r="R219" s="2131"/>
      <c r="S219" s="2131"/>
      <c r="T219" s="2131"/>
      <c r="U219" s="2131"/>
      <c r="V219" s="2131"/>
      <c r="W219" s="2131"/>
      <c r="X219" s="2132"/>
      <c r="Y219" s="2132"/>
      <c r="Z219" s="2132"/>
      <c r="AA219" s="2132"/>
      <c r="AB219" s="2132"/>
      <c r="AC219" s="2132"/>
      <c r="AD219" s="2132"/>
      <c r="AE219" s="2132"/>
      <c r="AF219" s="2132"/>
      <c r="AG219" s="2132"/>
      <c r="AH219" s="2132"/>
      <c r="AI219" s="2132"/>
      <c r="AJ219" s="2132"/>
      <c r="AK219" s="2132"/>
      <c r="AL219" s="2132"/>
      <c r="AM219" s="2132"/>
      <c r="AN219" s="2132"/>
      <c r="AO219" s="2132"/>
      <c r="AP219" s="2132"/>
      <c r="AQ219" s="2132"/>
      <c r="AR219" s="2132"/>
      <c r="AS219" s="2132"/>
      <c r="AT219" s="2132"/>
      <c r="AU219" s="2132"/>
      <c r="AV219" s="2132"/>
      <c r="AW219" s="2132"/>
      <c r="AX219" s="2132"/>
      <c r="AY219" s="2132"/>
      <c r="AZ219" s="2132"/>
      <c r="BA219" s="2132"/>
      <c r="BB219" s="2132"/>
      <c r="BC219" s="2132"/>
      <c r="BD219" s="2132"/>
      <c r="BE219" s="2132"/>
      <c r="BF219" s="2132"/>
      <c r="BG219" s="2132"/>
      <c r="BH219" s="2132"/>
      <c r="BI219" s="2132"/>
      <c r="BJ219" s="2132"/>
      <c r="BK219" s="2132"/>
      <c r="BL219" s="2132"/>
      <c r="BM219" s="2132"/>
      <c r="BN219" s="2132"/>
      <c r="BO219" s="2132"/>
      <c r="BP219" s="1862"/>
    </row>
    <row r="220" spans="1:68" ht="20.100000000000001" hidden="1" customHeight="1" outlineLevel="1">
      <c r="A220" s="1845"/>
      <c r="B220" s="1854"/>
      <c r="C220" s="1847"/>
      <c r="D220" s="1848" t="s">
        <v>953</v>
      </c>
      <c r="E220" s="1856"/>
      <c r="F220" s="1863"/>
      <c r="G220" s="2010" t="s">
        <v>0</v>
      </c>
      <c r="H220" s="2065"/>
      <c r="I220" s="2065"/>
      <c r="J220" s="2065"/>
      <c r="K220" s="2065"/>
      <c r="L220" s="2131"/>
      <c r="M220" s="2131"/>
      <c r="N220" s="2131"/>
      <c r="O220" s="2131"/>
      <c r="P220" s="2131"/>
      <c r="Q220" s="2131"/>
      <c r="R220" s="2131"/>
      <c r="S220" s="2131"/>
      <c r="T220" s="2131"/>
      <c r="U220" s="2131"/>
      <c r="V220" s="2131"/>
      <c r="W220" s="2131"/>
      <c r="X220" s="2132"/>
      <c r="Y220" s="2132"/>
      <c r="Z220" s="2132"/>
      <c r="AA220" s="2132"/>
      <c r="AB220" s="2132"/>
      <c r="AC220" s="2132"/>
      <c r="AD220" s="2132"/>
      <c r="AE220" s="2132"/>
      <c r="AF220" s="2132"/>
      <c r="AG220" s="2132"/>
      <c r="AH220" s="2132"/>
      <c r="AI220" s="2132"/>
      <c r="AJ220" s="2132"/>
      <c r="AK220" s="2132"/>
      <c r="AL220" s="2132"/>
      <c r="AM220" s="2132"/>
      <c r="AN220" s="2132"/>
      <c r="AO220" s="2132"/>
      <c r="AP220" s="2132"/>
      <c r="AQ220" s="2132"/>
      <c r="AR220" s="2132"/>
      <c r="AS220" s="2132"/>
      <c r="AT220" s="2132"/>
      <c r="AU220" s="2132"/>
      <c r="AV220" s="2132"/>
      <c r="AW220" s="2132"/>
      <c r="AX220" s="2132"/>
      <c r="AY220" s="2132"/>
      <c r="AZ220" s="2132"/>
      <c r="BA220" s="2132"/>
      <c r="BB220" s="2132"/>
      <c r="BC220" s="2132"/>
      <c r="BD220" s="2132"/>
      <c r="BE220" s="2132"/>
      <c r="BF220" s="2132"/>
      <c r="BG220" s="2132"/>
      <c r="BH220" s="2132"/>
      <c r="BI220" s="2132"/>
      <c r="BJ220" s="2132"/>
      <c r="BK220" s="2132"/>
      <c r="BL220" s="2132"/>
      <c r="BM220" s="2132"/>
      <c r="BN220" s="2132"/>
      <c r="BO220" s="2132"/>
      <c r="BP220" s="1862"/>
    </row>
    <row r="221" spans="1:68" ht="20.100000000000001" hidden="1" customHeight="1" outlineLevel="1">
      <c r="A221" s="1845"/>
      <c r="B221" s="1854"/>
      <c r="C221" s="1847"/>
      <c r="D221" s="1848" t="s">
        <v>954</v>
      </c>
      <c r="E221" s="1856"/>
      <c r="F221" s="1863"/>
      <c r="G221" s="2010" t="s">
        <v>0</v>
      </c>
      <c r="H221" s="2065"/>
      <c r="I221" s="2065"/>
      <c r="J221" s="2065"/>
      <c r="K221" s="2065"/>
      <c r="L221" s="2131"/>
      <c r="M221" s="2131"/>
      <c r="N221" s="2131"/>
      <c r="O221" s="2131"/>
      <c r="P221" s="2131"/>
      <c r="Q221" s="2131"/>
      <c r="R221" s="2131"/>
      <c r="S221" s="2131"/>
      <c r="T221" s="2131"/>
      <c r="U221" s="2131"/>
      <c r="V221" s="2131"/>
      <c r="W221" s="2131"/>
      <c r="X221" s="2132"/>
      <c r="Y221" s="2132"/>
      <c r="Z221" s="2132"/>
      <c r="AA221" s="2132"/>
      <c r="AB221" s="2132"/>
      <c r="AC221" s="2132"/>
      <c r="AD221" s="2132"/>
      <c r="AE221" s="2132"/>
      <c r="AF221" s="2132"/>
      <c r="AG221" s="2132"/>
      <c r="AH221" s="2132"/>
      <c r="AI221" s="2132"/>
      <c r="AJ221" s="2132"/>
      <c r="AK221" s="2132"/>
      <c r="AL221" s="2132"/>
      <c r="AM221" s="2132"/>
      <c r="AN221" s="2132"/>
      <c r="AO221" s="2132"/>
      <c r="AP221" s="2132"/>
      <c r="AQ221" s="2132"/>
      <c r="AR221" s="2132"/>
      <c r="AS221" s="2132"/>
      <c r="AT221" s="2132"/>
      <c r="AU221" s="2132"/>
      <c r="AV221" s="2132"/>
      <c r="AW221" s="2132"/>
      <c r="AX221" s="2132"/>
      <c r="AY221" s="2132"/>
      <c r="AZ221" s="2132"/>
      <c r="BA221" s="2132"/>
      <c r="BB221" s="2132"/>
      <c r="BC221" s="2132"/>
      <c r="BD221" s="2132"/>
      <c r="BE221" s="2132"/>
      <c r="BF221" s="2132"/>
      <c r="BG221" s="2132"/>
      <c r="BH221" s="2132"/>
      <c r="BI221" s="2132"/>
      <c r="BJ221" s="2132"/>
      <c r="BK221" s="2132"/>
      <c r="BL221" s="2132"/>
      <c r="BM221" s="2132"/>
      <c r="BN221" s="2132"/>
      <c r="BO221" s="2132"/>
      <c r="BP221" s="1862"/>
    </row>
    <row r="222" spans="1:68" ht="20.100000000000001" hidden="1" customHeight="1" outlineLevel="1">
      <c r="A222" s="1845"/>
      <c r="B222" s="1854"/>
      <c r="C222" s="1847"/>
      <c r="D222" s="1848" t="s">
        <v>955</v>
      </c>
      <c r="E222" s="1856"/>
      <c r="F222" s="1863"/>
      <c r="G222" s="2010" t="s">
        <v>0</v>
      </c>
      <c r="H222" s="2065"/>
      <c r="I222" s="2065"/>
      <c r="J222" s="2065"/>
      <c r="K222" s="2065"/>
      <c r="L222" s="2131"/>
      <c r="M222" s="2131"/>
      <c r="N222" s="2131"/>
      <c r="O222" s="2131"/>
      <c r="P222" s="2131"/>
      <c r="Q222" s="2131"/>
      <c r="R222" s="2131"/>
      <c r="S222" s="2131"/>
      <c r="T222" s="2131"/>
      <c r="U222" s="2131"/>
      <c r="V222" s="2131"/>
      <c r="W222" s="2131"/>
      <c r="X222" s="2132"/>
      <c r="Y222" s="2132"/>
      <c r="Z222" s="2132"/>
      <c r="AA222" s="2132"/>
      <c r="AB222" s="2132"/>
      <c r="AC222" s="2132"/>
      <c r="AD222" s="2132"/>
      <c r="AE222" s="2132"/>
      <c r="AF222" s="2132"/>
      <c r="AG222" s="2132"/>
      <c r="AH222" s="2132"/>
      <c r="AI222" s="2132"/>
      <c r="AJ222" s="2132"/>
      <c r="AK222" s="2132"/>
      <c r="AL222" s="2132"/>
      <c r="AM222" s="2132"/>
      <c r="AN222" s="2132"/>
      <c r="AO222" s="2132"/>
      <c r="AP222" s="2132"/>
      <c r="AQ222" s="2132"/>
      <c r="AR222" s="2132"/>
      <c r="AS222" s="2132"/>
      <c r="AT222" s="2132"/>
      <c r="AU222" s="2132"/>
      <c r="AV222" s="2132"/>
      <c r="AW222" s="2132"/>
      <c r="AX222" s="2132"/>
      <c r="AY222" s="2132"/>
      <c r="AZ222" s="2132"/>
      <c r="BA222" s="2132"/>
      <c r="BB222" s="2132"/>
      <c r="BC222" s="2132"/>
      <c r="BD222" s="2132"/>
      <c r="BE222" s="2132"/>
      <c r="BF222" s="2132"/>
      <c r="BG222" s="2132"/>
      <c r="BH222" s="2132"/>
      <c r="BI222" s="2132"/>
      <c r="BJ222" s="2132"/>
      <c r="BK222" s="2132"/>
      <c r="BL222" s="2132"/>
      <c r="BM222" s="2132"/>
      <c r="BN222" s="2132"/>
      <c r="BO222" s="2132"/>
      <c r="BP222" s="1862"/>
    </row>
    <row r="223" spans="1:68" ht="20.100000000000001" hidden="1" customHeight="1" outlineLevel="1">
      <c r="A223" s="1845"/>
      <c r="B223" s="1854"/>
      <c r="C223" s="1847"/>
      <c r="D223" s="1864" t="s">
        <v>956</v>
      </c>
      <c r="E223" s="1858" t="str">
        <f ca="1">E61</f>
        <v/>
      </c>
      <c r="F223" s="1860"/>
      <c r="G223" s="2010" t="s">
        <v>0</v>
      </c>
      <c r="H223" s="2065"/>
      <c r="I223" s="2065"/>
      <c r="J223" s="2065"/>
      <c r="K223" s="2065"/>
      <c r="L223" s="2131"/>
      <c r="M223" s="2131"/>
      <c r="N223" s="2131"/>
      <c r="O223" s="2131"/>
      <c r="P223" s="2131"/>
      <c r="Q223" s="2131"/>
      <c r="R223" s="2131"/>
      <c r="S223" s="2131"/>
      <c r="T223" s="2131"/>
      <c r="U223" s="2131"/>
      <c r="V223" s="2131"/>
      <c r="W223" s="2131"/>
      <c r="X223" s="2132"/>
      <c r="Y223" s="2132"/>
      <c r="Z223" s="2132"/>
      <c r="AA223" s="2132"/>
      <c r="AB223" s="2132"/>
      <c r="AC223" s="2132"/>
      <c r="AD223" s="2132"/>
      <c r="AE223" s="2132"/>
      <c r="AF223" s="2132"/>
      <c r="AG223" s="2132"/>
      <c r="AH223" s="2132"/>
      <c r="AI223" s="2132"/>
      <c r="AJ223" s="2132"/>
      <c r="AK223" s="2132"/>
      <c r="AL223" s="2132"/>
      <c r="AM223" s="2132"/>
      <c r="AN223" s="2132"/>
      <c r="AO223" s="2132"/>
      <c r="AP223" s="2132"/>
      <c r="AQ223" s="2132"/>
      <c r="AR223" s="2132"/>
      <c r="AS223" s="2132"/>
      <c r="AT223" s="2132"/>
      <c r="AU223" s="2132"/>
      <c r="AV223" s="2132"/>
      <c r="AW223" s="2132"/>
      <c r="AX223" s="2132"/>
      <c r="AY223" s="2132"/>
      <c r="AZ223" s="2132"/>
      <c r="BA223" s="2132"/>
      <c r="BB223" s="2132"/>
      <c r="BC223" s="2132"/>
      <c r="BD223" s="2132"/>
      <c r="BE223" s="2132"/>
      <c r="BF223" s="2132"/>
      <c r="BG223" s="2132"/>
      <c r="BH223" s="2132"/>
      <c r="BI223" s="2132"/>
      <c r="BJ223" s="2132"/>
      <c r="BK223" s="2132"/>
      <c r="BL223" s="2132"/>
      <c r="BM223" s="2132"/>
      <c r="BN223" s="2132"/>
      <c r="BO223" s="2132"/>
      <c r="BP223" s="1862"/>
    </row>
    <row r="224" spans="1:68" ht="20.100000000000001" hidden="1" customHeight="1" outlineLevel="1">
      <c r="A224" s="1845"/>
      <c r="B224" s="1854"/>
      <c r="C224" s="1847" t="s">
        <v>957</v>
      </c>
      <c r="D224" s="1975" t="s">
        <v>958</v>
      </c>
      <c r="E224" s="1848"/>
      <c r="F224" s="1863"/>
      <c r="G224" s="2010" t="s">
        <v>0</v>
      </c>
      <c r="H224" s="2065"/>
      <c r="I224" s="2065"/>
      <c r="J224" s="2065"/>
      <c r="K224" s="2065"/>
      <c r="L224" s="2131"/>
      <c r="M224" s="2131"/>
      <c r="N224" s="2131"/>
      <c r="O224" s="2131"/>
      <c r="P224" s="2131"/>
      <c r="Q224" s="2131"/>
      <c r="R224" s="2131"/>
      <c r="S224" s="2131"/>
      <c r="T224" s="2131"/>
      <c r="U224" s="2131"/>
      <c r="V224" s="2131"/>
      <c r="W224" s="2131"/>
      <c r="X224" s="2132"/>
      <c r="Y224" s="2132"/>
      <c r="Z224" s="2132"/>
      <c r="AA224" s="2132"/>
      <c r="AB224" s="2132"/>
      <c r="AC224" s="2132"/>
      <c r="AD224" s="2132"/>
      <c r="AE224" s="2132"/>
      <c r="AF224" s="2132"/>
      <c r="AG224" s="2132"/>
      <c r="AH224" s="2132"/>
      <c r="AI224" s="2132"/>
      <c r="AJ224" s="2132"/>
      <c r="AK224" s="2132"/>
      <c r="AL224" s="2132"/>
      <c r="AM224" s="2132"/>
      <c r="AN224" s="2132"/>
      <c r="AO224" s="2132"/>
      <c r="AP224" s="2132"/>
      <c r="AQ224" s="2132"/>
      <c r="AR224" s="2132"/>
      <c r="AS224" s="2132"/>
      <c r="AT224" s="2132"/>
      <c r="AU224" s="2132"/>
      <c r="AV224" s="2132"/>
      <c r="AW224" s="2132"/>
      <c r="AX224" s="2132"/>
      <c r="AY224" s="2132"/>
      <c r="AZ224" s="2132"/>
      <c r="BA224" s="2132"/>
      <c r="BB224" s="2132"/>
      <c r="BC224" s="2132"/>
      <c r="BD224" s="2132"/>
      <c r="BE224" s="2132"/>
      <c r="BF224" s="2132"/>
      <c r="BG224" s="2132"/>
      <c r="BH224" s="2132"/>
      <c r="BI224" s="2132"/>
      <c r="BJ224" s="2132"/>
      <c r="BK224" s="2132"/>
      <c r="BL224" s="2132"/>
      <c r="BM224" s="2132"/>
      <c r="BN224" s="2132"/>
      <c r="BO224" s="2132"/>
      <c r="BP224" s="1862"/>
    </row>
    <row r="225" spans="1:68" ht="20.100000000000001" hidden="1" customHeight="1" outlineLevel="1">
      <c r="A225" s="1845"/>
      <c r="B225" s="1854"/>
      <c r="C225" s="1847"/>
      <c r="D225" s="1975" t="s">
        <v>959</v>
      </c>
      <c r="E225" s="1848"/>
      <c r="F225" s="1863"/>
      <c r="G225" s="2010" t="s">
        <v>0</v>
      </c>
      <c r="H225" s="2065"/>
      <c r="I225" s="2065"/>
      <c r="J225" s="2065"/>
      <c r="K225" s="2065"/>
      <c r="L225" s="2131"/>
      <c r="M225" s="2131"/>
      <c r="N225" s="2131"/>
      <c r="O225" s="2131"/>
      <c r="P225" s="2131"/>
      <c r="Q225" s="2131"/>
      <c r="R225" s="2131"/>
      <c r="S225" s="2131"/>
      <c r="T225" s="2131"/>
      <c r="U225" s="2131"/>
      <c r="V225" s="2131"/>
      <c r="W225" s="2131"/>
      <c r="X225" s="2132"/>
      <c r="Y225" s="2132"/>
      <c r="Z225" s="2132"/>
      <c r="AA225" s="2132"/>
      <c r="AB225" s="2132"/>
      <c r="AC225" s="2132"/>
      <c r="AD225" s="2132"/>
      <c r="AE225" s="2132"/>
      <c r="AF225" s="2132"/>
      <c r="AG225" s="2132"/>
      <c r="AH225" s="2132"/>
      <c r="AI225" s="2132"/>
      <c r="AJ225" s="2132"/>
      <c r="AK225" s="2132"/>
      <c r="AL225" s="2132"/>
      <c r="AM225" s="2132"/>
      <c r="AN225" s="2132"/>
      <c r="AO225" s="2132"/>
      <c r="AP225" s="2132"/>
      <c r="AQ225" s="2132"/>
      <c r="AR225" s="2132"/>
      <c r="AS225" s="2132"/>
      <c r="AT225" s="2132"/>
      <c r="AU225" s="2132"/>
      <c r="AV225" s="2132"/>
      <c r="AW225" s="2132"/>
      <c r="AX225" s="2132"/>
      <c r="AY225" s="2132"/>
      <c r="AZ225" s="2132"/>
      <c r="BA225" s="2132"/>
      <c r="BB225" s="2132"/>
      <c r="BC225" s="2132"/>
      <c r="BD225" s="2132"/>
      <c r="BE225" s="2132"/>
      <c r="BF225" s="2132"/>
      <c r="BG225" s="2132"/>
      <c r="BH225" s="2132"/>
      <c r="BI225" s="2132"/>
      <c r="BJ225" s="2132"/>
      <c r="BK225" s="2132"/>
      <c r="BL225" s="2132"/>
      <c r="BM225" s="2132"/>
      <c r="BN225" s="2132"/>
      <c r="BO225" s="2132"/>
      <c r="BP225" s="1862"/>
    </row>
    <row r="226" spans="1:68" ht="20.100000000000001" hidden="1" customHeight="1" outlineLevel="1">
      <c r="A226" s="1845"/>
      <c r="B226" s="1854"/>
      <c r="C226" s="1847"/>
      <c r="D226" s="1975" t="s">
        <v>960</v>
      </c>
      <c r="E226" s="1848"/>
      <c r="F226" s="1863"/>
      <c r="G226" s="2010" t="s">
        <v>0</v>
      </c>
      <c r="H226" s="2065"/>
      <c r="I226" s="2065"/>
      <c r="J226" s="2065"/>
      <c r="K226" s="2065"/>
      <c r="L226" s="2131"/>
      <c r="M226" s="2131"/>
      <c r="N226" s="2131"/>
      <c r="O226" s="2131"/>
      <c r="P226" s="2131"/>
      <c r="Q226" s="2131"/>
      <c r="R226" s="2131"/>
      <c r="S226" s="2131"/>
      <c r="T226" s="2131"/>
      <c r="U226" s="2131"/>
      <c r="V226" s="2131"/>
      <c r="W226" s="2131"/>
      <c r="X226" s="2132"/>
      <c r="Y226" s="2132"/>
      <c r="Z226" s="2132"/>
      <c r="AA226" s="2132"/>
      <c r="AB226" s="2132"/>
      <c r="AC226" s="2132"/>
      <c r="AD226" s="2132"/>
      <c r="AE226" s="2132"/>
      <c r="AF226" s="2132"/>
      <c r="AG226" s="2132"/>
      <c r="AH226" s="2132"/>
      <c r="AI226" s="2132"/>
      <c r="AJ226" s="2132"/>
      <c r="AK226" s="2132"/>
      <c r="AL226" s="2132"/>
      <c r="AM226" s="2132"/>
      <c r="AN226" s="2132"/>
      <c r="AO226" s="2132"/>
      <c r="AP226" s="2132"/>
      <c r="AQ226" s="2132"/>
      <c r="AR226" s="2132"/>
      <c r="AS226" s="2132"/>
      <c r="AT226" s="2132"/>
      <c r="AU226" s="2132"/>
      <c r="AV226" s="2132"/>
      <c r="AW226" s="2132"/>
      <c r="AX226" s="2132"/>
      <c r="AY226" s="2132"/>
      <c r="AZ226" s="2132"/>
      <c r="BA226" s="2132"/>
      <c r="BB226" s="2132"/>
      <c r="BC226" s="2132"/>
      <c r="BD226" s="2132"/>
      <c r="BE226" s="2132"/>
      <c r="BF226" s="2132"/>
      <c r="BG226" s="2132"/>
      <c r="BH226" s="2132"/>
      <c r="BI226" s="2132"/>
      <c r="BJ226" s="2132"/>
      <c r="BK226" s="2132"/>
      <c r="BL226" s="2132"/>
      <c r="BM226" s="2132"/>
      <c r="BN226" s="2132"/>
      <c r="BO226" s="2132"/>
      <c r="BP226" s="1862"/>
    </row>
    <row r="227" spans="1:68" ht="20.100000000000001" hidden="1" customHeight="1" outlineLevel="1">
      <c r="A227" s="1845"/>
      <c r="B227" s="1854"/>
      <c r="C227" s="1847"/>
      <c r="D227" s="1975" t="s">
        <v>961</v>
      </c>
      <c r="E227" s="1848"/>
      <c r="F227" s="1863"/>
      <c r="G227" s="2010" t="s">
        <v>0</v>
      </c>
      <c r="H227" s="2065"/>
      <c r="I227" s="2065"/>
      <c r="J227" s="2065"/>
      <c r="K227" s="2065"/>
      <c r="L227" s="2131"/>
      <c r="M227" s="2131"/>
      <c r="N227" s="2131"/>
      <c r="O227" s="2131"/>
      <c r="P227" s="2131"/>
      <c r="Q227" s="2131"/>
      <c r="R227" s="2131"/>
      <c r="S227" s="2131"/>
      <c r="T227" s="2131"/>
      <c r="U227" s="2131"/>
      <c r="V227" s="2131"/>
      <c r="W227" s="2131"/>
      <c r="X227" s="2132"/>
      <c r="Y227" s="2132"/>
      <c r="Z227" s="2132"/>
      <c r="AA227" s="2132"/>
      <c r="AB227" s="2132"/>
      <c r="AC227" s="2132"/>
      <c r="AD227" s="2132"/>
      <c r="AE227" s="2132"/>
      <c r="AF227" s="2132"/>
      <c r="AG227" s="2132"/>
      <c r="AH227" s="2132"/>
      <c r="AI227" s="2132"/>
      <c r="AJ227" s="2132"/>
      <c r="AK227" s="2132"/>
      <c r="AL227" s="2132"/>
      <c r="AM227" s="2132"/>
      <c r="AN227" s="2132"/>
      <c r="AO227" s="2132"/>
      <c r="AP227" s="2132"/>
      <c r="AQ227" s="2132"/>
      <c r="AR227" s="2132"/>
      <c r="AS227" s="2132"/>
      <c r="AT227" s="2132"/>
      <c r="AU227" s="2132"/>
      <c r="AV227" s="2132"/>
      <c r="AW227" s="2132"/>
      <c r="AX227" s="2132"/>
      <c r="AY227" s="2132"/>
      <c r="AZ227" s="2132"/>
      <c r="BA227" s="2132"/>
      <c r="BB227" s="2132"/>
      <c r="BC227" s="2132"/>
      <c r="BD227" s="2132"/>
      <c r="BE227" s="2132"/>
      <c r="BF227" s="2132"/>
      <c r="BG227" s="2132"/>
      <c r="BH227" s="2132"/>
      <c r="BI227" s="2132"/>
      <c r="BJ227" s="2132"/>
      <c r="BK227" s="2132"/>
      <c r="BL227" s="2132"/>
      <c r="BM227" s="2132"/>
      <c r="BN227" s="2132"/>
      <c r="BO227" s="2132"/>
      <c r="BP227" s="1862"/>
    </row>
    <row r="228" spans="1:68" ht="20.100000000000001" hidden="1" customHeight="1" outlineLevel="1">
      <c r="A228" s="1845"/>
      <c r="B228" s="1854"/>
      <c r="C228" s="1847"/>
      <c r="D228" s="1869" t="s">
        <v>962</v>
      </c>
      <c r="E228" s="1858" t="str">
        <f ca="1">E66</f>
        <v/>
      </c>
      <c r="F228" s="1860"/>
      <c r="G228" s="2010" t="s">
        <v>0</v>
      </c>
      <c r="H228" s="2065"/>
      <c r="I228" s="2065"/>
      <c r="J228" s="2065"/>
      <c r="K228" s="2065"/>
      <c r="L228" s="2131"/>
      <c r="M228" s="2131"/>
      <c r="N228" s="2131"/>
      <c r="O228" s="2131"/>
      <c r="P228" s="2131"/>
      <c r="Q228" s="2131"/>
      <c r="R228" s="2131"/>
      <c r="S228" s="2131"/>
      <c r="T228" s="2131"/>
      <c r="U228" s="2131"/>
      <c r="V228" s="2131"/>
      <c r="W228" s="2131"/>
      <c r="X228" s="2132"/>
      <c r="Y228" s="2132"/>
      <c r="Z228" s="2132"/>
      <c r="AA228" s="2132"/>
      <c r="AB228" s="2132"/>
      <c r="AC228" s="2132"/>
      <c r="AD228" s="2132"/>
      <c r="AE228" s="2132"/>
      <c r="AF228" s="2132"/>
      <c r="AG228" s="2132"/>
      <c r="AH228" s="2132"/>
      <c r="AI228" s="2132"/>
      <c r="AJ228" s="2132"/>
      <c r="AK228" s="2132"/>
      <c r="AL228" s="2132"/>
      <c r="AM228" s="2132"/>
      <c r="AN228" s="2132"/>
      <c r="AO228" s="2132"/>
      <c r="AP228" s="2132"/>
      <c r="AQ228" s="2132"/>
      <c r="AR228" s="2132"/>
      <c r="AS228" s="2132"/>
      <c r="AT228" s="2132"/>
      <c r="AU228" s="2132"/>
      <c r="AV228" s="2132"/>
      <c r="AW228" s="2132"/>
      <c r="AX228" s="2132"/>
      <c r="AY228" s="2132"/>
      <c r="AZ228" s="2132"/>
      <c r="BA228" s="2132"/>
      <c r="BB228" s="2132"/>
      <c r="BC228" s="2132"/>
      <c r="BD228" s="2132"/>
      <c r="BE228" s="2132"/>
      <c r="BF228" s="2132"/>
      <c r="BG228" s="2132"/>
      <c r="BH228" s="2132"/>
      <c r="BI228" s="2132"/>
      <c r="BJ228" s="2132"/>
      <c r="BK228" s="2132"/>
      <c r="BL228" s="2132"/>
      <c r="BM228" s="2132"/>
      <c r="BN228" s="2132"/>
      <c r="BO228" s="2132"/>
      <c r="BP228" s="1862"/>
    </row>
    <row r="229" spans="1:68" ht="20.100000000000001" hidden="1" customHeight="1" outlineLevel="1">
      <c r="A229" s="1845"/>
      <c r="B229" s="1854"/>
      <c r="C229" s="1847"/>
      <c r="D229" s="1869" t="s">
        <v>963</v>
      </c>
      <c r="E229" s="1858" t="str">
        <f ca="1">E67</f>
        <v/>
      </c>
      <c r="F229" s="1860"/>
      <c r="G229" s="2010" t="s">
        <v>0</v>
      </c>
      <c r="H229" s="2065"/>
      <c r="I229" s="2065"/>
      <c r="J229" s="2065"/>
      <c r="K229" s="2065"/>
      <c r="L229" s="2131"/>
      <c r="M229" s="2131"/>
      <c r="N229" s="2131"/>
      <c r="O229" s="2131"/>
      <c r="P229" s="2131"/>
      <c r="Q229" s="2131"/>
      <c r="R229" s="2131"/>
      <c r="S229" s="2131"/>
      <c r="T229" s="2131"/>
      <c r="U229" s="2131"/>
      <c r="V229" s="2131"/>
      <c r="W229" s="2131"/>
      <c r="X229" s="2132"/>
      <c r="Y229" s="2132"/>
      <c r="Z229" s="2132"/>
      <c r="AA229" s="2132"/>
      <c r="AB229" s="2132"/>
      <c r="AC229" s="2132"/>
      <c r="AD229" s="2132"/>
      <c r="AE229" s="2132"/>
      <c r="AF229" s="2132"/>
      <c r="AG229" s="2132"/>
      <c r="AH229" s="2132"/>
      <c r="AI229" s="2132"/>
      <c r="AJ229" s="2132"/>
      <c r="AK229" s="2132"/>
      <c r="AL229" s="2132"/>
      <c r="AM229" s="2132"/>
      <c r="AN229" s="2132"/>
      <c r="AO229" s="2132"/>
      <c r="AP229" s="2132"/>
      <c r="AQ229" s="2132"/>
      <c r="AR229" s="2132"/>
      <c r="AS229" s="2132"/>
      <c r="AT229" s="2132"/>
      <c r="AU229" s="2132"/>
      <c r="AV229" s="2132"/>
      <c r="AW229" s="2132"/>
      <c r="AX229" s="2132"/>
      <c r="AY229" s="2132"/>
      <c r="AZ229" s="2132"/>
      <c r="BA229" s="2132"/>
      <c r="BB229" s="2132"/>
      <c r="BC229" s="2132"/>
      <c r="BD229" s="2132"/>
      <c r="BE229" s="2132"/>
      <c r="BF229" s="2132"/>
      <c r="BG229" s="2132"/>
      <c r="BH229" s="2132"/>
      <c r="BI229" s="2132"/>
      <c r="BJ229" s="2132"/>
      <c r="BK229" s="2132"/>
      <c r="BL229" s="2132"/>
      <c r="BM229" s="2132"/>
      <c r="BN229" s="2132"/>
      <c r="BO229" s="2132"/>
      <c r="BP229" s="1862"/>
    </row>
    <row r="230" spans="1:68" ht="20.100000000000001" hidden="1" customHeight="1" outlineLevel="1">
      <c r="A230" s="1845"/>
      <c r="B230" s="1846" t="s">
        <v>964</v>
      </c>
      <c r="C230" s="1870" t="s">
        <v>965</v>
      </c>
      <c r="D230" s="1871"/>
      <c r="E230" s="1856"/>
      <c r="F230" s="1863"/>
      <c r="G230" s="2010" t="s">
        <v>966</v>
      </c>
      <c r="H230" s="2065"/>
      <c r="I230" s="2065"/>
      <c r="J230" s="2065"/>
      <c r="K230" s="2065"/>
      <c r="L230" s="2131"/>
      <c r="M230" s="2131"/>
      <c r="N230" s="2131"/>
      <c r="O230" s="2131"/>
      <c r="P230" s="2131"/>
      <c r="Q230" s="2131"/>
      <c r="R230" s="2131"/>
      <c r="S230" s="2131"/>
      <c r="T230" s="2131"/>
      <c r="U230" s="2131"/>
      <c r="V230" s="2131"/>
      <c r="W230" s="2131"/>
      <c r="X230" s="2132"/>
      <c r="Y230" s="2132"/>
      <c r="Z230" s="2132"/>
      <c r="AA230" s="2132"/>
      <c r="AB230" s="2132"/>
      <c r="AC230" s="2132"/>
      <c r="AD230" s="2132"/>
      <c r="AE230" s="2132"/>
      <c r="AF230" s="2132"/>
      <c r="AG230" s="2132"/>
      <c r="AH230" s="2132"/>
      <c r="AI230" s="2132"/>
      <c r="AJ230" s="2132"/>
      <c r="AK230" s="2132"/>
      <c r="AL230" s="2132"/>
      <c r="AM230" s="2132"/>
      <c r="AN230" s="2132"/>
      <c r="AO230" s="2132"/>
      <c r="AP230" s="2132"/>
      <c r="AQ230" s="2132"/>
      <c r="AR230" s="2132"/>
      <c r="AS230" s="2132"/>
      <c r="AT230" s="2132"/>
      <c r="AU230" s="2132"/>
      <c r="AV230" s="2132"/>
      <c r="AW230" s="2132"/>
      <c r="AX230" s="2132"/>
      <c r="AY230" s="2132"/>
      <c r="AZ230" s="2132"/>
      <c r="BA230" s="2132"/>
      <c r="BB230" s="2132"/>
      <c r="BC230" s="2132"/>
      <c r="BD230" s="2132"/>
      <c r="BE230" s="2132"/>
      <c r="BF230" s="2132"/>
      <c r="BG230" s="2132"/>
      <c r="BH230" s="2132"/>
      <c r="BI230" s="2132"/>
      <c r="BJ230" s="2132"/>
      <c r="BK230" s="2132"/>
      <c r="BL230" s="2132"/>
      <c r="BM230" s="2132"/>
      <c r="BN230" s="2132"/>
      <c r="BO230" s="2132"/>
      <c r="BP230" s="1862"/>
    </row>
    <row r="231" spans="1:68" ht="20.100000000000001" hidden="1" customHeight="1" outlineLevel="1">
      <c r="A231" s="1845"/>
      <c r="B231" s="1854"/>
      <c r="C231" s="1847" t="s">
        <v>967</v>
      </c>
      <c r="D231" s="1864" t="s">
        <v>968</v>
      </c>
      <c r="E231" s="1848"/>
      <c r="F231" s="1863"/>
      <c r="G231" s="2010" t="s">
        <v>966</v>
      </c>
      <c r="H231" s="2065"/>
      <c r="I231" s="2065"/>
      <c r="J231" s="2065"/>
      <c r="K231" s="2065"/>
      <c r="L231" s="2131"/>
      <c r="M231" s="2131"/>
      <c r="N231" s="2131"/>
      <c r="O231" s="2131"/>
      <c r="P231" s="2131"/>
      <c r="Q231" s="2131"/>
      <c r="R231" s="2131"/>
      <c r="S231" s="2131"/>
      <c r="T231" s="2131"/>
      <c r="U231" s="2131"/>
      <c r="V231" s="2131"/>
      <c r="W231" s="2131"/>
      <c r="X231" s="2132"/>
      <c r="Y231" s="2132"/>
      <c r="Z231" s="2132"/>
      <c r="AA231" s="2132"/>
      <c r="AB231" s="2132"/>
      <c r="AC231" s="2132"/>
      <c r="AD231" s="2132"/>
      <c r="AE231" s="2132"/>
      <c r="AF231" s="2132"/>
      <c r="AG231" s="2132"/>
      <c r="AH231" s="2132"/>
      <c r="AI231" s="2132"/>
      <c r="AJ231" s="2132"/>
      <c r="AK231" s="2132"/>
      <c r="AL231" s="2132"/>
      <c r="AM231" s="2132"/>
      <c r="AN231" s="2132"/>
      <c r="AO231" s="2132"/>
      <c r="AP231" s="2132"/>
      <c r="AQ231" s="2132"/>
      <c r="AR231" s="2132"/>
      <c r="AS231" s="2132"/>
      <c r="AT231" s="2132"/>
      <c r="AU231" s="2132"/>
      <c r="AV231" s="2132"/>
      <c r="AW231" s="2132"/>
      <c r="AX231" s="2132"/>
      <c r="AY231" s="2132"/>
      <c r="AZ231" s="2132"/>
      <c r="BA231" s="2132"/>
      <c r="BB231" s="2132"/>
      <c r="BC231" s="2132"/>
      <c r="BD231" s="2132"/>
      <c r="BE231" s="2132"/>
      <c r="BF231" s="2132"/>
      <c r="BG231" s="2132"/>
      <c r="BH231" s="2132"/>
      <c r="BI231" s="2132"/>
      <c r="BJ231" s="2132"/>
      <c r="BK231" s="2132"/>
      <c r="BL231" s="2132"/>
      <c r="BM231" s="2132"/>
      <c r="BN231" s="2132"/>
      <c r="BO231" s="2132"/>
      <c r="BP231" s="1862"/>
    </row>
    <row r="232" spans="1:68" ht="20.100000000000001" hidden="1" customHeight="1" outlineLevel="1">
      <c r="A232" s="1845"/>
      <c r="B232" s="1854"/>
      <c r="C232" s="1847"/>
      <c r="D232" s="1869" t="s">
        <v>969</v>
      </c>
      <c r="E232" s="1848"/>
      <c r="F232" s="1863"/>
      <c r="G232" s="2010" t="s">
        <v>966</v>
      </c>
      <c r="H232" s="2065"/>
      <c r="I232" s="2065"/>
      <c r="J232" s="2065"/>
      <c r="K232" s="2065"/>
      <c r="L232" s="2131"/>
      <c r="M232" s="2131"/>
      <c r="N232" s="2131"/>
      <c r="O232" s="2131"/>
      <c r="P232" s="2131"/>
      <c r="Q232" s="2131"/>
      <c r="R232" s="2131"/>
      <c r="S232" s="2131"/>
      <c r="T232" s="2131"/>
      <c r="U232" s="2131"/>
      <c r="V232" s="2131"/>
      <c r="W232" s="2131"/>
      <c r="X232" s="2132"/>
      <c r="Y232" s="2132"/>
      <c r="Z232" s="2132"/>
      <c r="AA232" s="2132"/>
      <c r="AB232" s="2132"/>
      <c r="AC232" s="2132"/>
      <c r="AD232" s="2132"/>
      <c r="AE232" s="2132"/>
      <c r="AF232" s="2132"/>
      <c r="AG232" s="2132"/>
      <c r="AH232" s="2132"/>
      <c r="AI232" s="2132"/>
      <c r="AJ232" s="2132"/>
      <c r="AK232" s="2132"/>
      <c r="AL232" s="2132"/>
      <c r="AM232" s="2132"/>
      <c r="AN232" s="2132"/>
      <c r="AO232" s="2132"/>
      <c r="AP232" s="2132"/>
      <c r="AQ232" s="2132"/>
      <c r="AR232" s="2132"/>
      <c r="AS232" s="2132"/>
      <c r="AT232" s="2132"/>
      <c r="AU232" s="2132"/>
      <c r="AV232" s="2132"/>
      <c r="AW232" s="2132"/>
      <c r="AX232" s="2132"/>
      <c r="AY232" s="2132"/>
      <c r="AZ232" s="2132"/>
      <c r="BA232" s="2132"/>
      <c r="BB232" s="2132"/>
      <c r="BC232" s="2132"/>
      <c r="BD232" s="2132"/>
      <c r="BE232" s="2132"/>
      <c r="BF232" s="2132"/>
      <c r="BG232" s="2132"/>
      <c r="BH232" s="2132"/>
      <c r="BI232" s="2132"/>
      <c r="BJ232" s="2132"/>
      <c r="BK232" s="2132"/>
      <c r="BL232" s="2132"/>
      <c r="BM232" s="2132"/>
      <c r="BN232" s="2132"/>
      <c r="BO232" s="2132"/>
      <c r="BP232" s="1862"/>
    </row>
    <row r="233" spans="1:68" ht="20.100000000000001" hidden="1" customHeight="1" outlineLevel="1">
      <c r="A233" s="1845"/>
      <c r="B233" s="1854"/>
      <c r="C233" s="1847"/>
      <c r="D233" s="1869" t="s">
        <v>970</v>
      </c>
      <c r="E233" s="1858" t="str">
        <f ca="1">E71</f>
        <v/>
      </c>
      <c r="F233" s="1860"/>
      <c r="G233" s="2010" t="s">
        <v>966</v>
      </c>
      <c r="H233" s="2065"/>
      <c r="I233" s="2065"/>
      <c r="J233" s="2065"/>
      <c r="K233" s="2065"/>
      <c r="L233" s="2131"/>
      <c r="M233" s="2131"/>
      <c r="N233" s="2131"/>
      <c r="O233" s="2131"/>
      <c r="P233" s="2131"/>
      <c r="Q233" s="2131"/>
      <c r="R233" s="2131"/>
      <c r="S233" s="2131"/>
      <c r="T233" s="2131"/>
      <c r="U233" s="2131"/>
      <c r="V233" s="2131"/>
      <c r="W233" s="2131"/>
      <c r="X233" s="2132"/>
      <c r="Y233" s="2132"/>
      <c r="Z233" s="2132"/>
      <c r="AA233" s="2132"/>
      <c r="AB233" s="2132"/>
      <c r="AC233" s="2132"/>
      <c r="AD233" s="2132"/>
      <c r="AE233" s="2132"/>
      <c r="AF233" s="2132"/>
      <c r="AG233" s="2132"/>
      <c r="AH233" s="2132"/>
      <c r="AI233" s="2132"/>
      <c r="AJ233" s="2132"/>
      <c r="AK233" s="2132"/>
      <c r="AL233" s="2132"/>
      <c r="AM233" s="2132"/>
      <c r="AN233" s="2132"/>
      <c r="AO233" s="2132"/>
      <c r="AP233" s="2132"/>
      <c r="AQ233" s="2132"/>
      <c r="AR233" s="2132"/>
      <c r="AS233" s="2132"/>
      <c r="AT233" s="2132"/>
      <c r="AU233" s="2132"/>
      <c r="AV233" s="2132"/>
      <c r="AW233" s="2132"/>
      <c r="AX233" s="2132"/>
      <c r="AY233" s="2132"/>
      <c r="AZ233" s="2132"/>
      <c r="BA233" s="2132"/>
      <c r="BB233" s="2132"/>
      <c r="BC233" s="2132"/>
      <c r="BD233" s="2132"/>
      <c r="BE233" s="2132"/>
      <c r="BF233" s="2132"/>
      <c r="BG233" s="2132"/>
      <c r="BH233" s="2132"/>
      <c r="BI233" s="2132"/>
      <c r="BJ233" s="2132"/>
      <c r="BK233" s="2132"/>
      <c r="BL233" s="2132"/>
      <c r="BM233" s="2132"/>
      <c r="BN233" s="2132"/>
      <c r="BO233" s="2132"/>
      <c r="BP233" s="1862"/>
    </row>
    <row r="234" spans="1:68" ht="20.100000000000001" hidden="1" customHeight="1" outlineLevel="1">
      <c r="A234" s="1845"/>
      <c r="B234" s="1854"/>
      <c r="C234" s="1847"/>
      <c r="D234" s="1872" t="s">
        <v>972</v>
      </c>
      <c r="E234" s="1858" t="str">
        <f ca="1">E73</f>
        <v/>
      </c>
      <c r="F234" s="1860"/>
      <c r="G234" s="2010" t="s">
        <v>966</v>
      </c>
      <c r="H234" s="2065"/>
      <c r="I234" s="2065"/>
      <c r="J234" s="2065"/>
      <c r="K234" s="2065"/>
      <c r="L234" s="2131"/>
      <c r="M234" s="2131"/>
      <c r="N234" s="2131"/>
      <c r="O234" s="2131"/>
      <c r="P234" s="2131"/>
      <c r="Q234" s="2131"/>
      <c r="R234" s="2131"/>
      <c r="S234" s="2131"/>
      <c r="T234" s="2131"/>
      <c r="U234" s="2131"/>
      <c r="V234" s="2131"/>
      <c r="W234" s="2131"/>
      <c r="X234" s="2132"/>
      <c r="Y234" s="2132"/>
      <c r="Z234" s="2132"/>
      <c r="AA234" s="2132"/>
      <c r="AB234" s="2132"/>
      <c r="AC234" s="2132"/>
      <c r="AD234" s="2132"/>
      <c r="AE234" s="2132"/>
      <c r="AF234" s="2132"/>
      <c r="AG234" s="2132"/>
      <c r="AH234" s="2132"/>
      <c r="AI234" s="2132"/>
      <c r="AJ234" s="2132"/>
      <c r="AK234" s="2132"/>
      <c r="AL234" s="2132"/>
      <c r="AM234" s="2132"/>
      <c r="AN234" s="2132"/>
      <c r="AO234" s="2132"/>
      <c r="AP234" s="2132"/>
      <c r="AQ234" s="2132"/>
      <c r="AR234" s="2132"/>
      <c r="AS234" s="2132"/>
      <c r="AT234" s="2132"/>
      <c r="AU234" s="2132"/>
      <c r="AV234" s="2132"/>
      <c r="AW234" s="2132"/>
      <c r="AX234" s="2132"/>
      <c r="AY234" s="2132"/>
      <c r="AZ234" s="2132"/>
      <c r="BA234" s="2132"/>
      <c r="BB234" s="2132"/>
      <c r="BC234" s="2132"/>
      <c r="BD234" s="2132"/>
      <c r="BE234" s="2132"/>
      <c r="BF234" s="2132"/>
      <c r="BG234" s="2132"/>
      <c r="BH234" s="2132"/>
      <c r="BI234" s="2132"/>
      <c r="BJ234" s="2132"/>
      <c r="BK234" s="2132"/>
      <c r="BL234" s="2132"/>
      <c r="BM234" s="2132"/>
      <c r="BN234" s="2132"/>
      <c r="BO234" s="2132"/>
      <c r="BP234" s="1862"/>
    </row>
    <row r="235" spans="1:68" ht="20.100000000000001" hidden="1" customHeight="1" outlineLevel="1">
      <c r="A235" s="1845"/>
      <c r="B235" s="1854"/>
      <c r="C235" s="1847" t="s">
        <v>973</v>
      </c>
      <c r="D235" s="1869" t="s">
        <v>1556</v>
      </c>
      <c r="E235" s="1848"/>
      <c r="F235" s="1875"/>
      <c r="G235" s="2010" t="s">
        <v>966</v>
      </c>
      <c r="H235" s="2065"/>
      <c r="I235" s="2065"/>
      <c r="J235" s="2065"/>
      <c r="K235" s="2065"/>
      <c r="L235" s="2131"/>
      <c r="M235" s="2131"/>
      <c r="N235" s="2131"/>
      <c r="O235" s="2131"/>
      <c r="P235" s="2131"/>
      <c r="Q235" s="2131"/>
      <c r="R235" s="2131"/>
      <c r="S235" s="2131"/>
      <c r="T235" s="2131"/>
      <c r="U235" s="2131"/>
      <c r="V235" s="2131"/>
      <c r="W235" s="2131"/>
      <c r="X235" s="2132"/>
      <c r="Y235" s="2132"/>
      <c r="Z235" s="2132"/>
      <c r="AA235" s="2132"/>
      <c r="AB235" s="2132"/>
      <c r="AC235" s="2132"/>
      <c r="AD235" s="2132"/>
      <c r="AE235" s="2132"/>
      <c r="AF235" s="2132"/>
      <c r="AG235" s="2132"/>
      <c r="AH235" s="2132"/>
      <c r="AI235" s="2132"/>
      <c r="AJ235" s="2132"/>
      <c r="AK235" s="2132"/>
      <c r="AL235" s="2132"/>
      <c r="AM235" s="2132"/>
      <c r="AN235" s="2132"/>
      <c r="AO235" s="2132"/>
      <c r="AP235" s="2132"/>
      <c r="AQ235" s="2132"/>
      <c r="AR235" s="2132"/>
      <c r="AS235" s="2132"/>
      <c r="AT235" s="2132"/>
      <c r="AU235" s="2132"/>
      <c r="AV235" s="2132"/>
      <c r="AW235" s="2132"/>
      <c r="AX235" s="2132"/>
      <c r="AY235" s="2132"/>
      <c r="AZ235" s="2132"/>
      <c r="BA235" s="2132"/>
      <c r="BB235" s="2132"/>
      <c r="BC235" s="2132"/>
      <c r="BD235" s="2132"/>
      <c r="BE235" s="2132"/>
      <c r="BF235" s="2132"/>
      <c r="BG235" s="2132"/>
      <c r="BH235" s="2132"/>
      <c r="BI235" s="2132"/>
      <c r="BJ235" s="2132"/>
      <c r="BK235" s="2132"/>
      <c r="BL235" s="2132"/>
      <c r="BM235" s="2132"/>
      <c r="BN235" s="2132"/>
      <c r="BO235" s="2132"/>
      <c r="BP235" s="1862"/>
    </row>
    <row r="236" spans="1:68" ht="20.100000000000001" hidden="1" customHeight="1" outlineLevel="1">
      <c r="A236" s="1845"/>
      <c r="B236" s="1854"/>
      <c r="C236" s="1847"/>
      <c r="D236" s="1869" t="s">
        <v>1556</v>
      </c>
      <c r="E236" s="1848"/>
      <c r="F236" s="1875"/>
      <c r="G236" s="2010" t="s">
        <v>571</v>
      </c>
      <c r="H236" s="2065"/>
      <c r="I236" s="2065"/>
      <c r="J236" s="2065"/>
      <c r="K236" s="2065"/>
      <c r="L236" s="2131"/>
      <c r="M236" s="2131"/>
      <c r="N236" s="2131"/>
      <c r="O236" s="2131"/>
      <c r="P236" s="2131"/>
      <c r="Q236" s="2131"/>
      <c r="R236" s="2131"/>
      <c r="S236" s="2131"/>
      <c r="T236" s="2131"/>
      <c r="U236" s="2131"/>
      <c r="V236" s="2131"/>
      <c r="W236" s="2131"/>
      <c r="X236" s="2132"/>
      <c r="Y236" s="2132"/>
      <c r="Z236" s="2132"/>
      <c r="AA236" s="2132"/>
      <c r="AB236" s="2132"/>
      <c r="AC236" s="2132"/>
      <c r="AD236" s="2132"/>
      <c r="AE236" s="2132"/>
      <c r="AF236" s="2132"/>
      <c r="AG236" s="2132"/>
      <c r="AH236" s="2132"/>
      <c r="AI236" s="2132"/>
      <c r="AJ236" s="2132"/>
      <c r="AK236" s="2132"/>
      <c r="AL236" s="2132"/>
      <c r="AM236" s="2132"/>
      <c r="AN236" s="2132"/>
      <c r="AO236" s="2132"/>
      <c r="AP236" s="2132"/>
      <c r="AQ236" s="2132"/>
      <c r="AR236" s="2132"/>
      <c r="AS236" s="2132"/>
      <c r="AT236" s="2132"/>
      <c r="AU236" s="2132"/>
      <c r="AV236" s="2132"/>
      <c r="AW236" s="2132"/>
      <c r="AX236" s="2132"/>
      <c r="AY236" s="2132"/>
      <c r="AZ236" s="2132"/>
      <c r="BA236" s="2132"/>
      <c r="BB236" s="2132"/>
      <c r="BC236" s="2132"/>
      <c r="BD236" s="2132"/>
      <c r="BE236" s="2132"/>
      <c r="BF236" s="2132"/>
      <c r="BG236" s="2132"/>
      <c r="BH236" s="2132"/>
      <c r="BI236" s="2132"/>
      <c r="BJ236" s="2132"/>
      <c r="BK236" s="2132"/>
      <c r="BL236" s="2132"/>
      <c r="BM236" s="2132"/>
      <c r="BN236" s="2132"/>
      <c r="BO236" s="2132"/>
      <c r="BP236" s="1862"/>
    </row>
    <row r="237" spans="1:68" ht="20.100000000000001" hidden="1" customHeight="1" outlineLevel="1">
      <c r="A237" s="1845"/>
      <c r="B237" s="1854"/>
      <c r="C237" s="1847"/>
      <c r="D237" s="1869" t="s">
        <v>1557</v>
      </c>
      <c r="E237" s="1848"/>
      <c r="F237" s="1875"/>
      <c r="G237" s="2010" t="s">
        <v>966</v>
      </c>
      <c r="H237" s="2065"/>
      <c r="I237" s="2065"/>
      <c r="J237" s="2065"/>
      <c r="K237" s="2065"/>
      <c r="L237" s="2131"/>
      <c r="M237" s="2131"/>
      <c r="N237" s="2131"/>
      <c r="O237" s="2131"/>
      <c r="P237" s="2131"/>
      <c r="Q237" s="2131"/>
      <c r="R237" s="2131"/>
      <c r="S237" s="2131"/>
      <c r="T237" s="2131"/>
      <c r="U237" s="2131"/>
      <c r="V237" s="2131"/>
      <c r="W237" s="2131"/>
      <c r="X237" s="2132"/>
      <c r="Y237" s="2132"/>
      <c r="Z237" s="2132"/>
      <c r="AA237" s="2132"/>
      <c r="AB237" s="2132"/>
      <c r="AC237" s="2132"/>
      <c r="AD237" s="2132"/>
      <c r="AE237" s="2132"/>
      <c r="AF237" s="2132"/>
      <c r="AG237" s="2132"/>
      <c r="AH237" s="2132"/>
      <c r="AI237" s="2132"/>
      <c r="AJ237" s="2132"/>
      <c r="AK237" s="2132"/>
      <c r="AL237" s="2132"/>
      <c r="AM237" s="2132"/>
      <c r="AN237" s="2132"/>
      <c r="AO237" s="2132"/>
      <c r="AP237" s="2132"/>
      <c r="AQ237" s="2132"/>
      <c r="AR237" s="2132"/>
      <c r="AS237" s="2132"/>
      <c r="AT237" s="2132"/>
      <c r="AU237" s="2132"/>
      <c r="AV237" s="2132"/>
      <c r="AW237" s="2132"/>
      <c r="AX237" s="2132"/>
      <c r="AY237" s="2132"/>
      <c r="AZ237" s="2132"/>
      <c r="BA237" s="2132"/>
      <c r="BB237" s="2132"/>
      <c r="BC237" s="2132"/>
      <c r="BD237" s="2132"/>
      <c r="BE237" s="2132"/>
      <c r="BF237" s="2132"/>
      <c r="BG237" s="2132"/>
      <c r="BH237" s="2132"/>
      <c r="BI237" s="2132"/>
      <c r="BJ237" s="2132"/>
      <c r="BK237" s="2132"/>
      <c r="BL237" s="2132"/>
      <c r="BM237" s="2132"/>
      <c r="BN237" s="2132"/>
      <c r="BO237" s="2132"/>
      <c r="BP237" s="1862"/>
    </row>
    <row r="238" spans="1:68" ht="20.100000000000001" hidden="1" customHeight="1" outlineLevel="1">
      <c r="A238" s="1845"/>
      <c r="B238" s="1854"/>
      <c r="C238" s="1847"/>
      <c r="D238" s="1869" t="s">
        <v>1557</v>
      </c>
      <c r="E238" s="1848"/>
      <c r="F238" s="1875"/>
      <c r="G238" s="2010" t="s">
        <v>571</v>
      </c>
      <c r="H238" s="2065"/>
      <c r="I238" s="2065"/>
      <c r="J238" s="2065"/>
      <c r="K238" s="2065"/>
      <c r="L238" s="2131"/>
      <c r="M238" s="2131"/>
      <c r="N238" s="2131"/>
      <c r="O238" s="2131"/>
      <c r="P238" s="2131"/>
      <c r="Q238" s="2131"/>
      <c r="R238" s="2131"/>
      <c r="S238" s="2131"/>
      <c r="T238" s="2131"/>
      <c r="U238" s="2131"/>
      <c r="V238" s="2131"/>
      <c r="W238" s="2131"/>
      <c r="X238" s="2132"/>
      <c r="Y238" s="2132"/>
      <c r="Z238" s="2132"/>
      <c r="AA238" s="2132"/>
      <c r="AB238" s="2132"/>
      <c r="AC238" s="2132"/>
      <c r="AD238" s="2132"/>
      <c r="AE238" s="2132"/>
      <c r="AF238" s="2132"/>
      <c r="AG238" s="2132"/>
      <c r="AH238" s="2132"/>
      <c r="AI238" s="2132"/>
      <c r="AJ238" s="2132"/>
      <c r="AK238" s="2132"/>
      <c r="AL238" s="2132"/>
      <c r="AM238" s="2132"/>
      <c r="AN238" s="2132"/>
      <c r="AO238" s="2132"/>
      <c r="AP238" s="2132"/>
      <c r="AQ238" s="2132"/>
      <c r="AR238" s="2132"/>
      <c r="AS238" s="2132"/>
      <c r="AT238" s="2132"/>
      <c r="AU238" s="2132"/>
      <c r="AV238" s="2132"/>
      <c r="AW238" s="2132"/>
      <c r="AX238" s="2132"/>
      <c r="AY238" s="2132"/>
      <c r="AZ238" s="2132"/>
      <c r="BA238" s="2132"/>
      <c r="BB238" s="2132"/>
      <c r="BC238" s="2132"/>
      <c r="BD238" s="2132"/>
      <c r="BE238" s="2132"/>
      <c r="BF238" s="2132"/>
      <c r="BG238" s="2132"/>
      <c r="BH238" s="2132"/>
      <c r="BI238" s="2132"/>
      <c r="BJ238" s="2132"/>
      <c r="BK238" s="2132"/>
      <c r="BL238" s="2132"/>
      <c r="BM238" s="2132"/>
      <c r="BN238" s="2132"/>
      <c r="BO238" s="2132"/>
      <c r="BP238" s="1862"/>
    </row>
    <row r="239" spans="1:68" ht="20.100000000000001" hidden="1" customHeight="1" outlineLevel="1">
      <c r="A239" s="1845"/>
      <c r="B239" s="1854"/>
      <c r="C239" s="1847"/>
      <c r="D239" s="1869" t="s">
        <v>958</v>
      </c>
      <c r="E239" s="1848"/>
      <c r="F239" s="1875"/>
      <c r="G239" s="2010" t="s">
        <v>966</v>
      </c>
      <c r="H239" s="2065"/>
      <c r="I239" s="2065"/>
      <c r="J239" s="2065"/>
      <c r="K239" s="2065"/>
      <c r="L239" s="2131"/>
      <c r="M239" s="2131"/>
      <c r="N239" s="2131"/>
      <c r="O239" s="2131"/>
      <c r="P239" s="2131"/>
      <c r="Q239" s="2131"/>
      <c r="R239" s="2131"/>
      <c r="S239" s="2131"/>
      <c r="T239" s="2131"/>
      <c r="U239" s="2131"/>
      <c r="V239" s="2131"/>
      <c r="W239" s="2131"/>
      <c r="X239" s="2132"/>
      <c r="Y239" s="2132"/>
      <c r="Z239" s="2132"/>
      <c r="AA239" s="2132"/>
      <c r="AB239" s="2132"/>
      <c r="AC239" s="2132"/>
      <c r="AD239" s="2132"/>
      <c r="AE239" s="2132"/>
      <c r="AF239" s="2132"/>
      <c r="AG239" s="2132"/>
      <c r="AH239" s="2132"/>
      <c r="AI239" s="2132"/>
      <c r="AJ239" s="2132"/>
      <c r="AK239" s="2132"/>
      <c r="AL239" s="2132"/>
      <c r="AM239" s="2132"/>
      <c r="AN239" s="2132"/>
      <c r="AO239" s="2132"/>
      <c r="AP239" s="2132"/>
      <c r="AQ239" s="2132"/>
      <c r="AR239" s="2132"/>
      <c r="AS239" s="2132"/>
      <c r="AT239" s="2132"/>
      <c r="AU239" s="2132"/>
      <c r="AV239" s="2132"/>
      <c r="AW239" s="2132"/>
      <c r="AX239" s="2132"/>
      <c r="AY239" s="2132"/>
      <c r="AZ239" s="2132"/>
      <c r="BA239" s="2132"/>
      <c r="BB239" s="2132"/>
      <c r="BC239" s="2132"/>
      <c r="BD239" s="2132"/>
      <c r="BE239" s="2132"/>
      <c r="BF239" s="2132"/>
      <c r="BG239" s="2132"/>
      <c r="BH239" s="2132"/>
      <c r="BI239" s="2132"/>
      <c r="BJ239" s="2132"/>
      <c r="BK239" s="2132"/>
      <c r="BL239" s="2132"/>
      <c r="BM239" s="2132"/>
      <c r="BN239" s="2132"/>
      <c r="BO239" s="2132"/>
      <c r="BP239" s="1862"/>
    </row>
    <row r="240" spans="1:68" ht="20.100000000000001" hidden="1" customHeight="1" outlineLevel="1">
      <c r="A240" s="1845"/>
      <c r="B240" s="1854"/>
      <c r="C240" s="1847"/>
      <c r="D240" s="1869" t="s">
        <v>958</v>
      </c>
      <c r="E240" s="1848"/>
      <c r="F240" s="1875"/>
      <c r="G240" s="2010" t="s">
        <v>571</v>
      </c>
      <c r="H240" s="2065"/>
      <c r="I240" s="2065"/>
      <c r="J240" s="2065"/>
      <c r="K240" s="2065"/>
      <c r="L240" s="2131"/>
      <c r="M240" s="2131"/>
      <c r="N240" s="2131"/>
      <c r="O240" s="2131"/>
      <c r="P240" s="2131"/>
      <c r="Q240" s="2131"/>
      <c r="R240" s="2131"/>
      <c r="S240" s="2131"/>
      <c r="T240" s="2131"/>
      <c r="U240" s="2131"/>
      <c r="V240" s="2131"/>
      <c r="W240" s="2131"/>
      <c r="X240" s="2132"/>
      <c r="Y240" s="2132"/>
      <c r="Z240" s="2132"/>
      <c r="AA240" s="2132"/>
      <c r="AB240" s="2132"/>
      <c r="AC240" s="2132"/>
      <c r="AD240" s="2132"/>
      <c r="AE240" s="2132"/>
      <c r="AF240" s="2132"/>
      <c r="AG240" s="2132"/>
      <c r="AH240" s="2132"/>
      <c r="AI240" s="2132"/>
      <c r="AJ240" s="2132"/>
      <c r="AK240" s="2132"/>
      <c r="AL240" s="2132"/>
      <c r="AM240" s="2132"/>
      <c r="AN240" s="2132"/>
      <c r="AO240" s="2132"/>
      <c r="AP240" s="2132"/>
      <c r="AQ240" s="2132"/>
      <c r="AR240" s="2132"/>
      <c r="AS240" s="2132"/>
      <c r="AT240" s="2132"/>
      <c r="AU240" s="2132"/>
      <c r="AV240" s="2132"/>
      <c r="AW240" s="2132"/>
      <c r="AX240" s="2132"/>
      <c r="AY240" s="2132"/>
      <c r="AZ240" s="2132"/>
      <c r="BA240" s="2132"/>
      <c r="BB240" s="2132"/>
      <c r="BC240" s="2132"/>
      <c r="BD240" s="2132"/>
      <c r="BE240" s="2132"/>
      <c r="BF240" s="2132"/>
      <c r="BG240" s="2132"/>
      <c r="BH240" s="2132"/>
      <c r="BI240" s="2132"/>
      <c r="BJ240" s="2132"/>
      <c r="BK240" s="2132"/>
      <c r="BL240" s="2132"/>
      <c r="BM240" s="2132"/>
      <c r="BN240" s="2132"/>
      <c r="BO240" s="2132"/>
      <c r="BP240" s="1862"/>
    </row>
    <row r="241" spans="1:68" ht="20.100000000000001" hidden="1" customHeight="1" outlineLevel="1">
      <c r="A241" s="1845"/>
      <c r="B241" s="1854"/>
      <c r="C241" s="1847"/>
      <c r="D241" s="1869" t="s">
        <v>1558</v>
      </c>
      <c r="E241" s="1848"/>
      <c r="F241" s="1875"/>
      <c r="G241" s="2010" t="s">
        <v>966</v>
      </c>
      <c r="H241" s="2065"/>
      <c r="I241" s="2065"/>
      <c r="J241" s="2065"/>
      <c r="K241" s="2065"/>
      <c r="L241" s="2131"/>
      <c r="M241" s="2131"/>
      <c r="N241" s="2131"/>
      <c r="O241" s="2131"/>
      <c r="P241" s="2131"/>
      <c r="Q241" s="2131"/>
      <c r="R241" s="2131"/>
      <c r="S241" s="2131"/>
      <c r="T241" s="2131"/>
      <c r="U241" s="2131"/>
      <c r="V241" s="2131"/>
      <c r="W241" s="2131"/>
      <c r="X241" s="2132"/>
      <c r="Y241" s="2132"/>
      <c r="Z241" s="2132"/>
      <c r="AA241" s="2132"/>
      <c r="AB241" s="2132"/>
      <c r="AC241" s="2132"/>
      <c r="AD241" s="2132"/>
      <c r="AE241" s="2132"/>
      <c r="AF241" s="2132"/>
      <c r="AG241" s="2132"/>
      <c r="AH241" s="2132"/>
      <c r="AI241" s="2132"/>
      <c r="AJ241" s="2132"/>
      <c r="AK241" s="2132"/>
      <c r="AL241" s="2132"/>
      <c r="AM241" s="2132"/>
      <c r="AN241" s="2132"/>
      <c r="AO241" s="2132"/>
      <c r="AP241" s="2132"/>
      <c r="AQ241" s="2132"/>
      <c r="AR241" s="2132"/>
      <c r="AS241" s="2132"/>
      <c r="AT241" s="2132"/>
      <c r="AU241" s="2132"/>
      <c r="AV241" s="2132"/>
      <c r="AW241" s="2132"/>
      <c r="AX241" s="2132"/>
      <c r="AY241" s="2132"/>
      <c r="AZ241" s="2132"/>
      <c r="BA241" s="2132"/>
      <c r="BB241" s="2132"/>
      <c r="BC241" s="2132"/>
      <c r="BD241" s="2132"/>
      <c r="BE241" s="2132"/>
      <c r="BF241" s="2132"/>
      <c r="BG241" s="2132"/>
      <c r="BH241" s="2132"/>
      <c r="BI241" s="2132"/>
      <c r="BJ241" s="2132"/>
      <c r="BK241" s="2132"/>
      <c r="BL241" s="2132"/>
      <c r="BM241" s="2132"/>
      <c r="BN241" s="2132"/>
      <c r="BO241" s="2132"/>
      <c r="BP241" s="1862"/>
    </row>
    <row r="242" spans="1:68" ht="20.100000000000001" hidden="1" customHeight="1" outlineLevel="1">
      <c r="A242" s="1845"/>
      <c r="B242" s="1854"/>
      <c r="C242" s="1847"/>
      <c r="D242" s="1869" t="s">
        <v>1559</v>
      </c>
      <c r="E242" s="1848"/>
      <c r="F242" s="1875"/>
      <c r="G242" s="2010" t="s">
        <v>571</v>
      </c>
      <c r="H242" s="2065"/>
      <c r="I242" s="2065"/>
      <c r="J242" s="2065"/>
      <c r="K242" s="2065"/>
      <c r="L242" s="2131"/>
      <c r="M242" s="2131"/>
      <c r="N242" s="2131"/>
      <c r="O242" s="2131"/>
      <c r="P242" s="2131"/>
      <c r="Q242" s="2131"/>
      <c r="R242" s="2131"/>
      <c r="S242" s="2131"/>
      <c r="T242" s="2131"/>
      <c r="U242" s="2131"/>
      <c r="V242" s="2131"/>
      <c r="W242" s="2131"/>
      <c r="X242" s="2132"/>
      <c r="Y242" s="2132"/>
      <c r="Z242" s="2132"/>
      <c r="AA242" s="2132"/>
      <c r="AB242" s="2132"/>
      <c r="AC242" s="2132"/>
      <c r="AD242" s="2132"/>
      <c r="AE242" s="2132"/>
      <c r="AF242" s="2132"/>
      <c r="AG242" s="2132"/>
      <c r="AH242" s="2132"/>
      <c r="AI242" s="2132"/>
      <c r="AJ242" s="2132"/>
      <c r="AK242" s="2132"/>
      <c r="AL242" s="2132"/>
      <c r="AM242" s="2132"/>
      <c r="AN242" s="2132"/>
      <c r="AO242" s="2132"/>
      <c r="AP242" s="2132"/>
      <c r="AQ242" s="2132"/>
      <c r="AR242" s="2132"/>
      <c r="AS242" s="2132"/>
      <c r="AT242" s="2132"/>
      <c r="AU242" s="2132"/>
      <c r="AV242" s="2132"/>
      <c r="AW242" s="2132"/>
      <c r="AX242" s="2132"/>
      <c r="AY242" s="2132"/>
      <c r="AZ242" s="2132"/>
      <c r="BA242" s="2132"/>
      <c r="BB242" s="2132"/>
      <c r="BC242" s="2132"/>
      <c r="BD242" s="2132"/>
      <c r="BE242" s="2132"/>
      <c r="BF242" s="2132"/>
      <c r="BG242" s="2132"/>
      <c r="BH242" s="2132"/>
      <c r="BI242" s="2132"/>
      <c r="BJ242" s="2132"/>
      <c r="BK242" s="2132"/>
      <c r="BL242" s="2132"/>
      <c r="BM242" s="2132"/>
      <c r="BN242" s="2132"/>
      <c r="BO242" s="2132"/>
      <c r="BP242" s="1862"/>
    </row>
    <row r="243" spans="1:68" ht="20.100000000000001" hidden="1" customHeight="1" outlineLevel="1">
      <c r="A243" s="1845"/>
      <c r="B243" s="1854"/>
      <c r="C243" s="1847"/>
      <c r="D243" s="1981" t="s">
        <v>974</v>
      </c>
      <c r="E243" s="1982" t="str">
        <f ca="1">E83</f>
        <v/>
      </c>
      <c r="F243" s="1879"/>
      <c r="G243" s="2010" t="s">
        <v>966</v>
      </c>
      <c r="H243" s="2065"/>
      <c r="I243" s="2065"/>
      <c r="J243" s="2065"/>
      <c r="K243" s="2065"/>
      <c r="L243" s="2131"/>
      <c r="M243" s="2131"/>
      <c r="N243" s="2131"/>
      <c r="O243" s="2131"/>
      <c r="P243" s="2131"/>
      <c r="Q243" s="2131"/>
      <c r="R243" s="2131"/>
      <c r="S243" s="2131"/>
      <c r="T243" s="2131"/>
      <c r="U243" s="2131"/>
      <c r="V243" s="2131"/>
      <c r="W243" s="2131"/>
      <c r="X243" s="2132"/>
      <c r="Y243" s="2132"/>
      <c r="Z243" s="2132"/>
      <c r="AA243" s="2132"/>
      <c r="AB243" s="2132"/>
      <c r="AC243" s="2132"/>
      <c r="AD243" s="2132"/>
      <c r="AE243" s="2132"/>
      <c r="AF243" s="2132"/>
      <c r="AG243" s="2132"/>
      <c r="AH243" s="2132"/>
      <c r="AI243" s="2132"/>
      <c r="AJ243" s="2132"/>
      <c r="AK243" s="2132"/>
      <c r="AL243" s="2132"/>
      <c r="AM243" s="2132"/>
      <c r="AN243" s="2132"/>
      <c r="AO243" s="2132"/>
      <c r="AP243" s="2132"/>
      <c r="AQ243" s="2132"/>
      <c r="AR243" s="2132"/>
      <c r="AS243" s="2132"/>
      <c r="AT243" s="2132"/>
      <c r="AU243" s="2132"/>
      <c r="AV243" s="2132"/>
      <c r="AW243" s="2132"/>
      <c r="AX243" s="2132"/>
      <c r="AY243" s="2132"/>
      <c r="AZ243" s="2132"/>
      <c r="BA243" s="2132"/>
      <c r="BB243" s="2132"/>
      <c r="BC243" s="2132"/>
      <c r="BD243" s="2132"/>
      <c r="BE243" s="2132"/>
      <c r="BF243" s="2132"/>
      <c r="BG243" s="2132"/>
      <c r="BH243" s="2132"/>
      <c r="BI243" s="2132"/>
      <c r="BJ243" s="2132"/>
      <c r="BK243" s="2132"/>
      <c r="BL243" s="2132"/>
      <c r="BM243" s="2132"/>
      <c r="BN243" s="2132"/>
      <c r="BO243" s="2132"/>
      <c r="BP243" s="1862"/>
    </row>
    <row r="244" spans="1:68" ht="20.100000000000001" hidden="1" customHeight="1" outlineLevel="1">
      <c r="A244" s="1845"/>
      <c r="B244" s="1854"/>
      <c r="C244" s="1847"/>
      <c r="D244" s="1981"/>
      <c r="E244" s="1983"/>
      <c r="F244" s="1882"/>
      <c r="G244" s="2010" t="s">
        <v>571</v>
      </c>
      <c r="H244" s="2065"/>
      <c r="I244" s="2065"/>
      <c r="J244" s="2065"/>
      <c r="K244" s="2065"/>
      <c r="L244" s="2131"/>
      <c r="M244" s="2131"/>
      <c r="N244" s="2131"/>
      <c r="O244" s="2131"/>
      <c r="P244" s="2131"/>
      <c r="Q244" s="2131"/>
      <c r="R244" s="2131"/>
      <c r="S244" s="2131"/>
      <c r="T244" s="2131"/>
      <c r="U244" s="2131"/>
      <c r="V244" s="2131"/>
      <c r="W244" s="2131"/>
      <c r="X244" s="2132"/>
      <c r="Y244" s="2132"/>
      <c r="Z244" s="2132"/>
      <c r="AA244" s="2132"/>
      <c r="AB244" s="2132"/>
      <c r="AC244" s="2132"/>
      <c r="AD244" s="2132"/>
      <c r="AE244" s="2132"/>
      <c r="AF244" s="2132"/>
      <c r="AG244" s="2132"/>
      <c r="AH244" s="2132"/>
      <c r="AI244" s="2132"/>
      <c r="AJ244" s="2132"/>
      <c r="AK244" s="2132"/>
      <c r="AL244" s="2132"/>
      <c r="AM244" s="2132"/>
      <c r="AN244" s="2132"/>
      <c r="AO244" s="2132"/>
      <c r="AP244" s="2132"/>
      <c r="AQ244" s="2132"/>
      <c r="AR244" s="2132"/>
      <c r="AS244" s="2132"/>
      <c r="AT244" s="2132"/>
      <c r="AU244" s="2132"/>
      <c r="AV244" s="2132"/>
      <c r="AW244" s="2132"/>
      <c r="AX244" s="2132"/>
      <c r="AY244" s="2132"/>
      <c r="AZ244" s="2132"/>
      <c r="BA244" s="2132"/>
      <c r="BB244" s="2132"/>
      <c r="BC244" s="2132"/>
      <c r="BD244" s="2132"/>
      <c r="BE244" s="2132"/>
      <c r="BF244" s="2132"/>
      <c r="BG244" s="2132"/>
      <c r="BH244" s="2132"/>
      <c r="BI244" s="2132"/>
      <c r="BJ244" s="2132"/>
      <c r="BK244" s="2132"/>
      <c r="BL244" s="2132"/>
      <c r="BM244" s="2132"/>
      <c r="BN244" s="2132"/>
      <c r="BO244" s="2132"/>
      <c r="BP244" s="1862"/>
    </row>
    <row r="245" spans="1:68" ht="20.100000000000001" hidden="1" customHeight="1" outlineLevel="1">
      <c r="A245" s="1845"/>
      <c r="B245" s="1854"/>
      <c r="C245" s="1847"/>
      <c r="D245" s="1981" t="s">
        <v>975</v>
      </c>
      <c r="E245" s="1982" t="str">
        <f ca="1">E85</f>
        <v/>
      </c>
      <c r="F245" s="1879"/>
      <c r="G245" s="2010" t="s">
        <v>966</v>
      </c>
      <c r="H245" s="2065"/>
      <c r="I245" s="2065"/>
      <c r="J245" s="2065"/>
      <c r="K245" s="2065"/>
      <c r="L245" s="2131"/>
      <c r="M245" s="2131"/>
      <c r="N245" s="2131"/>
      <c r="O245" s="2131"/>
      <c r="P245" s="2131"/>
      <c r="Q245" s="2131"/>
      <c r="R245" s="2131"/>
      <c r="S245" s="2131"/>
      <c r="T245" s="2131"/>
      <c r="U245" s="2131"/>
      <c r="V245" s="2131"/>
      <c r="W245" s="2131"/>
      <c r="X245" s="2132"/>
      <c r="Y245" s="2132"/>
      <c r="Z245" s="2132"/>
      <c r="AA245" s="2132"/>
      <c r="AB245" s="2132"/>
      <c r="AC245" s="2132"/>
      <c r="AD245" s="2132"/>
      <c r="AE245" s="2132"/>
      <c r="AF245" s="2132"/>
      <c r="AG245" s="2132"/>
      <c r="AH245" s="2132"/>
      <c r="AI245" s="2132"/>
      <c r="AJ245" s="2132"/>
      <c r="AK245" s="2132"/>
      <c r="AL245" s="2132"/>
      <c r="AM245" s="2132"/>
      <c r="AN245" s="2132"/>
      <c r="AO245" s="2132"/>
      <c r="AP245" s="2132"/>
      <c r="AQ245" s="2132"/>
      <c r="AR245" s="2132"/>
      <c r="AS245" s="2132"/>
      <c r="AT245" s="2132"/>
      <c r="AU245" s="2132"/>
      <c r="AV245" s="2132"/>
      <c r="AW245" s="2132"/>
      <c r="AX245" s="2132"/>
      <c r="AY245" s="2132"/>
      <c r="AZ245" s="2132"/>
      <c r="BA245" s="2132"/>
      <c r="BB245" s="2132"/>
      <c r="BC245" s="2132"/>
      <c r="BD245" s="2132"/>
      <c r="BE245" s="2132"/>
      <c r="BF245" s="2132"/>
      <c r="BG245" s="2132"/>
      <c r="BH245" s="2132"/>
      <c r="BI245" s="2132"/>
      <c r="BJ245" s="2132"/>
      <c r="BK245" s="2132"/>
      <c r="BL245" s="2132"/>
      <c r="BM245" s="2132"/>
      <c r="BN245" s="2132"/>
      <c r="BO245" s="2132"/>
      <c r="BP245" s="1862"/>
    </row>
    <row r="246" spans="1:68" ht="20.100000000000001" hidden="1" customHeight="1" outlineLevel="1">
      <c r="A246" s="1845"/>
      <c r="B246" s="1854"/>
      <c r="C246" s="1847"/>
      <c r="D246" s="1981"/>
      <c r="E246" s="1983"/>
      <c r="F246" s="1882"/>
      <c r="G246" s="2010" t="s">
        <v>571</v>
      </c>
      <c r="H246" s="2065"/>
      <c r="I246" s="2065"/>
      <c r="J246" s="2065"/>
      <c r="K246" s="2065"/>
      <c r="L246" s="2131"/>
      <c r="M246" s="2131"/>
      <c r="N246" s="2131"/>
      <c r="O246" s="2131"/>
      <c r="P246" s="2131"/>
      <c r="Q246" s="2131"/>
      <c r="R246" s="2131"/>
      <c r="S246" s="2131"/>
      <c r="T246" s="2131"/>
      <c r="U246" s="2131"/>
      <c r="V246" s="2131"/>
      <c r="W246" s="2131"/>
      <c r="X246" s="2132"/>
      <c r="Y246" s="2132"/>
      <c r="Z246" s="2132"/>
      <c r="AA246" s="2132"/>
      <c r="AB246" s="2132"/>
      <c r="AC246" s="2132"/>
      <c r="AD246" s="2132"/>
      <c r="AE246" s="2132"/>
      <c r="AF246" s="2132"/>
      <c r="AG246" s="2132"/>
      <c r="AH246" s="2132"/>
      <c r="AI246" s="2132"/>
      <c r="AJ246" s="2132"/>
      <c r="AK246" s="2132"/>
      <c r="AL246" s="2132"/>
      <c r="AM246" s="2132"/>
      <c r="AN246" s="2132"/>
      <c r="AO246" s="2132"/>
      <c r="AP246" s="2132"/>
      <c r="AQ246" s="2132"/>
      <c r="AR246" s="2132"/>
      <c r="AS246" s="2132"/>
      <c r="AT246" s="2132"/>
      <c r="AU246" s="2132"/>
      <c r="AV246" s="2132"/>
      <c r="AW246" s="2132"/>
      <c r="AX246" s="2132"/>
      <c r="AY246" s="2132"/>
      <c r="AZ246" s="2132"/>
      <c r="BA246" s="2132"/>
      <c r="BB246" s="2132"/>
      <c r="BC246" s="2132"/>
      <c r="BD246" s="2132"/>
      <c r="BE246" s="2132"/>
      <c r="BF246" s="2132"/>
      <c r="BG246" s="2132"/>
      <c r="BH246" s="2132"/>
      <c r="BI246" s="2132"/>
      <c r="BJ246" s="2132"/>
      <c r="BK246" s="2132"/>
      <c r="BL246" s="2132"/>
      <c r="BM246" s="2132"/>
      <c r="BN246" s="2132"/>
      <c r="BO246" s="2132"/>
      <c r="BP246" s="1862"/>
    </row>
    <row r="247" spans="1:68" ht="20.100000000000001" hidden="1" customHeight="1" outlineLevel="1">
      <c r="A247" s="1845"/>
      <c r="B247" s="1854"/>
      <c r="C247" s="1847"/>
      <c r="D247" s="1869" t="s">
        <v>976</v>
      </c>
      <c r="E247" s="1858" t="str">
        <f ca="1">E87</f>
        <v/>
      </c>
      <c r="F247" s="1849" t="s">
        <v>1062</v>
      </c>
      <c r="G247" s="2010" t="s">
        <v>966</v>
      </c>
      <c r="H247" s="2065"/>
      <c r="I247" s="2065"/>
      <c r="J247" s="2065"/>
      <c r="K247" s="2065"/>
      <c r="L247" s="2131"/>
      <c r="M247" s="2131"/>
      <c r="N247" s="2131"/>
      <c r="O247" s="2131"/>
      <c r="P247" s="2131"/>
      <c r="Q247" s="2131"/>
      <c r="R247" s="2131"/>
      <c r="S247" s="2131"/>
      <c r="T247" s="2131"/>
      <c r="U247" s="2131"/>
      <c r="V247" s="2131"/>
      <c r="W247" s="2131"/>
      <c r="X247" s="2132"/>
      <c r="Y247" s="2132"/>
      <c r="Z247" s="2132"/>
      <c r="AA247" s="2132"/>
      <c r="AB247" s="2132"/>
      <c r="AC247" s="2132"/>
      <c r="AD247" s="2132"/>
      <c r="AE247" s="2132"/>
      <c r="AF247" s="2132"/>
      <c r="AG247" s="2132"/>
      <c r="AH247" s="2132"/>
      <c r="AI247" s="2132"/>
      <c r="AJ247" s="2132"/>
      <c r="AK247" s="2132"/>
      <c r="AL247" s="2132"/>
      <c r="AM247" s="2132"/>
      <c r="AN247" s="2132"/>
      <c r="AO247" s="2132"/>
      <c r="AP247" s="2132"/>
      <c r="AQ247" s="2132"/>
      <c r="AR247" s="2132"/>
      <c r="AS247" s="2132"/>
      <c r="AT247" s="2132"/>
      <c r="AU247" s="2132"/>
      <c r="AV247" s="2132"/>
      <c r="AW247" s="2132"/>
      <c r="AX247" s="2132"/>
      <c r="AY247" s="2132"/>
      <c r="AZ247" s="2132"/>
      <c r="BA247" s="2132"/>
      <c r="BB247" s="2132"/>
      <c r="BC247" s="2132"/>
      <c r="BD247" s="2132"/>
      <c r="BE247" s="2132"/>
      <c r="BF247" s="2132"/>
      <c r="BG247" s="2132"/>
      <c r="BH247" s="2132"/>
      <c r="BI247" s="2132"/>
      <c r="BJ247" s="2132"/>
      <c r="BK247" s="2132"/>
      <c r="BL247" s="2132"/>
      <c r="BM247" s="2132"/>
      <c r="BN247" s="2132"/>
      <c r="BO247" s="2132"/>
      <c r="BP247" s="1862"/>
    </row>
    <row r="248" spans="1:68" ht="20.100000000000001" hidden="1" customHeight="1" outlineLevel="1">
      <c r="A248" s="1845"/>
      <c r="B248" s="1854"/>
      <c r="C248" s="1847"/>
      <c r="D248" s="1869" t="s">
        <v>977</v>
      </c>
      <c r="E248" s="1858" t="str">
        <f ca="1">E88</f>
        <v/>
      </c>
      <c r="F248" s="1883" t="s">
        <v>1063</v>
      </c>
      <c r="G248" s="2010" t="s">
        <v>966</v>
      </c>
      <c r="H248" s="2065"/>
      <c r="I248" s="2065"/>
      <c r="J248" s="2065"/>
      <c r="K248" s="2065"/>
      <c r="L248" s="2131"/>
      <c r="M248" s="2131"/>
      <c r="N248" s="2131"/>
      <c r="O248" s="2131"/>
      <c r="P248" s="2131"/>
      <c r="Q248" s="2131"/>
      <c r="R248" s="2131"/>
      <c r="S248" s="2131"/>
      <c r="T248" s="2131"/>
      <c r="U248" s="2131"/>
      <c r="V248" s="2131"/>
      <c r="W248" s="2131"/>
      <c r="X248" s="2132"/>
      <c r="Y248" s="2132"/>
      <c r="Z248" s="2132"/>
      <c r="AA248" s="2132"/>
      <c r="AB248" s="2132"/>
      <c r="AC248" s="2132"/>
      <c r="AD248" s="2132"/>
      <c r="AE248" s="2132"/>
      <c r="AF248" s="2132"/>
      <c r="AG248" s="2132"/>
      <c r="AH248" s="2132"/>
      <c r="AI248" s="2132"/>
      <c r="AJ248" s="2132"/>
      <c r="AK248" s="2132"/>
      <c r="AL248" s="2132"/>
      <c r="AM248" s="2132"/>
      <c r="AN248" s="2132"/>
      <c r="AO248" s="2132"/>
      <c r="AP248" s="2132"/>
      <c r="AQ248" s="2132"/>
      <c r="AR248" s="2132"/>
      <c r="AS248" s="2132"/>
      <c r="AT248" s="2132"/>
      <c r="AU248" s="2132"/>
      <c r="AV248" s="2132"/>
      <c r="AW248" s="2132"/>
      <c r="AX248" s="2132"/>
      <c r="AY248" s="2132"/>
      <c r="AZ248" s="2132"/>
      <c r="BA248" s="2132"/>
      <c r="BB248" s="2132"/>
      <c r="BC248" s="2132"/>
      <c r="BD248" s="2132"/>
      <c r="BE248" s="2132"/>
      <c r="BF248" s="2132"/>
      <c r="BG248" s="2132"/>
      <c r="BH248" s="2132"/>
      <c r="BI248" s="2132"/>
      <c r="BJ248" s="2132"/>
      <c r="BK248" s="2132"/>
      <c r="BL248" s="2132"/>
      <c r="BM248" s="2132"/>
      <c r="BN248" s="2132"/>
      <c r="BO248" s="2132"/>
      <c r="BP248" s="1862"/>
    </row>
    <row r="249" spans="1:68" ht="20.100000000000001" hidden="1" customHeight="1" outlineLevel="1">
      <c r="A249" s="1845"/>
      <c r="B249" s="1854"/>
      <c r="C249" s="1847"/>
      <c r="D249" s="1869" t="s">
        <v>979</v>
      </c>
      <c r="E249" s="1858" t="str">
        <f ca="1">E89</f>
        <v/>
      </c>
      <c r="F249" s="1883" t="s">
        <v>1064</v>
      </c>
      <c r="G249" s="2010" t="s">
        <v>966</v>
      </c>
      <c r="H249" s="2065"/>
      <c r="I249" s="2065"/>
      <c r="J249" s="2065"/>
      <c r="K249" s="2065"/>
      <c r="L249" s="2131"/>
      <c r="M249" s="2131"/>
      <c r="N249" s="2131"/>
      <c r="O249" s="2131"/>
      <c r="P249" s="2131"/>
      <c r="Q249" s="2131"/>
      <c r="R249" s="2131"/>
      <c r="S249" s="2131"/>
      <c r="T249" s="2131"/>
      <c r="U249" s="2131"/>
      <c r="V249" s="2131"/>
      <c r="W249" s="2131"/>
      <c r="X249" s="2132"/>
      <c r="Y249" s="2132"/>
      <c r="Z249" s="2132"/>
      <c r="AA249" s="2132"/>
      <c r="AB249" s="2132"/>
      <c r="AC249" s="2132"/>
      <c r="AD249" s="2132"/>
      <c r="AE249" s="2132"/>
      <c r="AF249" s="2132"/>
      <c r="AG249" s="2132"/>
      <c r="AH249" s="2132"/>
      <c r="AI249" s="2132"/>
      <c r="AJ249" s="2132"/>
      <c r="AK249" s="2132"/>
      <c r="AL249" s="2132"/>
      <c r="AM249" s="2132"/>
      <c r="AN249" s="2132"/>
      <c r="AO249" s="2132"/>
      <c r="AP249" s="2132"/>
      <c r="AQ249" s="2132"/>
      <c r="AR249" s="2132"/>
      <c r="AS249" s="2132"/>
      <c r="AT249" s="2132"/>
      <c r="AU249" s="2132"/>
      <c r="AV249" s="2132"/>
      <c r="AW249" s="2132"/>
      <c r="AX249" s="2132"/>
      <c r="AY249" s="2132"/>
      <c r="AZ249" s="2132"/>
      <c r="BA249" s="2132"/>
      <c r="BB249" s="2132"/>
      <c r="BC249" s="2132"/>
      <c r="BD249" s="2132"/>
      <c r="BE249" s="2132"/>
      <c r="BF249" s="2132"/>
      <c r="BG249" s="2132"/>
      <c r="BH249" s="2132"/>
      <c r="BI249" s="2132"/>
      <c r="BJ249" s="2132"/>
      <c r="BK249" s="2132"/>
      <c r="BL249" s="2132"/>
      <c r="BM249" s="2132"/>
      <c r="BN249" s="2132"/>
      <c r="BO249" s="2132"/>
      <c r="BP249" s="1862"/>
    </row>
    <row r="250" spans="1:68" ht="20.100000000000001" hidden="1" customHeight="1" outlineLevel="1">
      <c r="A250" s="1845"/>
      <c r="B250" s="1854"/>
      <c r="C250" s="1847"/>
      <c r="D250" s="1869" t="s">
        <v>981</v>
      </c>
      <c r="E250" s="1858" t="str">
        <f ca="1">E90</f>
        <v/>
      </c>
      <c r="F250" s="1883" t="s">
        <v>1065</v>
      </c>
      <c r="G250" s="2010" t="s">
        <v>966</v>
      </c>
      <c r="H250" s="2065"/>
      <c r="I250" s="2065"/>
      <c r="J250" s="2065"/>
      <c r="K250" s="2065"/>
      <c r="L250" s="2131"/>
      <c r="M250" s="2131"/>
      <c r="N250" s="2131"/>
      <c r="O250" s="2131"/>
      <c r="P250" s="2131"/>
      <c r="Q250" s="2131"/>
      <c r="R250" s="2131"/>
      <c r="S250" s="2131"/>
      <c r="T250" s="2131"/>
      <c r="U250" s="2131"/>
      <c r="V250" s="2131"/>
      <c r="W250" s="2131"/>
      <c r="X250" s="2132"/>
      <c r="Y250" s="2132"/>
      <c r="Z250" s="2132"/>
      <c r="AA250" s="2132"/>
      <c r="AB250" s="2132"/>
      <c r="AC250" s="2132"/>
      <c r="AD250" s="2132"/>
      <c r="AE250" s="2132"/>
      <c r="AF250" s="2132"/>
      <c r="AG250" s="2132"/>
      <c r="AH250" s="2132"/>
      <c r="AI250" s="2132"/>
      <c r="AJ250" s="2132"/>
      <c r="AK250" s="2132"/>
      <c r="AL250" s="2132"/>
      <c r="AM250" s="2132"/>
      <c r="AN250" s="2132"/>
      <c r="AO250" s="2132"/>
      <c r="AP250" s="2132"/>
      <c r="AQ250" s="2132"/>
      <c r="AR250" s="2132"/>
      <c r="AS250" s="2132"/>
      <c r="AT250" s="2132"/>
      <c r="AU250" s="2132"/>
      <c r="AV250" s="2132"/>
      <c r="AW250" s="2132"/>
      <c r="AX250" s="2132"/>
      <c r="AY250" s="2132"/>
      <c r="AZ250" s="2132"/>
      <c r="BA250" s="2132"/>
      <c r="BB250" s="2132"/>
      <c r="BC250" s="2132"/>
      <c r="BD250" s="2132"/>
      <c r="BE250" s="2132"/>
      <c r="BF250" s="2132"/>
      <c r="BG250" s="2132"/>
      <c r="BH250" s="2132"/>
      <c r="BI250" s="2132"/>
      <c r="BJ250" s="2132"/>
      <c r="BK250" s="2132"/>
      <c r="BL250" s="2132"/>
      <c r="BM250" s="2132"/>
      <c r="BN250" s="2132"/>
      <c r="BO250" s="2132"/>
      <c r="BP250" s="1862"/>
    </row>
    <row r="251" spans="1:68" ht="20.100000000000001" customHeight="1" collapsed="1">
      <c r="A251" s="1842">
        <v>2</v>
      </c>
      <c r="B251" s="1847" t="s">
        <v>1066</v>
      </c>
      <c r="C251" s="1847"/>
      <c r="D251" s="1848" t="s">
        <v>984</v>
      </c>
      <c r="E251" s="1848"/>
      <c r="F251" s="1863" t="s">
        <v>1067</v>
      </c>
      <c r="G251" s="2010" t="s">
        <v>986</v>
      </c>
      <c r="H251" s="2065"/>
      <c r="I251" s="2065"/>
      <c r="J251" s="2065"/>
      <c r="K251" s="2065"/>
      <c r="L251" s="2013">
        <f ca="1">SUMPRODUCT((0&amp;L171:L218)*$H171:$H218)+SUM(SUMIFS(OFFSET(A1_集計2024,$A251,10,1,199),OFFSET(貼付け_2024実績,4,9,1,199),{"横浜*","川崎*","県域*","エネルギー管理指定工場等*"}))</f>
        <v>0</v>
      </c>
      <c r="M251" s="2013">
        <f ca="1">SUMPRODUCT((0&amp;M171:M218)*$H171:$H218)+SUM(SUMIFS(OFFSET(A1_集計2025,$A251,10,1,199),OFFSET(貼付け_2025実績,4,9,1,199),{"横浜*","川崎*","県域*","エネルギー管理指定工場等*"}))</f>
        <v>0</v>
      </c>
      <c r="N251" s="2013">
        <f ca="1">SUMPRODUCT((0&amp;N171:N218)*$H171:$H218)+SUM(SUMIFS(OFFSET(A1_集計2026,$A251,10,1,199),OFFSET(貼付け_2026実績,4,9,1,199),{"横浜*","川崎*","県域*","エネルギー管理指定工場等*"}))</f>
        <v>0</v>
      </c>
      <c r="O251" s="2013">
        <f ca="1">SUMPRODUCT((0&amp;O171:O218)*$H171:$H218)+SUM(SUMIFS(OFFSET(A1_集計2027,$A251,10,1,199),OFFSET(貼付け_2027実績,4,9,1,199),{"横浜*","川崎*","県域*","エネルギー管理指定工場等*"}))</f>
        <v>0</v>
      </c>
      <c r="P251" s="2066">
        <f ca="1">SUMPRODUCT((0&amp;P171:P218)*$H171:$H218)+SUM(SUMIFS(OFFSET(A1_集計2024,$A251,10,1,199),OFFSET(貼付け_2024実績,4,9,1,199),{"横浜*","川崎*"}))</f>
        <v>0</v>
      </c>
      <c r="Q251" s="2066">
        <f ca="1">SUMPRODUCT((0&amp;Q171:Q218)*$H171:$H218)+SUM(SUMIFS(OFFSET(A1_集計2025,$A251,10,1,199),OFFSET(貼付け_2025実績,4,9,1,199),{"横浜*","川崎*"}))</f>
        <v>0</v>
      </c>
      <c r="R251" s="2066">
        <f ca="1">SUMPRODUCT((0&amp;R171:R218)*$H171:$H218)+SUM(SUMIFS(OFFSET(A1_集計2026,$A251,10,1,199),OFFSET(貼付け_2026実績,4,9,1,199),{"横浜*","川崎*"}))</f>
        <v>0</v>
      </c>
      <c r="S251" s="2066">
        <f ca="1">SUMPRODUCT((0&amp;S171:S218)*$H171:$H218)+SUM(SUMIFS(OFFSET(A1_集計2027,$A251,10,1,199),OFFSET(貼付け_2027実績,4,9,1,199),{"横浜*","川崎*"}))</f>
        <v>0</v>
      </c>
      <c r="T251" s="2013">
        <f ca="1">SUMPRODUCT((0&amp;T171:T218)*$H171:$H218)+SUM(SUMIFS(OFFSET(A1_集計2024,$A251,10,1,199),OFFSET(貼付け_2024実績,4,9,1,199),{"県域*","エネルギー管理指定工場等*"}))</f>
        <v>0</v>
      </c>
      <c r="U251" s="2013">
        <f ca="1">SUMPRODUCT((0&amp;U171:U218)*$H171:$H218)+SUM(SUMIFS(OFFSET(A1_集計2025,$A251,10,1,199),OFFSET(貼付け_2025実績,4,9,1,199),{"県域*","エネルギー管理指定工場等*"}))</f>
        <v>0</v>
      </c>
      <c r="V251" s="2013">
        <f ca="1">SUMPRODUCT((0&amp;V171:V218)*$H171:$H218)+SUM(SUMIFS(OFFSET(A1_集計2026,$A251,10,1,199),OFFSET(貼付け_2026実績,4,9,1,199),{"県域*","エネルギー管理指定工場等*"}))</f>
        <v>0</v>
      </c>
      <c r="W251" s="2013">
        <f ca="1">SUMPRODUCT((0&amp;W171:W218)*$H171:$H218)+SUM(SUMIFS(OFFSET(A1_集計2027,$A251,10,1,199),OFFSET(貼付け_2027実績,4,9,1,199),{"県域*","エネルギー管理指定工場等*"}))</f>
        <v>0</v>
      </c>
      <c r="X251" s="2067">
        <f ca="1">SUMPRODUCT((0&amp;X171:X218)*$H171:$H218)+SUMIFS(OFFSET(A1_集計2024,$A251,10,1,199),OFFSET(貼付け_2024実績,4,9,1,199),"県域*")</f>
        <v>0</v>
      </c>
      <c r="Y251" s="2067">
        <f ca="1">SUMPRODUCT((0&amp;Y171:Y218)*$H171:$H218)+SUMIFS(OFFSET(A1_集計2025,$A251,10,1,199),OFFSET(貼付け_2025実績,4,9,1,199),"県域*")</f>
        <v>0</v>
      </c>
      <c r="Z251" s="2067">
        <f ca="1">SUMPRODUCT((0&amp;Z171:Z218)*$H171:$H218)+SUMIFS(OFFSET(A1_集計2026,$A251,10,1,199),OFFSET(貼付け_2026実績,4,9,1,199),"県域*")</f>
        <v>0</v>
      </c>
      <c r="AA251" s="2067">
        <f ca="1">SUMPRODUCT((0&amp;AA171:AA218)*$H171:$H218)+SUMIFS(OFFSET(A1_集計2027,$A251,10,1,199),OFFSET(貼付け_2027実績,4,9,1,199),"県域*")</f>
        <v>0</v>
      </c>
      <c r="AB251" s="2069"/>
      <c r="AC251" s="2069"/>
      <c r="AD251" s="2069"/>
      <c r="AE251" s="2069"/>
      <c r="AF251" s="2069"/>
      <c r="AG251" s="2069"/>
      <c r="AH251" s="2069"/>
      <c r="AI251" s="2069"/>
      <c r="AJ251" s="2069"/>
      <c r="AK251" s="2069"/>
      <c r="AL251" s="2069"/>
      <c r="AM251" s="2069"/>
      <c r="AN251" s="2069"/>
      <c r="AO251" s="2069"/>
      <c r="AP251" s="2069"/>
      <c r="AQ251" s="2069"/>
      <c r="AR251" s="2069"/>
      <c r="AS251" s="2069"/>
      <c r="AT251" s="2069"/>
      <c r="AU251" s="2069"/>
      <c r="AV251" s="2069"/>
      <c r="AW251" s="2069"/>
      <c r="AX251" s="2069"/>
      <c r="AY251" s="2069"/>
      <c r="AZ251" s="2069"/>
      <c r="BA251" s="2069"/>
      <c r="BB251" s="2069"/>
      <c r="BC251" s="2069"/>
      <c r="BD251" s="2069"/>
      <c r="BE251" s="2069"/>
      <c r="BF251" s="2069"/>
      <c r="BG251" s="2069"/>
      <c r="BH251" s="2069"/>
      <c r="BI251" s="2069"/>
      <c r="BJ251" s="2069"/>
      <c r="BK251" s="2069"/>
      <c r="BL251" s="2069"/>
      <c r="BM251" s="2069"/>
      <c r="BN251" s="2069"/>
      <c r="BO251" s="2069"/>
      <c r="BP251" s="1862"/>
    </row>
    <row r="252" spans="1:68" ht="20.100000000000001" customHeight="1">
      <c r="A252" s="1842"/>
      <c r="B252" s="1847"/>
      <c r="C252" s="1847"/>
      <c r="D252" s="1848" t="s">
        <v>987</v>
      </c>
      <c r="E252" s="1848"/>
      <c r="F252" s="1863" t="s">
        <v>1068</v>
      </c>
      <c r="G252" s="2010" t="s">
        <v>986</v>
      </c>
      <c r="H252" s="2065"/>
      <c r="I252" s="2065"/>
      <c r="J252" s="2065"/>
      <c r="K252" s="2065"/>
      <c r="L252" s="2131"/>
      <c r="M252" s="2131"/>
      <c r="N252" s="2131"/>
      <c r="O252" s="2131"/>
      <c r="P252" s="2131"/>
      <c r="Q252" s="2131"/>
      <c r="R252" s="2131"/>
      <c r="S252" s="2131"/>
      <c r="T252" s="2131"/>
      <c r="U252" s="2131"/>
      <c r="V252" s="2131"/>
      <c r="W252" s="2131"/>
      <c r="X252" s="2132"/>
      <c r="Y252" s="2132"/>
      <c r="Z252" s="2132"/>
      <c r="AA252" s="2132"/>
      <c r="AB252" s="2132"/>
      <c r="AC252" s="2132"/>
      <c r="AD252" s="2132"/>
      <c r="AE252" s="2132"/>
      <c r="AF252" s="2132"/>
      <c r="AG252" s="2132"/>
      <c r="AH252" s="2132"/>
      <c r="AI252" s="2132"/>
      <c r="AJ252" s="2132"/>
      <c r="AK252" s="2132"/>
      <c r="AL252" s="2132"/>
      <c r="AM252" s="2132"/>
      <c r="AN252" s="2132"/>
      <c r="AO252" s="2132"/>
      <c r="AP252" s="2132"/>
      <c r="AQ252" s="2132"/>
      <c r="AR252" s="2132"/>
      <c r="AS252" s="2132"/>
      <c r="AT252" s="2132"/>
      <c r="AU252" s="2132"/>
      <c r="AV252" s="2132"/>
      <c r="AW252" s="2132"/>
      <c r="AX252" s="2132"/>
      <c r="AY252" s="2132"/>
      <c r="AZ252" s="2132"/>
      <c r="BA252" s="2132"/>
      <c r="BB252" s="2132"/>
      <c r="BC252" s="2132"/>
      <c r="BD252" s="2132"/>
      <c r="BE252" s="2132"/>
      <c r="BF252" s="2132"/>
      <c r="BG252" s="2132"/>
      <c r="BH252" s="2132"/>
      <c r="BI252" s="2132"/>
      <c r="BJ252" s="2132"/>
      <c r="BK252" s="2132"/>
      <c r="BL252" s="2132"/>
      <c r="BM252" s="2132"/>
      <c r="BN252" s="2132"/>
      <c r="BO252" s="2132"/>
      <c r="BP252" s="1862"/>
    </row>
    <row r="253" spans="1:68" ht="20.100000000000001" customHeight="1">
      <c r="A253" s="1842"/>
      <c r="B253" s="1847"/>
      <c r="C253" s="1847"/>
      <c r="D253" s="1848" t="s">
        <v>989</v>
      </c>
      <c r="E253" s="1848" t="s">
        <v>1069</v>
      </c>
      <c r="F253" s="1863" t="s">
        <v>1070</v>
      </c>
      <c r="G253" s="2010" t="s">
        <v>986</v>
      </c>
      <c r="H253" s="2065"/>
      <c r="I253" s="2065"/>
      <c r="J253" s="2065"/>
      <c r="K253" s="2065"/>
      <c r="L253" s="2131"/>
      <c r="M253" s="2131"/>
      <c r="N253" s="2131"/>
      <c r="O253" s="2131"/>
      <c r="P253" s="2131"/>
      <c r="Q253" s="2131"/>
      <c r="R253" s="2131"/>
      <c r="S253" s="2131"/>
      <c r="T253" s="2131"/>
      <c r="U253" s="2131"/>
      <c r="V253" s="2131"/>
      <c r="W253" s="2131"/>
      <c r="X253" s="2132"/>
      <c r="Y253" s="2132"/>
      <c r="Z253" s="2132"/>
      <c r="AA253" s="2132"/>
      <c r="AB253" s="2132"/>
      <c r="AC253" s="2132"/>
      <c r="AD253" s="2132"/>
      <c r="AE253" s="2132"/>
      <c r="AF253" s="2132"/>
      <c r="AG253" s="2132"/>
      <c r="AH253" s="2132"/>
      <c r="AI253" s="2132"/>
      <c r="AJ253" s="2132"/>
      <c r="AK253" s="2132"/>
      <c r="AL253" s="2132"/>
      <c r="AM253" s="2132"/>
      <c r="AN253" s="2132"/>
      <c r="AO253" s="2132"/>
      <c r="AP253" s="2132"/>
      <c r="AQ253" s="2132"/>
      <c r="AR253" s="2132"/>
      <c r="AS253" s="2132"/>
      <c r="AT253" s="2132"/>
      <c r="AU253" s="2132"/>
      <c r="AV253" s="2132"/>
      <c r="AW253" s="2132"/>
      <c r="AX253" s="2132"/>
      <c r="AY253" s="2132"/>
      <c r="AZ253" s="2132"/>
      <c r="BA253" s="2132"/>
      <c r="BB253" s="2132"/>
      <c r="BC253" s="2132"/>
      <c r="BD253" s="2132"/>
      <c r="BE253" s="2132"/>
      <c r="BF253" s="2132"/>
      <c r="BG253" s="2132"/>
      <c r="BH253" s="2132"/>
      <c r="BI253" s="2132"/>
      <c r="BJ253" s="2132"/>
      <c r="BK253" s="2132"/>
      <c r="BL253" s="2132"/>
      <c r="BM253" s="2132"/>
      <c r="BN253" s="2132"/>
      <c r="BO253" s="2132"/>
      <c r="BP253" s="1862"/>
    </row>
    <row r="254" spans="1:68" ht="20.100000000000001" customHeight="1">
      <c r="A254" s="1842"/>
      <c r="B254" s="1847"/>
      <c r="C254" s="1847"/>
      <c r="D254" s="1848" t="s">
        <v>992</v>
      </c>
      <c r="E254" s="1848" t="s">
        <v>1071</v>
      </c>
      <c r="F254" s="1863" t="s">
        <v>1072</v>
      </c>
      <c r="G254" s="2010" t="s">
        <v>986</v>
      </c>
      <c r="H254" s="2065"/>
      <c r="I254" s="2065"/>
      <c r="J254" s="2065"/>
      <c r="K254" s="2065"/>
      <c r="L254" s="2013">
        <f t="shared" ref="L254:AA254" ca="1" si="110">L251</f>
        <v>0</v>
      </c>
      <c r="M254" s="2013">
        <f t="shared" ca="1" si="110"/>
        <v>0</v>
      </c>
      <c r="N254" s="2013">
        <f t="shared" ca="1" si="110"/>
        <v>0</v>
      </c>
      <c r="O254" s="2013">
        <f t="shared" ca="1" si="110"/>
        <v>0</v>
      </c>
      <c r="P254" s="2013">
        <f t="shared" ca="1" si="110"/>
        <v>0</v>
      </c>
      <c r="Q254" s="2013">
        <f t="shared" ca="1" si="110"/>
        <v>0</v>
      </c>
      <c r="R254" s="2013">
        <f t="shared" ca="1" si="110"/>
        <v>0</v>
      </c>
      <c r="S254" s="2013">
        <f t="shared" ca="1" si="110"/>
        <v>0</v>
      </c>
      <c r="T254" s="2013">
        <f t="shared" ca="1" si="110"/>
        <v>0</v>
      </c>
      <c r="U254" s="2013">
        <f t="shared" ca="1" si="110"/>
        <v>0</v>
      </c>
      <c r="V254" s="2013">
        <f t="shared" ca="1" si="110"/>
        <v>0</v>
      </c>
      <c r="W254" s="2013">
        <f t="shared" ca="1" si="110"/>
        <v>0</v>
      </c>
      <c r="X254" s="2014">
        <f t="shared" ca="1" si="110"/>
        <v>0</v>
      </c>
      <c r="Y254" s="2014">
        <f t="shared" ca="1" si="110"/>
        <v>0</v>
      </c>
      <c r="Z254" s="2014">
        <f t="shared" ca="1" si="110"/>
        <v>0</v>
      </c>
      <c r="AA254" s="2014">
        <f t="shared" ca="1" si="110"/>
        <v>0</v>
      </c>
      <c r="AB254" s="2073"/>
      <c r="AC254" s="2073"/>
      <c r="AD254" s="2073"/>
      <c r="AE254" s="2073"/>
      <c r="AF254" s="2073"/>
      <c r="AG254" s="2073"/>
      <c r="AH254" s="2073"/>
      <c r="AI254" s="2073"/>
      <c r="AJ254" s="2073"/>
      <c r="AK254" s="2073"/>
      <c r="AL254" s="2073"/>
      <c r="AM254" s="2073"/>
      <c r="AN254" s="2073"/>
      <c r="AO254" s="2073"/>
      <c r="AP254" s="2073"/>
      <c r="AQ254" s="2073"/>
      <c r="AR254" s="2073"/>
      <c r="AS254" s="2073"/>
      <c r="AT254" s="2073"/>
      <c r="AU254" s="2073"/>
      <c r="AV254" s="2073"/>
      <c r="AW254" s="2073"/>
      <c r="AX254" s="2073"/>
      <c r="AY254" s="2073"/>
      <c r="AZ254" s="2073"/>
      <c r="BA254" s="2073"/>
      <c r="BB254" s="2073"/>
      <c r="BC254" s="2073"/>
      <c r="BD254" s="2073"/>
      <c r="BE254" s="2073"/>
      <c r="BF254" s="2073"/>
      <c r="BG254" s="2073"/>
      <c r="BH254" s="2073"/>
      <c r="BI254" s="2073"/>
      <c r="BJ254" s="2073"/>
      <c r="BK254" s="2073"/>
      <c r="BL254" s="2073"/>
      <c r="BM254" s="2073"/>
      <c r="BN254" s="2073"/>
      <c r="BO254" s="2073"/>
      <c r="BP254" s="1862"/>
    </row>
    <row r="255" spans="1:68" ht="20.100000000000001" customHeight="1">
      <c r="A255" s="1842"/>
      <c r="B255" s="2070" t="s">
        <v>1073</v>
      </c>
      <c r="C255" s="2071"/>
      <c r="D255" s="1848"/>
      <c r="E255" s="1848" t="s">
        <v>1074</v>
      </c>
      <c r="F255" s="1863"/>
      <c r="G255" s="2010" t="s">
        <v>998</v>
      </c>
      <c r="H255" s="2065"/>
      <c r="I255" s="2065"/>
      <c r="J255" s="2065"/>
      <c r="K255" s="2065"/>
      <c r="L255" s="2013">
        <f t="shared" ref="L255:AA255" ca="1" si="111">L254*0.0258</f>
        <v>0</v>
      </c>
      <c r="M255" s="2013">
        <f t="shared" ca="1" si="111"/>
        <v>0</v>
      </c>
      <c r="N255" s="2013">
        <f t="shared" ca="1" si="111"/>
        <v>0</v>
      </c>
      <c r="O255" s="2013">
        <f t="shared" ca="1" si="111"/>
        <v>0</v>
      </c>
      <c r="P255" s="2013">
        <f t="shared" ca="1" si="111"/>
        <v>0</v>
      </c>
      <c r="Q255" s="2013">
        <f t="shared" ca="1" si="111"/>
        <v>0</v>
      </c>
      <c r="R255" s="2013">
        <f t="shared" ca="1" si="111"/>
        <v>0</v>
      </c>
      <c r="S255" s="2013">
        <f t="shared" ca="1" si="111"/>
        <v>0</v>
      </c>
      <c r="T255" s="2013">
        <f t="shared" ca="1" si="111"/>
        <v>0</v>
      </c>
      <c r="U255" s="2013">
        <f t="shared" ca="1" si="111"/>
        <v>0</v>
      </c>
      <c r="V255" s="2013">
        <f t="shared" ca="1" si="111"/>
        <v>0</v>
      </c>
      <c r="W255" s="2013">
        <f t="shared" ca="1" si="111"/>
        <v>0</v>
      </c>
      <c r="X255" s="2072">
        <f t="shared" ca="1" si="111"/>
        <v>0</v>
      </c>
      <c r="Y255" s="2072">
        <f t="shared" ca="1" si="111"/>
        <v>0</v>
      </c>
      <c r="Z255" s="2072">
        <f t="shared" ca="1" si="111"/>
        <v>0</v>
      </c>
      <c r="AA255" s="2072">
        <f t="shared" ca="1" si="111"/>
        <v>0</v>
      </c>
      <c r="AB255" s="2073"/>
      <c r="AC255" s="2073"/>
      <c r="AD255" s="2073"/>
      <c r="AE255" s="2073"/>
      <c r="AF255" s="2073"/>
      <c r="AG255" s="2073"/>
      <c r="AH255" s="2073"/>
      <c r="AI255" s="2073"/>
      <c r="AJ255" s="2073"/>
      <c r="AK255" s="2073"/>
      <c r="AL255" s="2073"/>
      <c r="AM255" s="2073"/>
      <c r="AN255" s="2073"/>
      <c r="AO255" s="2073"/>
      <c r="AP255" s="2073"/>
      <c r="AQ255" s="2073"/>
      <c r="AR255" s="2073"/>
      <c r="AS255" s="2073"/>
      <c r="AT255" s="2073"/>
      <c r="AU255" s="2073"/>
      <c r="AV255" s="2073"/>
      <c r="AW255" s="2073"/>
      <c r="AX255" s="2073"/>
      <c r="AY255" s="2073"/>
      <c r="AZ255" s="2073"/>
      <c r="BA255" s="2073"/>
      <c r="BB255" s="2073"/>
      <c r="BC255" s="2073"/>
      <c r="BD255" s="2073"/>
      <c r="BE255" s="2073"/>
      <c r="BF255" s="2073"/>
      <c r="BG255" s="2073"/>
      <c r="BH255" s="2073"/>
      <c r="BI255" s="2073"/>
      <c r="BJ255" s="2073"/>
      <c r="BK255" s="2073"/>
      <c r="BL255" s="2073"/>
      <c r="BM255" s="2073"/>
      <c r="BN255" s="2073"/>
      <c r="BO255" s="2073"/>
      <c r="BP255" s="1862"/>
    </row>
    <row r="256" spans="1:68" ht="20.100000000000001" customHeight="1">
      <c r="A256" s="1838">
        <v>3</v>
      </c>
      <c r="B256" s="1838" t="s">
        <v>1075</v>
      </c>
      <c r="C256" s="1839"/>
      <c r="D256" s="1839"/>
      <c r="E256" s="1839"/>
      <c r="F256" s="1839"/>
      <c r="G256" s="1840"/>
      <c r="H256" s="2008"/>
      <c r="I256" s="2008"/>
      <c r="J256" s="2008"/>
      <c r="K256" s="2008"/>
      <c r="L256" s="2133"/>
      <c r="M256" s="2133"/>
      <c r="N256" s="2133"/>
      <c r="O256" s="2133"/>
      <c r="P256" s="2133"/>
      <c r="Q256" s="2133"/>
      <c r="R256" s="2133"/>
      <c r="S256" s="2133"/>
      <c r="T256" s="2133"/>
      <c r="U256" s="2133"/>
      <c r="V256" s="2133"/>
      <c r="W256" s="2133"/>
      <c r="X256" s="1949"/>
      <c r="Y256" s="1949"/>
      <c r="Z256" s="1949"/>
      <c r="AA256" s="1949"/>
      <c r="AB256" s="1841"/>
      <c r="AC256" s="1841"/>
      <c r="AD256" s="1841"/>
      <c r="AE256" s="1841"/>
      <c r="AF256" s="1841"/>
      <c r="AG256" s="1841"/>
      <c r="AH256" s="1841"/>
      <c r="AI256" s="1841"/>
      <c r="AJ256" s="1841"/>
      <c r="AK256" s="1841"/>
      <c r="AL256" s="1841"/>
      <c r="AM256" s="1841"/>
      <c r="AN256" s="1841"/>
      <c r="AO256" s="1841"/>
      <c r="AP256" s="1841"/>
      <c r="AQ256" s="1841"/>
      <c r="AR256" s="1841"/>
      <c r="AS256" s="1841"/>
      <c r="AT256" s="1841"/>
      <c r="AU256" s="1841"/>
      <c r="AV256" s="1841"/>
      <c r="AW256" s="1841"/>
      <c r="AX256" s="1841"/>
      <c r="AY256" s="1841"/>
      <c r="AZ256" s="1841"/>
      <c r="BA256" s="1841"/>
      <c r="BB256" s="1841"/>
      <c r="BC256" s="1841"/>
      <c r="BD256" s="1841"/>
      <c r="BE256" s="1841"/>
      <c r="BF256" s="1841"/>
      <c r="BG256" s="1841"/>
      <c r="BH256" s="1841"/>
      <c r="BI256" s="1841"/>
      <c r="BJ256" s="1841"/>
      <c r="BK256" s="1841"/>
      <c r="BL256" s="1841"/>
      <c r="BM256" s="1841"/>
      <c r="BN256" s="1841"/>
      <c r="BO256" s="1841"/>
    </row>
    <row r="257" spans="1:67" ht="20.100000000000001" customHeight="1">
      <c r="A257" s="1842"/>
      <c r="B257" s="1838" t="str">
        <f>B170</f>
        <v>工場等に関する削減計画策定者</v>
      </c>
      <c r="C257" s="1839"/>
      <c r="D257" s="1839"/>
      <c r="E257" s="1839"/>
      <c r="F257" s="1839"/>
      <c r="G257" s="1840"/>
      <c r="H257" s="2008"/>
      <c r="I257" s="2008"/>
      <c r="J257" s="2008"/>
      <c r="K257" s="2008"/>
      <c r="L257" s="2008"/>
      <c r="M257" s="2008"/>
      <c r="N257" s="2008"/>
      <c r="O257" s="2008"/>
      <c r="P257" s="2008"/>
      <c r="Q257" s="2008"/>
      <c r="R257" s="2008"/>
      <c r="S257" s="2008"/>
      <c r="T257" s="2008"/>
      <c r="U257" s="2008"/>
      <c r="V257" s="2008"/>
      <c r="W257" s="2008"/>
      <c r="X257" s="1841"/>
      <c r="Y257" s="1841"/>
      <c r="Z257" s="1841"/>
      <c r="AA257" s="1841"/>
      <c r="AB257" s="1841"/>
      <c r="AC257" s="1841"/>
      <c r="AD257" s="1841"/>
      <c r="AE257" s="1841"/>
      <c r="AF257" s="1841"/>
      <c r="AG257" s="1841"/>
      <c r="AH257" s="1841"/>
      <c r="AI257" s="1841"/>
      <c r="AJ257" s="1841"/>
      <c r="AK257" s="1841"/>
      <c r="AL257" s="1841"/>
      <c r="AM257" s="1841"/>
      <c r="AN257" s="1841"/>
      <c r="AO257" s="1841"/>
      <c r="AP257" s="1841"/>
      <c r="AQ257" s="1841"/>
      <c r="AR257" s="1841"/>
      <c r="AS257" s="1841"/>
      <c r="AT257" s="1841"/>
      <c r="AU257" s="1841"/>
      <c r="AV257" s="1841"/>
      <c r="AW257" s="1841"/>
      <c r="AX257" s="1841"/>
      <c r="AY257" s="1841"/>
      <c r="AZ257" s="1841"/>
      <c r="BA257" s="1841"/>
      <c r="BB257" s="1841"/>
      <c r="BC257" s="1841"/>
      <c r="BD257" s="1841"/>
      <c r="BE257" s="1841"/>
      <c r="BF257" s="1841"/>
      <c r="BG257" s="1841"/>
      <c r="BH257" s="1841"/>
      <c r="BI257" s="1841"/>
      <c r="BJ257" s="1841"/>
      <c r="BK257" s="1841"/>
      <c r="BL257" s="1841"/>
      <c r="BM257" s="1841"/>
      <c r="BN257" s="1841"/>
      <c r="BO257" s="1841"/>
    </row>
    <row r="258" spans="1:67" ht="20.100000000000001" customHeight="1">
      <c r="A258" s="1845">
        <v>8</v>
      </c>
      <c r="B258" s="1846" t="s">
        <v>918</v>
      </c>
      <c r="C258" s="1847" t="s">
        <v>919</v>
      </c>
      <c r="D258" s="1848" t="s">
        <v>539</v>
      </c>
      <c r="E258" s="1848"/>
      <c r="F258" s="1849"/>
      <c r="G258" s="2010" t="s">
        <v>540</v>
      </c>
      <c r="H258" s="2011">
        <f t="shared" ref="H258:K277" ca="1" si="112">H9</f>
        <v>38.299999999999997</v>
      </c>
      <c r="I258" s="2011">
        <f t="shared" ca="1" si="112"/>
        <v>38.299999999999997</v>
      </c>
      <c r="J258" s="2011">
        <f t="shared" ca="1" si="112"/>
        <v>38.299999999999997</v>
      </c>
      <c r="K258" s="2011">
        <f t="shared" ca="1" si="112"/>
        <v>38.299999999999997</v>
      </c>
      <c r="L258" s="2012">
        <f t="shared" ref="L258:L289" ca="1" si="113">P258+T258</f>
        <v>0</v>
      </c>
      <c r="M258" s="2012">
        <f t="shared" ref="M258:M289" ca="1" si="114">Q258+U258</f>
        <v>0</v>
      </c>
      <c r="N258" s="2012">
        <f t="shared" ref="N258:N289" ca="1" si="115">R258+V258</f>
        <v>0</v>
      </c>
      <c r="O258" s="2012">
        <f t="shared" ref="O258:O289" ca="1" si="116">S258+W258</f>
        <v>0</v>
      </c>
      <c r="P258" s="2013">
        <f ca="1">SUM(SUMIFS(OFFSET(貼付け_2024実績,$A258,11,1,199),OFFSET(貼付け_2024実績,4,9,1,199),{"横浜*","川崎*"}))</f>
        <v>0</v>
      </c>
      <c r="Q258" s="2013">
        <f ca="1">SUM(SUMIFS(OFFSET(貼付け_2025実績,$A258,11,1,199),OFFSET(貼付け_2025実績,4,9,1,199),{"横浜*","川崎*"}))</f>
        <v>0</v>
      </c>
      <c r="R258" s="2013">
        <f ca="1">SUM(SUMIFS(OFFSET(貼付け_2026実績,$A258,11,1,199),OFFSET(貼付け_2026実績,4,9,1,199),{"横浜*","川崎*"}))</f>
        <v>0</v>
      </c>
      <c r="S258" s="2013">
        <f ca="1">SUM(SUMIFS(OFFSET(貼付け_2027実績,$A258,11,1,199),OFFSET(貼付け_2027実績,4,9,1,199),{"横浜*","川崎*"}))</f>
        <v>0</v>
      </c>
      <c r="T258" s="2012">
        <f t="shared" ref="T258:T289" ca="1" si="117">SUM(X258,AB258,AF258,AJ258,AN258,AR258,AV258,AZ258,BD258,BH258,BL258)</f>
        <v>0</v>
      </c>
      <c r="U258" s="2012">
        <f t="shared" ref="U258:U289" ca="1" si="118">SUM(Y258,AC258,AG258,AK258,AO258,AS258,AW258,BA258,BE258,BI258,BM258)</f>
        <v>0</v>
      </c>
      <c r="V258" s="2012">
        <f t="shared" ref="V258:V289" ca="1" si="119">SUM(Z258,AD258,AH258,AL258,AP258,AT258,AX258,BB258,BF258,BJ258,BN258)</f>
        <v>0</v>
      </c>
      <c r="W258" s="2012">
        <f t="shared" ref="W258:W289" ca="1" si="120">SUM(AA258,AE258,AI258,AM258,AQ258,AU258,AY258,BC258,BG258,BK258,BO258)</f>
        <v>0</v>
      </c>
      <c r="X258" s="2014">
        <f t="shared" ref="X258:X289" ca="1" si="121">SUMIFS(OFFSET(貼付け_2024実績,$A258,11,1,199),OFFSET(貼付け_2024実績,4,9,1,199),"県域*")</f>
        <v>0</v>
      </c>
      <c r="Y258" s="2014">
        <f t="shared" ref="Y258:Y289" ca="1" si="122">SUMIFS(OFFSET(貼付け_2025実績,$A258,11,1,199),OFFSET(貼付け_2025実績,4,9,1,199),"県域*")</f>
        <v>0</v>
      </c>
      <c r="Z258" s="2014">
        <f t="shared" ref="Z258:Z289" ca="1" si="123">SUMIFS(OFFSET(貼付け_2026実績,$A258,11,1,199),OFFSET(貼付け_2026実績,4,9,1,199),"県域*")</f>
        <v>0</v>
      </c>
      <c r="AA258" s="2014">
        <f t="shared" ref="AA258:AA289" ca="1" si="124">SUMIFS(OFFSET(貼付け_2027実績,$A258,11,1,199),OFFSET(貼付け_2027実績,4,9,1,199),"県域*")</f>
        <v>0</v>
      </c>
      <c r="AB258" s="2014"/>
      <c r="AC258" s="2014"/>
      <c r="AD258" s="2014"/>
      <c r="AE258" s="2014"/>
      <c r="AF258" s="2014"/>
      <c r="AG258" s="2014"/>
      <c r="AH258" s="2014"/>
      <c r="AI258" s="2014"/>
      <c r="AJ258" s="2014"/>
      <c r="AK258" s="2014"/>
      <c r="AL258" s="2014"/>
      <c r="AM258" s="2014"/>
      <c r="AN258" s="2014"/>
      <c r="AO258" s="2014"/>
      <c r="AP258" s="2014"/>
      <c r="AQ258" s="2014"/>
      <c r="AR258" s="2014"/>
      <c r="AS258" s="2014"/>
      <c r="AT258" s="2014"/>
      <c r="AU258" s="2014"/>
      <c r="AV258" s="2014"/>
      <c r="AW258" s="2014"/>
      <c r="AX258" s="2014"/>
      <c r="AY258" s="2014"/>
      <c r="AZ258" s="2014"/>
      <c r="BA258" s="2014"/>
      <c r="BB258" s="2014"/>
      <c r="BC258" s="2014"/>
      <c r="BD258" s="2014"/>
      <c r="BE258" s="2014"/>
      <c r="BF258" s="2014"/>
      <c r="BG258" s="2014"/>
      <c r="BH258" s="2014"/>
      <c r="BI258" s="2014"/>
      <c r="BJ258" s="2014"/>
      <c r="BK258" s="2014"/>
      <c r="BL258" s="2014"/>
      <c r="BM258" s="2014"/>
      <c r="BN258" s="2014"/>
      <c r="BO258" s="2014"/>
    </row>
    <row r="259" spans="1:67" ht="20.100000000000001" customHeight="1">
      <c r="A259" s="1845">
        <v>9</v>
      </c>
      <c r="B259" s="1854"/>
      <c r="C259" s="1847"/>
      <c r="D259" s="1848" t="s">
        <v>920</v>
      </c>
      <c r="E259" s="1848"/>
      <c r="F259" s="1849"/>
      <c r="G259" s="2010" t="s">
        <v>540</v>
      </c>
      <c r="H259" s="2011">
        <f t="shared" ca="1" si="112"/>
        <v>34.799999999999997</v>
      </c>
      <c r="I259" s="2011">
        <f t="shared" ca="1" si="112"/>
        <v>34.799999999999997</v>
      </c>
      <c r="J259" s="2011">
        <f t="shared" ca="1" si="112"/>
        <v>34.799999999999997</v>
      </c>
      <c r="K259" s="2011">
        <f t="shared" ca="1" si="112"/>
        <v>34.799999999999997</v>
      </c>
      <c r="L259" s="2012">
        <f t="shared" ca="1" si="113"/>
        <v>0</v>
      </c>
      <c r="M259" s="2012">
        <f t="shared" ca="1" si="114"/>
        <v>0</v>
      </c>
      <c r="N259" s="2012">
        <f t="shared" ca="1" si="115"/>
        <v>0</v>
      </c>
      <c r="O259" s="2012">
        <f t="shared" ca="1" si="116"/>
        <v>0</v>
      </c>
      <c r="P259" s="2013">
        <f ca="1">SUM(SUMIFS(OFFSET(貼付け_2024実績,$A259,11,1,199),OFFSET(貼付け_2024実績,4,9,1,199),{"横浜*","川崎*"}))</f>
        <v>0</v>
      </c>
      <c r="Q259" s="2013">
        <f ca="1">SUM(SUMIFS(OFFSET(貼付け_2025実績,$A259,11,1,199),OFFSET(貼付け_2025実績,4,9,1,199),{"横浜*","川崎*"}))</f>
        <v>0</v>
      </c>
      <c r="R259" s="2013">
        <f ca="1">SUM(SUMIFS(OFFSET(貼付け_2026実績,$A259,11,1,199),OFFSET(貼付け_2026実績,4,9,1,199),{"横浜*","川崎*"}))</f>
        <v>0</v>
      </c>
      <c r="S259" s="2013">
        <f ca="1">SUM(SUMIFS(OFFSET(貼付け_2027実績,$A259,11,1,199),OFFSET(貼付け_2027実績,4,9,1,199),{"横浜*","川崎*"}))</f>
        <v>0</v>
      </c>
      <c r="T259" s="2012">
        <f t="shared" ca="1" si="117"/>
        <v>0</v>
      </c>
      <c r="U259" s="2012">
        <f t="shared" ca="1" si="118"/>
        <v>0</v>
      </c>
      <c r="V259" s="2012">
        <f t="shared" ca="1" si="119"/>
        <v>0</v>
      </c>
      <c r="W259" s="2012">
        <f t="shared" ca="1" si="120"/>
        <v>0</v>
      </c>
      <c r="X259" s="2014">
        <f t="shared" ca="1" si="121"/>
        <v>0</v>
      </c>
      <c r="Y259" s="2014">
        <f t="shared" ca="1" si="122"/>
        <v>0</v>
      </c>
      <c r="Z259" s="2014">
        <f t="shared" ca="1" si="123"/>
        <v>0</v>
      </c>
      <c r="AA259" s="2014">
        <f t="shared" ca="1" si="124"/>
        <v>0</v>
      </c>
      <c r="AB259" s="2014"/>
      <c r="AC259" s="2014"/>
      <c r="AD259" s="2014"/>
      <c r="AE259" s="2014"/>
      <c r="AF259" s="2014"/>
      <c r="AG259" s="2014"/>
      <c r="AH259" s="2014"/>
      <c r="AI259" s="2014"/>
      <c r="AJ259" s="2014"/>
      <c r="AK259" s="2014"/>
      <c r="AL259" s="2014"/>
      <c r="AM259" s="2014"/>
      <c r="AN259" s="2014"/>
      <c r="AO259" s="2014"/>
      <c r="AP259" s="2014"/>
      <c r="AQ259" s="2014"/>
      <c r="AR259" s="2014"/>
      <c r="AS259" s="2014"/>
      <c r="AT259" s="2014"/>
      <c r="AU259" s="2014"/>
      <c r="AV259" s="2014"/>
      <c r="AW259" s="2014"/>
      <c r="AX259" s="2014"/>
      <c r="AY259" s="2014"/>
      <c r="AZ259" s="2014"/>
      <c r="BA259" s="2014"/>
      <c r="BB259" s="2014"/>
      <c r="BC259" s="2014"/>
      <c r="BD259" s="2014"/>
      <c r="BE259" s="2014"/>
      <c r="BF259" s="2014"/>
      <c r="BG259" s="2014"/>
      <c r="BH259" s="2014"/>
      <c r="BI259" s="2014"/>
      <c r="BJ259" s="2014"/>
      <c r="BK259" s="2014"/>
      <c r="BL259" s="2014"/>
      <c r="BM259" s="2014"/>
      <c r="BN259" s="2014"/>
      <c r="BO259" s="2014"/>
    </row>
    <row r="260" spans="1:67" ht="20.100000000000001" customHeight="1">
      <c r="A260" s="1845">
        <v>10</v>
      </c>
      <c r="B260" s="1855"/>
      <c r="C260" s="1847"/>
      <c r="D260" s="1848" t="s">
        <v>921</v>
      </c>
      <c r="E260" s="1848"/>
      <c r="F260" s="1849"/>
      <c r="G260" s="2010" t="s">
        <v>540</v>
      </c>
      <c r="H260" s="2011">
        <f t="shared" ca="1" si="112"/>
        <v>33.4</v>
      </c>
      <c r="I260" s="2011">
        <f t="shared" ca="1" si="112"/>
        <v>33.4</v>
      </c>
      <c r="J260" s="2011">
        <f t="shared" ca="1" si="112"/>
        <v>33.4</v>
      </c>
      <c r="K260" s="2011">
        <f t="shared" ca="1" si="112"/>
        <v>33.4</v>
      </c>
      <c r="L260" s="2012">
        <f t="shared" ca="1" si="113"/>
        <v>0</v>
      </c>
      <c r="M260" s="2012">
        <f t="shared" ca="1" si="114"/>
        <v>0</v>
      </c>
      <c r="N260" s="2012">
        <f t="shared" ca="1" si="115"/>
        <v>0</v>
      </c>
      <c r="O260" s="2012">
        <f t="shared" ca="1" si="116"/>
        <v>0</v>
      </c>
      <c r="P260" s="2013">
        <f ca="1">SUM(SUMIFS(OFFSET(貼付け_2024実績,$A260,11,1,199),OFFSET(貼付け_2024実績,4,9,1,199),{"横浜*","川崎*"}))</f>
        <v>0</v>
      </c>
      <c r="Q260" s="2013">
        <f ca="1">SUM(SUMIFS(OFFSET(貼付け_2025実績,$A260,11,1,199),OFFSET(貼付け_2025実績,4,9,1,199),{"横浜*","川崎*"}))</f>
        <v>0</v>
      </c>
      <c r="R260" s="2013">
        <f ca="1">SUM(SUMIFS(OFFSET(貼付け_2026実績,$A260,11,1,199),OFFSET(貼付け_2026実績,4,9,1,199),{"横浜*","川崎*"}))</f>
        <v>0</v>
      </c>
      <c r="S260" s="2013">
        <f ca="1">SUM(SUMIFS(OFFSET(貼付け_2027実績,$A260,11,1,199),OFFSET(貼付け_2027実績,4,9,1,199),{"横浜*","川崎*"}))</f>
        <v>0</v>
      </c>
      <c r="T260" s="2012">
        <f t="shared" ca="1" si="117"/>
        <v>0</v>
      </c>
      <c r="U260" s="2012">
        <f t="shared" ca="1" si="118"/>
        <v>0</v>
      </c>
      <c r="V260" s="2012">
        <f t="shared" ca="1" si="119"/>
        <v>0</v>
      </c>
      <c r="W260" s="2012">
        <f t="shared" ca="1" si="120"/>
        <v>0</v>
      </c>
      <c r="X260" s="2014">
        <f t="shared" ca="1" si="121"/>
        <v>0</v>
      </c>
      <c r="Y260" s="2014">
        <f t="shared" ca="1" si="122"/>
        <v>0</v>
      </c>
      <c r="Z260" s="2014">
        <f t="shared" ca="1" si="123"/>
        <v>0</v>
      </c>
      <c r="AA260" s="2014">
        <f t="shared" ca="1" si="124"/>
        <v>0</v>
      </c>
      <c r="AB260" s="2014"/>
      <c r="AC260" s="2014"/>
      <c r="AD260" s="2014"/>
      <c r="AE260" s="2014"/>
      <c r="AF260" s="2014"/>
      <c r="AG260" s="2014"/>
      <c r="AH260" s="2014"/>
      <c r="AI260" s="2014"/>
      <c r="AJ260" s="2014"/>
      <c r="AK260" s="2014"/>
      <c r="AL260" s="2014"/>
      <c r="AM260" s="2014"/>
      <c r="AN260" s="2014"/>
      <c r="AO260" s="2014"/>
      <c r="AP260" s="2014"/>
      <c r="AQ260" s="2014"/>
      <c r="AR260" s="2014"/>
      <c r="AS260" s="2014"/>
      <c r="AT260" s="2014"/>
      <c r="AU260" s="2014"/>
      <c r="AV260" s="2014"/>
      <c r="AW260" s="2014"/>
      <c r="AX260" s="2014"/>
      <c r="AY260" s="2014"/>
      <c r="AZ260" s="2014"/>
      <c r="BA260" s="2014"/>
      <c r="BB260" s="2014"/>
      <c r="BC260" s="2014"/>
      <c r="BD260" s="2014"/>
      <c r="BE260" s="2014"/>
      <c r="BF260" s="2014"/>
      <c r="BG260" s="2014"/>
      <c r="BH260" s="2014"/>
      <c r="BI260" s="2014"/>
      <c r="BJ260" s="2014"/>
      <c r="BK260" s="2014"/>
      <c r="BL260" s="2014"/>
      <c r="BM260" s="2014"/>
      <c r="BN260" s="2014"/>
      <c r="BO260" s="2014"/>
    </row>
    <row r="261" spans="1:67" ht="20.100000000000001" customHeight="1">
      <c r="A261" s="1845">
        <v>11</v>
      </c>
      <c r="B261" s="1854"/>
      <c r="C261" s="1847"/>
      <c r="D261" s="1848" t="s">
        <v>542</v>
      </c>
      <c r="E261" s="1848"/>
      <c r="F261" s="1849"/>
      <c r="G261" s="2010" t="s">
        <v>540</v>
      </c>
      <c r="H261" s="2011">
        <f t="shared" ca="1" si="112"/>
        <v>33.299999999999997</v>
      </c>
      <c r="I261" s="2011">
        <f t="shared" ca="1" si="112"/>
        <v>33.299999999999997</v>
      </c>
      <c r="J261" s="2011">
        <f t="shared" ca="1" si="112"/>
        <v>33.299999999999997</v>
      </c>
      <c r="K261" s="2011">
        <f t="shared" ca="1" si="112"/>
        <v>33.299999999999997</v>
      </c>
      <c r="L261" s="2012">
        <f t="shared" ca="1" si="113"/>
        <v>0</v>
      </c>
      <c r="M261" s="2012">
        <f t="shared" ca="1" si="114"/>
        <v>0</v>
      </c>
      <c r="N261" s="2012">
        <f t="shared" ca="1" si="115"/>
        <v>0</v>
      </c>
      <c r="O261" s="2012">
        <f t="shared" ca="1" si="116"/>
        <v>0</v>
      </c>
      <c r="P261" s="2013">
        <f ca="1">SUM(SUMIFS(OFFSET(貼付け_2024実績,$A261,11,1,199),OFFSET(貼付け_2024実績,4,9,1,199),{"横浜*","川崎*"}))</f>
        <v>0</v>
      </c>
      <c r="Q261" s="2013">
        <f ca="1">SUM(SUMIFS(OFFSET(貼付け_2025実績,$A261,11,1,199),OFFSET(貼付け_2025実績,4,9,1,199),{"横浜*","川崎*"}))</f>
        <v>0</v>
      </c>
      <c r="R261" s="2013">
        <f ca="1">SUM(SUMIFS(OFFSET(貼付け_2026実績,$A261,11,1,199),OFFSET(貼付け_2026実績,4,9,1,199),{"横浜*","川崎*"}))</f>
        <v>0</v>
      </c>
      <c r="S261" s="2013">
        <f ca="1">SUM(SUMIFS(OFFSET(貼付け_2027実績,$A261,11,1,199),OFFSET(貼付け_2027実績,4,9,1,199),{"横浜*","川崎*"}))</f>
        <v>0</v>
      </c>
      <c r="T261" s="2012">
        <f t="shared" ca="1" si="117"/>
        <v>0</v>
      </c>
      <c r="U261" s="2012">
        <f t="shared" ca="1" si="118"/>
        <v>0</v>
      </c>
      <c r="V261" s="2012">
        <f t="shared" ca="1" si="119"/>
        <v>0</v>
      </c>
      <c r="W261" s="2012">
        <f t="shared" ca="1" si="120"/>
        <v>0</v>
      </c>
      <c r="X261" s="2014">
        <f t="shared" ca="1" si="121"/>
        <v>0</v>
      </c>
      <c r="Y261" s="2014">
        <f t="shared" ca="1" si="122"/>
        <v>0</v>
      </c>
      <c r="Z261" s="2014">
        <f t="shared" ca="1" si="123"/>
        <v>0</v>
      </c>
      <c r="AA261" s="2014">
        <f t="shared" ca="1" si="124"/>
        <v>0</v>
      </c>
      <c r="AB261" s="2014"/>
      <c r="AC261" s="2014"/>
      <c r="AD261" s="2014"/>
      <c r="AE261" s="2014"/>
      <c r="AF261" s="2014"/>
      <c r="AG261" s="2014"/>
      <c r="AH261" s="2014"/>
      <c r="AI261" s="2014"/>
      <c r="AJ261" s="2014"/>
      <c r="AK261" s="2014"/>
      <c r="AL261" s="2014"/>
      <c r="AM261" s="2014"/>
      <c r="AN261" s="2014"/>
      <c r="AO261" s="2014"/>
      <c r="AP261" s="2014"/>
      <c r="AQ261" s="2014"/>
      <c r="AR261" s="2014"/>
      <c r="AS261" s="2014"/>
      <c r="AT261" s="2014"/>
      <c r="AU261" s="2014"/>
      <c r="AV261" s="2014"/>
      <c r="AW261" s="2014"/>
      <c r="AX261" s="2014"/>
      <c r="AY261" s="2014"/>
      <c r="AZ261" s="2014"/>
      <c r="BA261" s="2014"/>
      <c r="BB261" s="2014"/>
      <c r="BC261" s="2014"/>
      <c r="BD261" s="2014"/>
      <c r="BE261" s="2014"/>
      <c r="BF261" s="2014"/>
      <c r="BG261" s="2014"/>
      <c r="BH261" s="2014"/>
      <c r="BI261" s="2014"/>
      <c r="BJ261" s="2014"/>
      <c r="BK261" s="2014"/>
      <c r="BL261" s="2014"/>
      <c r="BM261" s="2014"/>
      <c r="BN261" s="2014"/>
      <c r="BO261" s="2014"/>
    </row>
    <row r="262" spans="1:67" ht="20.100000000000001" customHeight="1">
      <c r="A262" s="1845">
        <v>12</v>
      </c>
      <c r="B262" s="1854"/>
      <c r="C262" s="1847"/>
      <c r="D262" s="1848" t="s">
        <v>922</v>
      </c>
      <c r="E262" s="1848"/>
      <c r="F262" s="1849"/>
      <c r="G262" s="2010" t="s">
        <v>540</v>
      </c>
      <c r="H262" s="2011">
        <f t="shared" ca="1" si="112"/>
        <v>36.299999999999997</v>
      </c>
      <c r="I262" s="2011">
        <f t="shared" ca="1" si="112"/>
        <v>36.299999999999997</v>
      </c>
      <c r="J262" s="2011">
        <f t="shared" ca="1" si="112"/>
        <v>36.299999999999997</v>
      </c>
      <c r="K262" s="2011">
        <f t="shared" ca="1" si="112"/>
        <v>36.299999999999997</v>
      </c>
      <c r="L262" s="2012">
        <f t="shared" ca="1" si="113"/>
        <v>0</v>
      </c>
      <c r="M262" s="2012">
        <f t="shared" ca="1" si="114"/>
        <v>0</v>
      </c>
      <c r="N262" s="2012">
        <f t="shared" ca="1" si="115"/>
        <v>0</v>
      </c>
      <c r="O262" s="2012">
        <f t="shared" ca="1" si="116"/>
        <v>0</v>
      </c>
      <c r="P262" s="2013">
        <f ca="1">SUM(SUMIFS(OFFSET(貼付け_2024実績,$A262,11,1,199),OFFSET(貼付け_2024実績,4,9,1,199),{"横浜*","川崎*"}))</f>
        <v>0</v>
      </c>
      <c r="Q262" s="2013">
        <f ca="1">SUM(SUMIFS(OFFSET(貼付け_2025実績,$A262,11,1,199),OFFSET(貼付け_2025実績,4,9,1,199),{"横浜*","川崎*"}))</f>
        <v>0</v>
      </c>
      <c r="R262" s="2013">
        <f ca="1">SUM(SUMIFS(OFFSET(貼付け_2026実績,$A262,11,1,199),OFFSET(貼付け_2026実績,4,9,1,199),{"横浜*","川崎*"}))</f>
        <v>0</v>
      </c>
      <c r="S262" s="2013">
        <f ca="1">SUM(SUMIFS(OFFSET(貼付け_2027実績,$A262,11,1,199),OFFSET(貼付け_2027実績,4,9,1,199),{"横浜*","川崎*"}))</f>
        <v>0</v>
      </c>
      <c r="T262" s="2012">
        <f t="shared" ca="1" si="117"/>
        <v>0</v>
      </c>
      <c r="U262" s="2012">
        <f t="shared" ca="1" si="118"/>
        <v>0</v>
      </c>
      <c r="V262" s="2012">
        <f t="shared" ca="1" si="119"/>
        <v>0</v>
      </c>
      <c r="W262" s="2012">
        <f t="shared" ca="1" si="120"/>
        <v>0</v>
      </c>
      <c r="X262" s="2014">
        <f t="shared" ca="1" si="121"/>
        <v>0</v>
      </c>
      <c r="Y262" s="2014">
        <f t="shared" ca="1" si="122"/>
        <v>0</v>
      </c>
      <c r="Z262" s="2014">
        <f t="shared" ca="1" si="123"/>
        <v>0</v>
      </c>
      <c r="AA262" s="2014">
        <f t="shared" ca="1" si="124"/>
        <v>0</v>
      </c>
      <c r="AB262" s="2014"/>
      <c r="AC262" s="2014"/>
      <c r="AD262" s="2014"/>
      <c r="AE262" s="2014"/>
      <c r="AF262" s="2014"/>
      <c r="AG262" s="2014"/>
      <c r="AH262" s="2014"/>
      <c r="AI262" s="2014"/>
      <c r="AJ262" s="2014"/>
      <c r="AK262" s="2014"/>
      <c r="AL262" s="2014"/>
      <c r="AM262" s="2014"/>
      <c r="AN262" s="2014"/>
      <c r="AO262" s="2014"/>
      <c r="AP262" s="2014"/>
      <c r="AQ262" s="2014"/>
      <c r="AR262" s="2014"/>
      <c r="AS262" s="2014"/>
      <c r="AT262" s="2014"/>
      <c r="AU262" s="2014"/>
      <c r="AV262" s="2014"/>
      <c r="AW262" s="2014"/>
      <c r="AX262" s="2014"/>
      <c r="AY262" s="2014"/>
      <c r="AZ262" s="2014"/>
      <c r="BA262" s="2014"/>
      <c r="BB262" s="2014"/>
      <c r="BC262" s="2014"/>
      <c r="BD262" s="2014"/>
      <c r="BE262" s="2014"/>
      <c r="BF262" s="2014"/>
      <c r="BG262" s="2014"/>
      <c r="BH262" s="2014"/>
      <c r="BI262" s="2014"/>
      <c r="BJ262" s="2014"/>
      <c r="BK262" s="2014"/>
      <c r="BL262" s="2014"/>
      <c r="BM262" s="2014"/>
      <c r="BN262" s="2014"/>
      <c r="BO262" s="2014"/>
    </row>
    <row r="263" spans="1:67" ht="20.100000000000001" customHeight="1">
      <c r="A263" s="1845">
        <v>13</v>
      </c>
      <c r="B263" s="1855"/>
      <c r="C263" s="1847"/>
      <c r="D263" s="1848" t="s">
        <v>543</v>
      </c>
      <c r="E263" s="1848"/>
      <c r="F263" s="1849"/>
      <c r="G263" s="2010" t="s">
        <v>540</v>
      </c>
      <c r="H263" s="2011">
        <f t="shared" ca="1" si="112"/>
        <v>36.5</v>
      </c>
      <c r="I263" s="2011">
        <f t="shared" ca="1" si="112"/>
        <v>36.5</v>
      </c>
      <c r="J263" s="2011">
        <f t="shared" ca="1" si="112"/>
        <v>36.5</v>
      </c>
      <c r="K263" s="2011">
        <f t="shared" ca="1" si="112"/>
        <v>36.5</v>
      </c>
      <c r="L263" s="2012">
        <f t="shared" ca="1" si="113"/>
        <v>0</v>
      </c>
      <c r="M263" s="2012">
        <f t="shared" ca="1" si="114"/>
        <v>0</v>
      </c>
      <c r="N263" s="2012">
        <f t="shared" ca="1" si="115"/>
        <v>0</v>
      </c>
      <c r="O263" s="2012">
        <f t="shared" ca="1" si="116"/>
        <v>0</v>
      </c>
      <c r="P263" s="2013">
        <f ca="1">SUM(SUMIFS(OFFSET(貼付け_2024実績,$A263,11,1,199),OFFSET(貼付け_2024実績,4,9,1,199),{"横浜*","川崎*"}))</f>
        <v>0</v>
      </c>
      <c r="Q263" s="2013">
        <f ca="1">SUM(SUMIFS(OFFSET(貼付け_2025実績,$A263,11,1,199),OFFSET(貼付け_2025実績,4,9,1,199),{"横浜*","川崎*"}))</f>
        <v>0</v>
      </c>
      <c r="R263" s="2013">
        <f ca="1">SUM(SUMIFS(OFFSET(貼付け_2026実績,$A263,11,1,199),OFFSET(貼付け_2026実績,4,9,1,199),{"横浜*","川崎*"}))</f>
        <v>0</v>
      </c>
      <c r="S263" s="2013">
        <f ca="1">SUM(SUMIFS(OFFSET(貼付け_2027実績,$A263,11,1,199),OFFSET(貼付け_2027実績,4,9,1,199),{"横浜*","川崎*"}))</f>
        <v>0</v>
      </c>
      <c r="T263" s="2012">
        <f t="shared" ca="1" si="117"/>
        <v>0</v>
      </c>
      <c r="U263" s="2012">
        <f t="shared" ca="1" si="118"/>
        <v>0</v>
      </c>
      <c r="V263" s="2012">
        <f t="shared" ca="1" si="119"/>
        <v>0</v>
      </c>
      <c r="W263" s="2012">
        <f t="shared" ca="1" si="120"/>
        <v>0</v>
      </c>
      <c r="X263" s="2014">
        <f t="shared" ca="1" si="121"/>
        <v>0</v>
      </c>
      <c r="Y263" s="2014">
        <f t="shared" ca="1" si="122"/>
        <v>0</v>
      </c>
      <c r="Z263" s="2014">
        <f t="shared" ca="1" si="123"/>
        <v>0</v>
      </c>
      <c r="AA263" s="2014">
        <f t="shared" ca="1" si="124"/>
        <v>0</v>
      </c>
      <c r="AB263" s="2014"/>
      <c r="AC263" s="2014"/>
      <c r="AD263" s="2014"/>
      <c r="AE263" s="2014"/>
      <c r="AF263" s="2014"/>
      <c r="AG263" s="2014"/>
      <c r="AH263" s="2014"/>
      <c r="AI263" s="2014"/>
      <c r="AJ263" s="2014"/>
      <c r="AK263" s="2014"/>
      <c r="AL263" s="2014"/>
      <c r="AM263" s="2014"/>
      <c r="AN263" s="2014"/>
      <c r="AO263" s="2014"/>
      <c r="AP263" s="2014"/>
      <c r="AQ263" s="2014"/>
      <c r="AR263" s="2014"/>
      <c r="AS263" s="2014"/>
      <c r="AT263" s="2014"/>
      <c r="AU263" s="2014"/>
      <c r="AV263" s="2014"/>
      <c r="AW263" s="2014"/>
      <c r="AX263" s="2014"/>
      <c r="AY263" s="2014"/>
      <c r="AZ263" s="2014"/>
      <c r="BA263" s="2014"/>
      <c r="BB263" s="2014"/>
      <c r="BC263" s="2014"/>
      <c r="BD263" s="2014"/>
      <c r="BE263" s="2014"/>
      <c r="BF263" s="2014"/>
      <c r="BG263" s="2014"/>
      <c r="BH263" s="2014"/>
      <c r="BI263" s="2014"/>
      <c r="BJ263" s="2014"/>
      <c r="BK263" s="2014"/>
      <c r="BL263" s="2014"/>
      <c r="BM263" s="2014"/>
      <c r="BN263" s="2014"/>
      <c r="BO263" s="2014"/>
    </row>
    <row r="264" spans="1:67" ht="20.100000000000001" customHeight="1">
      <c r="A264" s="1845">
        <v>14</v>
      </c>
      <c r="B264" s="1855"/>
      <c r="C264" s="1847"/>
      <c r="D264" s="1848" t="s">
        <v>544</v>
      </c>
      <c r="E264" s="1848"/>
      <c r="F264" s="1849"/>
      <c r="G264" s="2010" t="s">
        <v>540</v>
      </c>
      <c r="H264" s="2011">
        <f t="shared" ca="1" si="112"/>
        <v>38</v>
      </c>
      <c r="I264" s="2011">
        <f t="shared" ca="1" si="112"/>
        <v>38</v>
      </c>
      <c r="J264" s="2011">
        <f t="shared" ca="1" si="112"/>
        <v>38</v>
      </c>
      <c r="K264" s="2011">
        <f t="shared" ca="1" si="112"/>
        <v>38</v>
      </c>
      <c r="L264" s="2012">
        <f t="shared" ca="1" si="113"/>
        <v>0</v>
      </c>
      <c r="M264" s="2012">
        <f t="shared" ca="1" si="114"/>
        <v>0</v>
      </c>
      <c r="N264" s="2012">
        <f t="shared" ca="1" si="115"/>
        <v>0</v>
      </c>
      <c r="O264" s="2012">
        <f t="shared" ca="1" si="116"/>
        <v>0</v>
      </c>
      <c r="P264" s="2013">
        <f ca="1">SUM(SUMIFS(OFFSET(貼付け_2024実績,$A264,11,1,199),OFFSET(貼付け_2024実績,4,9,1,199),{"横浜*","川崎*"}))</f>
        <v>0</v>
      </c>
      <c r="Q264" s="2013">
        <f ca="1">SUM(SUMIFS(OFFSET(貼付け_2025実績,$A264,11,1,199),OFFSET(貼付け_2025実績,4,9,1,199),{"横浜*","川崎*"}))</f>
        <v>0</v>
      </c>
      <c r="R264" s="2013">
        <f ca="1">SUM(SUMIFS(OFFSET(貼付け_2026実績,$A264,11,1,199),OFFSET(貼付け_2026実績,4,9,1,199),{"横浜*","川崎*"}))</f>
        <v>0</v>
      </c>
      <c r="S264" s="2013">
        <f ca="1">SUM(SUMIFS(OFFSET(貼付け_2027実績,$A264,11,1,199),OFFSET(貼付け_2027実績,4,9,1,199),{"横浜*","川崎*"}))</f>
        <v>0</v>
      </c>
      <c r="T264" s="2012">
        <f t="shared" ca="1" si="117"/>
        <v>0</v>
      </c>
      <c r="U264" s="2012">
        <f t="shared" ca="1" si="118"/>
        <v>0</v>
      </c>
      <c r="V264" s="2012">
        <f t="shared" ca="1" si="119"/>
        <v>0</v>
      </c>
      <c r="W264" s="2012">
        <f t="shared" ca="1" si="120"/>
        <v>0</v>
      </c>
      <c r="X264" s="2014">
        <f t="shared" ca="1" si="121"/>
        <v>0</v>
      </c>
      <c r="Y264" s="2014">
        <f t="shared" ca="1" si="122"/>
        <v>0</v>
      </c>
      <c r="Z264" s="2014">
        <f t="shared" ca="1" si="123"/>
        <v>0</v>
      </c>
      <c r="AA264" s="2014">
        <f t="shared" ca="1" si="124"/>
        <v>0</v>
      </c>
      <c r="AB264" s="2014"/>
      <c r="AC264" s="2014"/>
      <c r="AD264" s="2014"/>
      <c r="AE264" s="2014"/>
      <c r="AF264" s="2014"/>
      <c r="AG264" s="2014"/>
      <c r="AH264" s="2014"/>
      <c r="AI264" s="2014"/>
      <c r="AJ264" s="2014"/>
      <c r="AK264" s="2014"/>
      <c r="AL264" s="2014"/>
      <c r="AM264" s="2014"/>
      <c r="AN264" s="2014"/>
      <c r="AO264" s="2014"/>
      <c r="AP264" s="2014"/>
      <c r="AQ264" s="2014"/>
      <c r="AR264" s="2014"/>
      <c r="AS264" s="2014"/>
      <c r="AT264" s="2014"/>
      <c r="AU264" s="2014"/>
      <c r="AV264" s="2014"/>
      <c r="AW264" s="2014"/>
      <c r="AX264" s="2014"/>
      <c r="AY264" s="2014"/>
      <c r="AZ264" s="2014"/>
      <c r="BA264" s="2014"/>
      <c r="BB264" s="2014"/>
      <c r="BC264" s="2014"/>
      <c r="BD264" s="2014"/>
      <c r="BE264" s="2014"/>
      <c r="BF264" s="2014"/>
      <c r="BG264" s="2014"/>
      <c r="BH264" s="2014"/>
      <c r="BI264" s="2014"/>
      <c r="BJ264" s="2014"/>
      <c r="BK264" s="2014"/>
      <c r="BL264" s="2014"/>
      <c r="BM264" s="2014"/>
      <c r="BN264" s="2014"/>
      <c r="BO264" s="2014"/>
    </row>
    <row r="265" spans="1:67" ht="20.100000000000001" customHeight="1">
      <c r="A265" s="1845">
        <v>15</v>
      </c>
      <c r="B265" s="1854"/>
      <c r="C265" s="1847"/>
      <c r="D265" s="1848" t="s">
        <v>545</v>
      </c>
      <c r="E265" s="1848"/>
      <c r="F265" s="1849"/>
      <c r="G265" s="2010" t="s">
        <v>540</v>
      </c>
      <c r="H265" s="2011">
        <f t="shared" ca="1" si="112"/>
        <v>38.9</v>
      </c>
      <c r="I265" s="2011">
        <f t="shared" ca="1" si="112"/>
        <v>38.9</v>
      </c>
      <c r="J265" s="2011">
        <f t="shared" ca="1" si="112"/>
        <v>38.9</v>
      </c>
      <c r="K265" s="2011">
        <f t="shared" ca="1" si="112"/>
        <v>38.9</v>
      </c>
      <c r="L265" s="2012">
        <f t="shared" ca="1" si="113"/>
        <v>0</v>
      </c>
      <c r="M265" s="2012">
        <f t="shared" ca="1" si="114"/>
        <v>0</v>
      </c>
      <c r="N265" s="2012">
        <f t="shared" ca="1" si="115"/>
        <v>0</v>
      </c>
      <c r="O265" s="2012">
        <f t="shared" ca="1" si="116"/>
        <v>0</v>
      </c>
      <c r="P265" s="2013">
        <f ca="1">SUM(SUMIFS(OFFSET(貼付け_2024実績,$A265,11,1,199),OFFSET(貼付け_2024実績,4,9,1,199),{"横浜*","川崎*"}))</f>
        <v>0</v>
      </c>
      <c r="Q265" s="2013">
        <f ca="1">SUM(SUMIFS(OFFSET(貼付け_2025実績,$A265,11,1,199),OFFSET(貼付け_2025実績,4,9,1,199),{"横浜*","川崎*"}))</f>
        <v>0</v>
      </c>
      <c r="R265" s="2013">
        <f ca="1">SUM(SUMIFS(OFFSET(貼付け_2026実績,$A265,11,1,199),OFFSET(貼付け_2026実績,4,9,1,199),{"横浜*","川崎*"}))</f>
        <v>0</v>
      </c>
      <c r="S265" s="2013">
        <f ca="1">SUM(SUMIFS(OFFSET(貼付け_2027実績,$A265,11,1,199),OFFSET(貼付け_2027実績,4,9,1,199),{"横浜*","川崎*"}))</f>
        <v>0</v>
      </c>
      <c r="T265" s="2012">
        <f t="shared" ca="1" si="117"/>
        <v>0</v>
      </c>
      <c r="U265" s="2012">
        <f t="shared" ca="1" si="118"/>
        <v>0</v>
      </c>
      <c r="V265" s="2012">
        <f t="shared" ca="1" si="119"/>
        <v>0</v>
      </c>
      <c r="W265" s="2012">
        <f t="shared" ca="1" si="120"/>
        <v>0</v>
      </c>
      <c r="X265" s="2014">
        <f t="shared" ca="1" si="121"/>
        <v>0</v>
      </c>
      <c r="Y265" s="2014">
        <f t="shared" ca="1" si="122"/>
        <v>0</v>
      </c>
      <c r="Z265" s="2014">
        <f t="shared" ca="1" si="123"/>
        <v>0</v>
      </c>
      <c r="AA265" s="2014">
        <f t="shared" ca="1" si="124"/>
        <v>0</v>
      </c>
      <c r="AB265" s="2014"/>
      <c r="AC265" s="2014"/>
      <c r="AD265" s="2014"/>
      <c r="AE265" s="2014"/>
      <c r="AF265" s="2014"/>
      <c r="AG265" s="2014"/>
      <c r="AH265" s="2014"/>
      <c r="AI265" s="2014"/>
      <c r="AJ265" s="2014"/>
      <c r="AK265" s="2014"/>
      <c r="AL265" s="2014"/>
      <c r="AM265" s="2014"/>
      <c r="AN265" s="2014"/>
      <c r="AO265" s="2014"/>
      <c r="AP265" s="2014"/>
      <c r="AQ265" s="2014"/>
      <c r="AR265" s="2014"/>
      <c r="AS265" s="2014"/>
      <c r="AT265" s="2014"/>
      <c r="AU265" s="2014"/>
      <c r="AV265" s="2014"/>
      <c r="AW265" s="2014"/>
      <c r="AX265" s="2014"/>
      <c r="AY265" s="2014"/>
      <c r="AZ265" s="2014"/>
      <c r="BA265" s="2014"/>
      <c r="BB265" s="2014"/>
      <c r="BC265" s="2014"/>
      <c r="BD265" s="2014"/>
      <c r="BE265" s="2014"/>
      <c r="BF265" s="2014"/>
      <c r="BG265" s="2014"/>
      <c r="BH265" s="2014"/>
      <c r="BI265" s="2014"/>
      <c r="BJ265" s="2014"/>
      <c r="BK265" s="2014"/>
      <c r="BL265" s="2014"/>
      <c r="BM265" s="2014"/>
      <c r="BN265" s="2014"/>
      <c r="BO265" s="2014"/>
    </row>
    <row r="266" spans="1:67" ht="20.100000000000001" customHeight="1">
      <c r="A266" s="1845">
        <v>16</v>
      </c>
      <c r="B266" s="1854"/>
      <c r="C266" s="1847"/>
      <c r="D266" s="1848" t="s">
        <v>546</v>
      </c>
      <c r="E266" s="1837"/>
      <c r="F266" s="1849"/>
      <c r="G266" s="2010" t="s">
        <v>540</v>
      </c>
      <c r="H266" s="2011">
        <f t="shared" ca="1" si="112"/>
        <v>41.8</v>
      </c>
      <c r="I266" s="2011">
        <f t="shared" ca="1" si="112"/>
        <v>41.8</v>
      </c>
      <c r="J266" s="2011">
        <f t="shared" ca="1" si="112"/>
        <v>41.8</v>
      </c>
      <c r="K266" s="2011">
        <f t="shared" ca="1" si="112"/>
        <v>41.8</v>
      </c>
      <c r="L266" s="2012">
        <f t="shared" ca="1" si="113"/>
        <v>0</v>
      </c>
      <c r="M266" s="2012">
        <f t="shared" ca="1" si="114"/>
        <v>0</v>
      </c>
      <c r="N266" s="2012">
        <f t="shared" ca="1" si="115"/>
        <v>0</v>
      </c>
      <c r="O266" s="2012">
        <f t="shared" ca="1" si="116"/>
        <v>0</v>
      </c>
      <c r="P266" s="2013">
        <f ca="1">SUM(SUMIFS(OFFSET(貼付け_2024実績,$A266,11,1,199),OFFSET(貼付け_2024実績,4,9,1,199),{"横浜*","川崎*"}))</f>
        <v>0</v>
      </c>
      <c r="Q266" s="2013">
        <f ca="1">SUM(SUMIFS(OFFSET(貼付け_2025実績,$A266,11,1,199),OFFSET(貼付け_2025実績,4,9,1,199),{"横浜*","川崎*"}))</f>
        <v>0</v>
      </c>
      <c r="R266" s="2013">
        <f ca="1">SUM(SUMIFS(OFFSET(貼付け_2026実績,$A266,11,1,199),OFFSET(貼付け_2026実績,4,9,1,199),{"横浜*","川崎*"}))</f>
        <v>0</v>
      </c>
      <c r="S266" s="2013">
        <f ca="1">SUM(SUMIFS(OFFSET(貼付け_2027実績,$A266,11,1,199),OFFSET(貼付け_2027実績,4,9,1,199),{"横浜*","川崎*"}))</f>
        <v>0</v>
      </c>
      <c r="T266" s="2012">
        <f t="shared" ca="1" si="117"/>
        <v>0</v>
      </c>
      <c r="U266" s="2012">
        <f t="shared" ca="1" si="118"/>
        <v>0</v>
      </c>
      <c r="V266" s="2012">
        <f t="shared" ca="1" si="119"/>
        <v>0</v>
      </c>
      <c r="W266" s="2012">
        <f t="shared" ca="1" si="120"/>
        <v>0</v>
      </c>
      <c r="X266" s="2014">
        <f t="shared" ca="1" si="121"/>
        <v>0</v>
      </c>
      <c r="Y266" s="2014">
        <f t="shared" ca="1" si="122"/>
        <v>0</v>
      </c>
      <c r="Z266" s="2014">
        <f t="shared" ca="1" si="123"/>
        <v>0</v>
      </c>
      <c r="AA266" s="2014">
        <f t="shared" ca="1" si="124"/>
        <v>0</v>
      </c>
      <c r="AB266" s="2014"/>
      <c r="AC266" s="2014"/>
      <c r="AD266" s="2014"/>
      <c r="AE266" s="2014"/>
      <c r="AF266" s="2014"/>
      <c r="AG266" s="2014"/>
      <c r="AH266" s="2014"/>
      <c r="AI266" s="2014"/>
      <c r="AJ266" s="2014"/>
      <c r="AK266" s="2014"/>
      <c r="AL266" s="2014"/>
      <c r="AM266" s="2014"/>
      <c r="AN266" s="2014"/>
      <c r="AO266" s="2014"/>
      <c r="AP266" s="2014"/>
      <c r="AQ266" s="2014"/>
      <c r="AR266" s="2014"/>
      <c r="AS266" s="2014"/>
      <c r="AT266" s="2014"/>
      <c r="AU266" s="2014"/>
      <c r="AV266" s="2014"/>
      <c r="AW266" s="2014"/>
      <c r="AX266" s="2014"/>
      <c r="AY266" s="2014"/>
      <c r="AZ266" s="2014"/>
      <c r="BA266" s="2014"/>
      <c r="BB266" s="2014"/>
      <c r="BC266" s="2014"/>
      <c r="BD266" s="2014"/>
      <c r="BE266" s="2014"/>
      <c r="BF266" s="2014"/>
      <c r="BG266" s="2014"/>
      <c r="BH266" s="2014"/>
      <c r="BI266" s="2014"/>
      <c r="BJ266" s="2014"/>
      <c r="BK266" s="2014"/>
      <c r="BL266" s="2014"/>
      <c r="BM266" s="2014"/>
      <c r="BN266" s="2014"/>
      <c r="BO266" s="2014"/>
    </row>
    <row r="267" spans="1:67" ht="20.100000000000001" customHeight="1">
      <c r="A267" s="1845">
        <v>17</v>
      </c>
      <c r="B267" s="1854"/>
      <c r="C267" s="1847"/>
      <c r="D267" s="1848" t="s">
        <v>547</v>
      </c>
      <c r="E267" s="1848"/>
      <c r="F267" s="1849"/>
      <c r="G267" s="2010" t="s">
        <v>548</v>
      </c>
      <c r="H267" s="2011">
        <f t="shared" ca="1" si="112"/>
        <v>40</v>
      </c>
      <c r="I267" s="2011">
        <f t="shared" ca="1" si="112"/>
        <v>40</v>
      </c>
      <c r="J267" s="2011">
        <f t="shared" ca="1" si="112"/>
        <v>40</v>
      </c>
      <c r="K267" s="2011">
        <f t="shared" ca="1" si="112"/>
        <v>40</v>
      </c>
      <c r="L267" s="2012">
        <f t="shared" ca="1" si="113"/>
        <v>0</v>
      </c>
      <c r="M267" s="2012">
        <f t="shared" ca="1" si="114"/>
        <v>0</v>
      </c>
      <c r="N267" s="2012">
        <f t="shared" ca="1" si="115"/>
        <v>0</v>
      </c>
      <c r="O267" s="2012">
        <f t="shared" ca="1" si="116"/>
        <v>0</v>
      </c>
      <c r="P267" s="2013">
        <f ca="1">SUM(SUMIFS(OFFSET(貼付け_2024実績,$A267,11,1,199),OFFSET(貼付け_2024実績,4,9,1,199),{"横浜*","川崎*"}))</f>
        <v>0</v>
      </c>
      <c r="Q267" s="2013">
        <f ca="1">SUM(SUMIFS(OFFSET(貼付け_2025実績,$A267,11,1,199),OFFSET(貼付け_2025実績,4,9,1,199),{"横浜*","川崎*"}))</f>
        <v>0</v>
      </c>
      <c r="R267" s="2013">
        <f ca="1">SUM(SUMIFS(OFFSET(貼付け_2026実績,$A267,11,1,199),OFFSET(貼付け_2026実績,4,9,1,199),{"横浜*","川崎*"}))</f>
        <v>0</v>
      </c>
      <c r="S267" s="2013">
        <f ca="1">SUM(SUMIFS(OFFSET(貼付け_2027実績,$A267,11,1,199),OFFSET(貼付け_2027実績,4,9,1,199),{"横浜*","川崎*"}))</f>
        <v>0</v>
      </c>
      <c r="T267" s="2012">
        <f t="shared" ca="1" si="117"/>
        <v>0</v>
      </c>
      <c r="U267" s="2012">
        <f t="shared" ca="1" si="118"/>
        <v>0</v>
      </c>
      <c r="V267" s="2012">
        <f t="shared" ca="1" si="119"/>
        <v>0</v>
      </c>
      <c r="W267" s="2012">
        <f t="shared" ca="1" si="120"/>
        <v>0</v>
      </c>
      <c r="X267" s="2014">
        <f t="shared" ca="1" si="121"/>
        <v>0</v>
      </c>
      <c r="Y267" s="2014">
        <f t="shared" ca="1" si="122"/>
        <v>0</v>
      </c>
      <c r="Z267" s="2014">
        <f t="shared" ca="1" si="123"/>
        <v>0</v>
      </c>
      <c r="AA267" s="2014">
        <f t="shared" ca="1" si="124"/>
        <v>0</v>
      </c>
      <c r="AB267" s="2014"/>
      <c r="AC267" s="2014"/>
      <c r="AD267" s="2014"/>
      <c r="AE267" s="2014"/>
      <c r="AF267" s="2014"/>
      <c r="AG267" s="2014"/>
      <c r="AH267" s="2014"/>
      <c r="AI267" s="2014"/>
      <c r="AJ267" s="2014"/>
      <c r="AK267" s="2014"/>
      <c r="AL267" s="2014"/>
      <c r="AM267" s="2014"/>
      <c r="AN267" s="2014"/>
      <c r="AO267" s="2014"/>
      <c r="AP267" s="2014"/>
      <c r="AQ267" s="2014"/>
      <c r="AR267" s="2014"/>
      <c r="AS267" s="2014"/>
      <c r="AT267" s="2014"/>
      <c r="AU267" s="2014"/>
      <c r="AV267" s="2014"/>
      <c r="AW267" s="2014"/>
      <c r="AX267" s="2014"/>
      <c r="AY267" s="2014"/>
      <c r="AZ267" s="2014"/>
      <c r="BA267" s="2014"/>
      <c r="BB267" s="2014"/>
      <c r="BC267" s="2014"/>
      <c r="BD267" s="2014"/>
      <c r="BE267" s="2014"/>
      <c r="BF267" s="2014"/>
      <c r="BG267" s="2014"/>
      <c r="BH267" s="2014"/>
      <c r="BI267" s="2014"/>
      <c r="BJ267" s="2014"/>
      <c r="BK267" s="2014"/>
      <c r="BL267" s="2014"/>
      <c r="BM267" s="2014"/>
      <c r="BN267" s="2014"/>
      <c r="BO267" s="2014"/>
    </row>
    <row r="268" spans="1:67" ht="20.100000000000001" customHeight="1">
      <c r="A268" s="1845">
        <v>18</v>
      </c>
      <c r="B268" s="1854"/>
      <c r="C268" s="1847"/>
      <c r="D268" s="1848" t="s">
        <v>549</v>
      </c>
      <c r="E268" s="1848"/>
      <c r="F268" s="1849"/>
      <c r="G268" s="2010" t="s">
        <v>548</v>
      </c>
      <c r="H268" s="2011">
        <f t="shared" ca="1" si="112"/>
        <v>34.1</v>
      </c>
      <c r="I268" s="2011">
        <f t="shared" ca="1" si="112"/>
        <v>34.1</v>
      </c>
      <c r="J268" s="2011">
        <f t="shared" ca="1" si="112"/>
        <v>34.1</v>
      </c>
      <c r="K268" s="2011">
        <f t="shared" ca="1" si="112"/>
        <v>34.1</v>
      </c>
      <c r="L268" s="2012">
        <f t="shared" ca="1" si="113"/>
        <v>0</v>
      </c>
      <c r="M268" s="2012">
        <f t="shared" ca="1" si="114"/>
        <v>0</v>
      </c>
      <c r="N268" s="2012">
        <f t="shared" ca="1" si="115"/>
        <v>0</v>
      </c>
      <c r="O268" s="2012">
        <f t="shared" ca="1" si="116"/>
        <v>0</v>
      </c>
      <c r="P268" s="2013">
        <f ca="1">SUM(SUMIFS(OFFSET(貼付け_2024実績,$A268,11,1,199),OFFSET(貼付け_2024実績,4,9,1,199),{"横浜*","川崎*"}))</f>
        <v>0</v>
      </c>
      <c r="Q268" s="2013">
        <f ca="1">SUM(SUMIFS(OFFSET(貼付け_2025実績,$A268,11,1,199),OFFSET(貼付け_2025実績,4,9,1,199),{"横浜*","川崎*"}))</f>
        <v>0</v>
      </c>
      <c r="R268" s="2013">
        <f ca="1">SUM(SUMIFS(OFFSET(貼付け_2026実績,$A268,11,1,199),OFFSET(貼付け_2026実績,4,9,1,199),{"横浜*","川崎*"}))</f>
        <v>0</v>
      </c>
      <c r="S268" s="2013">
        <f ca="1">SUM(SUMIFS(OFFSET(貼付け_2027実績,$A268,11,1,199),OFFSET(貼付け_2027実績,4,9,1,199),{"横浜*","川崎*"}))</f>
        <v>0</v>
      </c>
      <c r="T268" s="2012">
        <f t="shared" ca="1" si="117"/>
        <v>0</v>
      </c>
      <c r="U268" s="2012">
        <f t="shared" ca="1" si="118"/>
        <v>0</v>
      </c>
      <c r="V268" s="2012">
        <f t="shared" ca="1" si="119"/>
        <v>0</v>
      </c>
      <c r="W268" s="2012">
        <f t="shared" ca="1" si="120"/>
        <v>0</v>
      </c>
      <c r="X268" s="2014">
        <f t="shared" ca="1" si="121"/>
        <v>0</v>
      </c>
      <c r="Y268" s="2014">
        <f t="shared" ca="1" si="122"/>
        <v>0</v>
      </c>
      <c r="Z268" s="2014">
        <f t="shared" ca="1" si="123"/>
        <v>0</v>
      </c>
      <c r="AA268" s="2014">
        <f t="shared" ca="1" si="124"/>
        <v>0</v>
      </c>
      <c r="AB268" s="2014"/>
      <c r="AC268" s="2014"/>
      <c r="AD268" s="2014"/>
      <c r="AE268" s="2014"/>
      <c r="AF268" s="2014"/>
      <c r="AG268" s="2014"/>
      <c r="AH268" s="2014"/>
      <c r="AI268" s="2014"/>
      <c r="AJ268" s="2014"/>
      <c r="AK268" s="2014"/>
      <c r="AL268" s="2014"/>
      <c r="AM268" s="2014"/>
      <c r="AN268" s="2014"/>
      <c r="AO268" s="2014"/>
      <c r="AP268" s="2014"/>
      <c r="AQ268" s="2014"/>
      <c r="AR268" s="2014"/>
      <c r="AS268" s="2014"/>
      <c r="AT268" s="2014"/>
      <c r="AU268" s="2014"/>
      <c r="AV268" s="2014"/>
      <c r="AW268" s="2014"/>
      <c r="AX268" s="2014"/>
      <c r="AY268" s="2014"/>
      <c r="AZ268" s="2014"/>
      <c r="BA268" s="2014"/>
      <c r="BB268" s="2014"/>
      <c r="BC268" s="2014"/>
      <c r="BD268" s="2014"/>
      <c r="BE268" s="2014"/>
      <c r="BF268" s="2014"/>
      <c r="BG268" s="2014"/>
      <c r="BH268" s="2014"/>
      <c r="BI268" s="2014"/>
      <c r="BJ268" s="2014"/>
      <c r="BK268" s="2014"/>
      <c r="BL268" s="2014"/>
      <c r="BM268" s="2014"/>
      <c r="BN268" s="2014"/>
      <c r="BO268" s="2014"/>
    </row>
    <row r="269" spans="1:67" ht="20.100000000000001" customHeight="1">
      <c r="A269" s="1845">
        <v>19</v>
      </c>
      <c r="B269" s="1855"/>
      <c r="C269" s="1847"/>
      <c r="D269" s="1848" t="s">
        <v>923</v>
      </c>
      <c r="E269" s="1848"/>
      <c r="F269" s="1849"/>
      <c r="G269" s="2010" t="s">
        <v>548</v>
      </c>
      <c r="H269" s="2011">
        <f t="shared" ca="1" si="112"/>
        <v>50.1</v>
      </c>
      <c r="I269" s="2011">
        <f t="shared" ca="1" si="112"/>
        <v>50.1</v>
      </c>
      <c r="J269" s="2011">
        <f t="shared" ca="1" si="112"/>
        <v>50.1</v>
      </c>
      <c r="K269" s="2011">
        <f t="shared" ca="1" si="112"/>
        <v>50.1</v>
      </c>
      <c r="L269" s="2012">
        <f t="shared" ca="1" si="113"/>
        <v>0</v>
      </c>
      <c r="M269" s="2012">
        <f t="shared" ca="1" si="114"/>
        <v>0</v>
      </c>
      <c r="N269" s="2012">
        <f t="shared" ca="1" si="115"/>
        <v>0</v>
      </c>
      <c r="O269" s="2012">
        <f t="shared" ca="1" si="116"/>
        <v>0</v>
      </c>
      <c r="P269" s="2013">
        <f ca="1">SUM(SUMIFS(OFFSET(貼付け_2024実績,$A269,11,1,199),OFFSET(貼付け_2024実績,4,9,1,199),{"横浜*","川崎*"}))</f>
        <v>0</v>
      </c>
      <c r="Q269" s="2013">
        <f ca="1">SUM(SUMIFS(OFFSET(貼付け_2025実績,$A269,11,1,199),OFFSET(貼付け_2025実績,4,9,1,199),{"横浜*","川崎*"}))</f>
        <v>0</v>
      </c>
      <c r="R269" s="2013">
        <f ca="1">SUM(SUMIFS(OFFSET(貼付け_2026実績,$A269,11,1,199),OFFSET(貼付け_2026実績,4,9,1,199),{"横浜*","川崎*"}))</f>
        <v>0</v>
      </c>
      <c r="S269" s="2013">
        <f ca="1">SUM(SUMIFS(OFFSET(貼付け_2027実績,$A269,11,1,199),OFFSET(貼付け_2027実績,4,9,1,199),{"横浜*","川崎*"}))</f>
        <v>0</v>
      </c>
      <c r="T269" s="2012">
        <f t="shared" ca="1" si="117"/>
        <v>0</v>
      </c>
      <c r="U269" s="2012">
        <f t="shared" ca="1" si="118"/>
        <v>0</v>
      </c>
      <c r="V269" s="2012">
        <f t="shared" ca="1" si="119"/>
        <v>0</v>
      </c>
      <c r="W269" s="2012">
        <f t="shared" ca="1" si="120"/>
        <v>0</v>
      </c>
      <c r="X269" s="2014">
        <f t="shared" ca="1" si="121"/>
        <v>0</v>
      </c>
      <c r="Y269" s="2014">
        <f t="shared" ca="1" si="122"/>
        <v>0</v>
      </c>
      <c r="Z269" s="2014">
        <f t="shared" ca="1" si="123"/>
        <v>0</v>
      </c>
      <c r="AA269" s="2014">
        <f t="shared" ca="1" si="124"/>
        <v>0</v>
      </c>
      <c r="AB269" s="2014"/>
      <c r="AC269" s="2014"/>
      <c r="AD269" s="2014"/>
      <c r="AE269" s="2014"/>
      <c r="AF269" s="2014"/>
      <c r="AG269" s="2014"/>
      <c r="AH269" s="2014"/>
      <c r="AI269" s="2014"/>
      <c r="AJ269" s="2014"/>
      <c r="AK269" s="2014"/>
      <c r="AL269" s="2014"/>
      <c r="AM269" s="2014"/>
      <c r="AN269" s="2014"/>
      <c r="AO269" s="2014"/>
      <c r="AP269" s="2014"/>
      <c r="AQ269" s="2014"/>
      <c r="AR269" s="2014"/>
      <c r="AS269" s="2014"/>
      <c r="AT269" s="2014"/>
      <c r="AU269" s="2014"/>
      <c r="AV269" s="2014"/>
      <c r="AW269" s="2014"/>
      <c r="AX269" s="2014"/>
      <c r="AY269" s="2014"/>
      <c r="AZ269" s="2014"/>
      <c r="BA269" s="2014"/>
      <c r="BB269" s="2014"/>
      <c r="BC269" s="2014"/>
      <c r="BD269" s="2014"/>
      <c r="BE269" s="2014"/>
      <c r="BF269" s="2014"/>
      <c r="BG269" s="2014"/>
      <c r="BH269" s="2014"/>
      <c r="BI269" s="2014"/>
      <c r="BJ269" s="2014"/>
      <c r="BK269" s="2014"/>
      <c r="BL269" s="2014"/>
      <c r="BM269" s="2014"/>
      <c r="BN269" s="2014"/>
      <c r="BO269" s="2014"/>
    </row>
    <row r="270" spans="1:67" ht="20.100000000000001" customHeight="1">
      <c r="A270" s="1845">
        <v>20</v>
      </c>
      <c r="B270" s="1854"/>
      <c r="C270" s="1847"/>
      <c r="D270" s="1848" t="s">
        <v>924</v>
      </c>
      <c r="E270" s="1848"/>
      <c r="F270" s="1849"/>
      <c r="G270" s="2010" t="s">
        <v>553</v>
      </c>
      <c r="H270" s="2011">
        <f t="shared" ca="1" si="112"/>
        <v>46.1</v>
      </c>
      <c r="I270" s="2011">
        <f t="shared" ca="1" si="112"/>
        <v>46.1</v>
      </c>
      <c r="J270" s="2011">
        <f t="shared" ca="1" si="112"/>
        <v>46.1</v>
      </c>
      <c r="K270" s="2011">
        <f t="shared" ca="1" si="112"/>
        <v>46.1</v>
      </c>
      <c r="L270" s="2012">
        <f t="shared" ca="1" si="113"/>
        <v>0</v>
      </c>
      <c r="M270" s="2012">
        <f t="shared" ca="1" si="114"/>
        <v>0</v>
      </c>
      <c r="N270" s="2012">
        <f t="shared" ca="1" si="115"/>
        <v>0</v>
      </c>
      <c r="O270" s="2012">
        <f t="shared" ca="1" si="116"/>
        <v>0</v>
      </c>
      <c r="P270" s="2013">
        <f ca="1">SUM(SUMIFS(OFFSET(貼付け_2024実績,$A270,11,1,199),OFFSET(貼付け_2024実績,4,9,1,199),{"横浜*","川崎*"}))</f>
        <v>0</v>
      </c>
      <c r="Q270" s="2013">
        <f ca="1">SUM(SUMIFS(OFFSET(貼付け_2025実績,$A270,11,1,199),OFFSET(貼付け_2025実績,4,9,1,199),{"横浜*","川崎*"}))</f>
        <v>0</v>
      </c>
      <c r="R270" s="2013">
        <f ca="1">SUM(SUMIFS(OFFSET(貼付け_2026実績,$A270,11,1,199),OFFSET(貼付け_2026実績,4,9,1,199),{"横浜*","川崎*"}))</f>
        <v>0</v>
      </c>
      <c r="S270" s="2013">
        <f ca="1">SUM(SUMIFS(OFFSET(貼付け_2027実績,$A270,11,1,199),OFFSET(貼付け_2027実績,4,9,1,199),{"横浜*","川崎*"}))</f>
        <v>0</v>
      </c>
      <c r="T270" s="2012">
        <f t="shared" ca="1" si="117"/>
        <v>0</v>
      </c>
      <c r="U270" s="2012">
        <f t="shared" ca="1" si="118"/>
        <v>0</v>
      </c>
      <c r="V270" s="2012">
        <f t="shared" ca="1" si="119"/>
        <v>0</v>
      </c>
      <c r="W270" s="2012">
        <f t="shared" ca="1" si="120"/>
        <v>0</v>
      </c>
      <c r="X270" s="2014">
        <f t="shared" ca="1" si="121"/>
        <v>0</v>
      </c>
      <c r="Y270" s="2014">
        <f t="shared" ca="1" si="122"/>
        <v>0</v>
      </c>
      <c r="Z270" s="2014">
        <f t="shared" ca="1" si="123"/>
        <v>0</v>
      </c>
      <c r="AA270" s="2014">
        <f t="shared" ca="1" si="124"/>
        <v>0</v>
      </c>
      <c r="AB270" s="2014"/>
      <c r="AC270" s="2014"/>
      <c r="AD270" s="2014"/>
      <c r="AE270" s="2014"/>
      <c r="AF270" s="2014"/>
      <c r="AG270" s="2014"/>
      <c r="AH270" s="2014"/>
      <c r="AI270" s="2014"/>
      <c r="AJ270" s="2014"/>
      <c r="AK270" s="2014"/>
      <c r="AL270" s="2014"/>
      <c r="AM270" s="2014"/>
      <c r="AN270" s="2014"/>
      <c r="AO270" s="2014"/>
      <c r="AP270" s="2014"/>
      <c r="AQ270" s="2014"/>
      <c r="AR270" s="2014"/>
      <c r="AS270" s="2014"/>
      <c r="AT270" s="2014"/>
      <c r="AU270" s="2014"/>
      <c r="AV270" s="2014"/>
      <c r="AW270" s="2014"/>
      <c r="AX270" s="2014"/>
      <c r="AY270" s="2014"/>
      <c r="AZ270" s="2014"/>
      <c r="BA270" s="2014"/>
      <c r="BB270" s="2014"/>
      <c r="BC270" s="2014"/>
      <c r="BD270" s="2014"/>
      <c r="BE270" s="2014"/>
      <c r="BF270" s="2014"/>
      <c r="BG270" s="2014"/>
      <c r="BH270" s="2014"/>
      <c r="BI270" s="2014"/>
      <c r="BJ270" s="2014"/>
      <c r="BK270" s="2014"/>
      <c r="BL270" s="2014"/>
      <c r="BM270" s="2014"/>
      <c r="BN270" s="2014"/>
      <c r="BO270" s="2014"/>
    </row>
    <row r="271" spans="1:67" ht="20.100000000000001" customHeight="1">
      <c r="A271" s="1845">
        <v>21</v>
      </c>
      <c r="B271" s="1855"/>
      <c r="C271" s="1847"/>
      <c r="D271" s="1848" t="s">
        <v>925</v>
      </c>
      <c r="E271" s="1837"/>
      <c r="F271" s="1849"/>
      <c r="G271" s="2010" t="s">
        <v>548</v>
      </c>
      <c r="H271" s="2011">
        <f t="shared" ca="1" si="112"/>
        <v>54.7</v>
      </c>
      <c r="I271" s="2011">
        <f t="shared" ca="1" si="112"/>
        <v>54.7</v>
      </c>
      <c r="J271" s="2011">
        <f t="shared" ca="1" si="112"/>
        <v>54.7</v>
      </c>
      <c r="K271" s="2011">
        <f t="shared" ca="1" si="112"/>
        <v>54.7</v>
      </c>
      <c r="L271" s="2012">
        <f t="shared" ca="1" si="113"/>
        <v>0</v>
      </c>
      <c r="M271" s="2012">
        <f t="shared" ca="1" si="114"/>
        <v>0</v>
      </c>
      <c r="N271" s="2012">
        <f t="shared" ca="1" si="115"/>
        <v>0</v>
      </c>
      <c r="O271" s="2012">
        <f t="shared" ca="1" si="116"/>
        <v>0</v>
      </c>
      <c r="P271" s="2013">
        <f ca="1">SUM(SUMIFS(OFFSET(貼付け_2024実績,$A271,11,1,199),OFFSET(貼付け_2024実績,4,9,1,199),{"横浜*","川崎*"}))</f>
        <v>0</v>
      </c>
      <c r="Q271" s="2013">
        <f ca="1">SUM(SUMIFS(OFFSET(貼付け_2025実績,$A271,11,1,199),OFFSET(貼付け_2025実績,4,9,1,199),{"横浜*","川崎*"}))</f>
        <v>0</v>
      </c>
      <c r="R271" s="2013">
        <f ca="1">SUM(SUMIFS(OFFSET(貼付け_2026実績,$A271,11,1,199),OFFSET(貼付け_2026実績,4,9,1,199),{"横浜*","川崎*"}))</f>
        <v>0</v>
      </c>
      <c r="S271" s="2013">
        <f ca="1">SUM(SUMIFS(OFFSET(貼付け_2027実績,$A271,11,1,199),OFFSET(貼付け_2027実績,4,9,1,199),{"横浜*","川崎*"}))</f>
        <v>0</v>
      </c>
      <c r="T271" s="2012">
        <f t="shared" ca="1" si="117"/>
        <v>0</v>
      </c>
      <c r="U271" s="2012">
        <f t="shared" ca="1" si="118"/>
        <v>0</v>
      </c>
      <c r="V271" s="2012">
        <f t="shared" ca="1" si="119"/>
        <v>0</v>
      </c>
      <c r="W271" s="2012">
        <f t="shared" ca="1" si="120"/>
        <v>0</v>
      </c>
      <c r="X271" s="2014">
        <f t="shared" ca="1" si="121"/>
        <v>0</v>
      </c>
      <c r="Y271" s="2014">
        <f t="shared" ca="1" si="122"/>
        <v>0</v>
      </c>
      <c r="Z271" s="2014">
        <f t="shared" ca="1" si="123"/>
        <v>0</v>
      </c>
      <c r="AA271" s="2014">
        <f t="shared" ca="1" si="124"/>
        <v>0</v>
      </c>
      <c r="AB271" s="2014"/>
      <c r="AC271" s="2014"/>
      <c r="AD271" s="2014"/>
      <c r="AE271" s="2014"/>
      <c r="AF271" s="2014"/>
      <c r="AG271" s="2014"/>
      <c r="AH271" s="2014"/>
      <c r="AI271" s="2014"/>
      <c r="AJ271" s="2014"/>
      <c r="AK271" s="2014"/>
      <c r="AL271" s="2014"/>
      <c r="AM271" s="2014"/>
      <c r="AN271" s="2014"/>
      <c r="AO271" s="2014"/>
      <c r="AP271" s="2014"/>
      <c r="AQ271" s="2014"/>
      <c r="AR271" s="2014"/>
      <c r="AS271" s="2014"/>
      <c r="AT271" s="2014"/>
      <c r="AU271" s="2014"/>
      <c r="AV271" s="2014"/>
      <c r="AW271" s="2014"/>
      <c r="AX271" s="2014"/>
      <c r="AY271" s="2014"/>
      <c r="AZ271" s="2014"/>
      <c r="BA271" s="2014"/>
      <c r="BB271" s="2014"/>
      <c r="BC271" s="2014"/>
      <c r="BD271" s="2014"/>
      <c r="BE271" s="2014"/>
      <c r="BF271" s="2014"/>
      <c r="BG271" s="2014"/>
      <c r="BH271" s="2014"/>
      <c r="BI271" s="2014"/>
      <c r="BJ271" s="2014"/>
      <c r="BK271" s="2014"/>
      <c r="BL271" s="2014"/>
      <c r="BM271" s="2014"/>
      <c r="BN271" s="2014"/>
      <c r="BO271" s="2014"/>
    </row>
    <row r="272" spans="1:67" ht="20.100000000000001" customHeight="1">
      <c r="A272" s="1845">
        <v>22</v>
      </c>
      <c r="B272" s="1854"/>
      <c r="C272" s="1847"/>
      <c r="D272" s="1848" t="s">
        <v>926</v>
      </c>
      <c r="E272" s="1848"/>
      <c r="F272" s="1849"/>
      <c r="G272" s="2010" t="s">
        <v>553</v>
      </c>
      <c r="H272" s="2011">
        <f t="shared" ca="1" si="112"/>
        <v>38.4</v>
      </c>
      <c r="I272" s="2011">
        <f t="shared" ca="1" si="112"/>
        <v>38.4</v>
      </c>
      <c r="J272" s="2011">
        <f t="shared" ca="1" si="112"/>
        <v>38.4</v>
      </c>
      <c r="K272" s="2011">
        <f t="shared" ca="1" si="112"/>
        <v>38.4</v>
      </c>
      <c r="L272" s="2012">
        <f t="shared" ca="1" si="113"/>
        <v>0</v>
      </c>
      <c r="M272" s="2012">
        <f t="shared" ca="1" si="114"/>
        <v>0</v>
      </c>
      <c r="N272" s="2012">
        <f t="shared" ca="1" si="115"/>
        <v>0</v>
      </c>
      <c r="O272" s="2012">
        <f t="shared" ca="1" si="116"/>
        <v>0</v>
      </c>
      <c r="P272" s="2013">
        <f ca="1">SUM(SUMIFS(OFFSET(貼付け_2024実績,$A272,11,1,199),OFFSET(貼付け_2024実績,4,9,1,199),{"横浜*","川崎*"}))</f>
        <v>0</v>
      </c>
      <c r="Q272" s="2013">
        <f ca="1">SUM(SUMIFS(OFFSET(貼付け_2025実績,$A272,11,1,199),OFFSET(貼付け_2025実績,4,9,1,199),{"横浜*","川崎*"}))</f>
        <v>0</v>
      </c>
      <c r="R272" s="2013">
        <f ca="1">SUM(SUMIFS(OFFSET(貼付け_2026実績,$A272,11,1,199),OFFSET(貼付け_2026実績,4,9,1,199),{"横浜*","川崎*"}))</f>
        <v>0</v>
      </c>
      <c r="S272" s="2013">
        <f ca="1">SUM(SUMIFS(OFFSET(貼付け_2027実績,$A272,11,1,199),OFFSET(貼付け_2027実績,4,9,1,199),{"横浜*","川崎*"}))</f>
        <v>0</v>
      </c>
      <c r="T272" s="2012">
        <f t="shared" ca="1" si="117"/>
        <v>0</v>
      </c>
      <c r="U272" s="2012">
        <f t="shared" ca="1" si="118"/>
        <v>0</v>
      </c>
      <c r="V272" s="2012">
        <f t="shared" ca="1" si="119"/>
        <v>0</v>
      </c>
      <c r="W272" s="2012">
        <f t="shared" ca="1" si="120"/>
        <v>0</v>
      </c>
      <c r="X272" s="2014">
        <f t="shared" ca="1" si="121"/>
        <v>0</v>
      </c>
      <c r="Y272" s="2014">
        <f t="shared" ca="1" si="122"/>
        <v>0</v>
      </c>
      <c r="Z272" s="2014">
        <f t="shared" ca="1" si="123"/>
        <v>0</v>
      </c>
      <c r="AA272" s="2014">
        <f t="shared" ca="1" si="124"/>
        <v>0</v>
      </c>
      <c r="AB272" s="2014"/>
      <c r="AC272" s="2014"/>
      <c r="AD272" s="2014"/>
      <c r="AE272" s="2014"/>
      <c r="AF272" s="2014"/>
      <c r="AG272" s="2014"/>
      <c r="AH272" s="2014"/>
      <c r="AI272" s="2014"/>
      <c r="AJ272" s="2014"/>
      <c r="AK272" s="2014"/>
      <c r="AL272" s="2014"/>
      <c r="AM272" s="2014"/>
      <c r="AN272" s="2014"/>
      <c r="AO272" s="2014"/>
      <c r="AP272" s="2014"/>
      <c r="AQ272" s="2014"/>
      <c r="AR272" s="2014"/>
      <c r="AS272" s="2014"/>
      <c r="AT272" s="2014"/>
      <c r="AU272" s="2014"/>
      <c r="AV272" s="2014"/>
      <c r="AW272" s="2014"/>
      <c r="AX272" s="2014"/>
      <c r="AY272" s="2014"/>
      <c r="AZ272" s="2014"/>
      <c r="BA272" s="2014"/>
      <c r="BB272" s="2014"/>
      <c r="BC272" s="2014"/>
      <c r="BD272" s="2014"/>
      <c r="BE272" s="2014"/>
      <c r="BF272" s="2014"/>
      <c r="BG272" s="2014"/>
      <c r="BH272" s="2014"/>
      <c r="BI272" s="2014"/>
      <c r="BJ272" s="2014"/>
      <c r="BK272" s="2014"/>
      <c r="BL272" s="2014"/>
      <c r="BM272" s="2014"/>
      <c r="BN272" s="2014"/>
      <c r="BO272" s="2014"/>
    </row>
    <row r="273" spans="1:67" ht="20.100000000000001" customHeight="1">
      <c r="A273" s="1845">
        <v>23</v>
      </c>
      <c r="B273" s="1854"/>
      <c r="C273" s="1847"/>
      <c r="D273" s="1848" t="s">
        <v>927</v>
      </c>
      <c r="E273" s="1848"/>
      <c r="F273" s="1849"/>
      <c r="G273" s="2010" t="s">
        <v>548</v>
      </c>
      <c r="H273" s="2011">
        <f t="shared" ca="1" si="112"/>
        <v>28.7</v>
      </c>
      <c r="I273" s="2011">
        <f t="shared" ca="1" si="112"/>
        <v>28.7</v>
      </c>
      <c r="J273" s="2011">
        <f t="shared" ca="1" si="112"/>
        <v>28.7</v>
      </c>
      <c r="K273" s="2011">
        <f t="shared" ca="1" si="112"/>
        <v>28.7</v>
      </c>
      <c r="L273" s="2012">
        <f t="shared" ca="1" si="113"/>
        <v>0</v>
      </c>
      <c r="M273" s="2012">
        <f t="shared" ca="1" si="114"/>
        <v>0</v>
      </c>
      <c r="N273" s="2012">
        <f t="shared" ca="1" si="115"/>
        <v>0</v>
      </c>
      <c r="O273" s="2012">
        <f t="shared" ca="1" si="116"/>
        <v>0</v>
      </c>
      <c r="P273" s="2013">
        <f ca="1">SUM(SUMIFS(OFFSET(貼付け_2024実績,$A273,11,1,199),OFFSET(貼付け_2024実績,4,9,1,199),{"横浜*","川崎*"}))</f>
        <v>0</v>
      </c>
      <c r="Q273" s="2013">
        <f ca="1">SUM(SUMIFS(OFFSET(貼付け_2025実績,$A273,11,1,199),OFFSET(貼付け_2025実績,4,9,1,199),{"横浜*","川崎*"}))</f>
        <v>0</v>
      </c>
      <c r="R273" s="2013">
        <f ca="1">SUM(SUMIFS(OFFSET(貼付け_2026実績,$A273,11,1,199),OFFSET(貼付け_2026実績,4,9,1,199),{"横浜*","川崎*"}))</f>
        <v>0</v>
      </c>
      <c r="S273" s="2013">
        <f ca="1">SUM(SUMIFS(OFFSET(貼付け_2027実績,$A273,11,1,199),OFFSET(貼付け_2027実績,4,9,1,199),{"横浜*","川崎*"}))</f>
        <v>0</v>
      </c>
      <c r="T273" s="2012">
        <f t="shared" ca="1" si="117"/>
        <v>0</v>
      </c>
      <c r="U273" s="2012">
        <f t="shared" ca="1" si="118"/>
        <v>0</v>
      </c>
      <c r="V273" s="2012">
        <f t="shared" ca="1" si="119"/>
        <v>0</v>
      </c>
      <c r="W273" s="2012">
        <f t="shared" ca="1" si="120"/>
        <v>0</v>
      </c>
      <c r="X273" s="2014">
        <f t="shared" ca="1" si="121"/>
        <v>0</v>
      </c>
      <c r="Y273" s="2014">
        <f t="shared" ca="1" si="122"/>
        <v>0</v>
      </c>
      <c r="Z273" s="2014">
        <f t="shared" ca="1" si="123"/>
        <v>0</v>
      </c>
      <c r="AA273" s="2014">
        <f t="shared" ca="1" si="124"/>
        <v>0</v>
      </c>
      <c r="AB273" s="2014"/>
      <c r="AC273" s="2014"/>
      <c r="AD273" s="2014"/>
      <c r="AE273" s="2014"/>
      <c r="AF273" s="2014"/>
      <c r="AG273" s="2014"/>
      <c r="AH273" s="2014"/>
      <c r="AI273" s="2014"/>
      <c r="AJ273" s="2014"/>
      <c r="AK273" s="2014"/>
      <c r="AL273" s="2014"/>
      <c r="AM273" s="2014"/>
      <c r="AN273" s="2014"/>
      <c r="AO273" s="2014"/>
      <c r="AP273" s="2014"/>
      <c r="AQ273" s="2014"/>
      <c r="AR273" s="2014"/>
      <c r="AS273" s="2014"/>
      <c r="AT273" s="2014"/>
      <c r="AU273" s="2014"/>
      <c r="AV273" s="2014"/>
      <c r="AW273" s="2014"/>
      <c r="AX273" s="2014"/>
      <c r="AY273" s="2014"/>
      <c r="AZ273" s="2014"/>
      <c r="BA273" s="2014"/>
      <c r="BB273" s="2014"/>
      <c r="BC273" s="2014"/>
      <c r="BD273" s="2014"/>
      <c r="BE273" s="2014"/>
      <c r="BF273" s="2014"/>
      <c r="BG273" s="2014"/>
      <c r="BH273" s="2014"/>
      <c r="BI273" s="2014"/>
      <c r="BJ273" s="2014"/>
      <c r="BK273" s="2014"/>
      <c r="BL273" s="2014"/>
      <c r="BM273" s="2014"/>
      <c r="BN273" s="2014"/>
      <c r="BO273" s="2014"/>
    </row>
    <row r="274" spans="1:67" ht="20.100000000000001" customHeight="1">
      <c r="A274" s="1845">
        <v>24</v>
      </c>
      <c r="B274" s="1854"/>
      <c r="C274" s="1847"/>
      <c r="D274" s="1848" t="s">
        <v>928</v>
      </c>
      <c r="E274" s="1837"/>
      <c r="F274" s="1849"/>
      <c r="G274" s="2010" t="s">
        <v>548</v>
      </c>
      <c r="H274" s="2011">
        <f t="shared" ca="1" si="112"/>
        <v>28.9</v>
      </c>
      <c r="I274" s="2011">
        <f t="shared" ca="1" si="112"/>
        <v>28.9</v>
      </c>
      <c r="J274" s="2011">
        <f t="shared" ca="1" si="112"/>
        <v>28.9</v>
      </c>
      <c r="K274" s="2011">
        <f t="shared" ca="1" si="112"/>
        <v>28.9</v>
      </c>
      <c r="L274" s="2012">
        <f t="shared" ca="1" si="113"/>
        <v>0</v>
      </c>
      <c r="M274" s="2012">
        <f t="shared" ca="1" si="114"/>
        <v>0</v>
      </c>
      <c r="N274" s="2012">
        <f t="shared" ca="1" si="115"/>
        <v>0</v>
      </c>
      <c r="O274" s="2012">
        <f t="shared" ca="1" si="116"/>
        <v>0</v>
      </c>
      <c r="P274" s="2013">
        <f ca="1">SUM(SUMIFS(OFFSET(貼付け_2024実績,$A274,11,1,199),OFFSET(貼付け_2024実績,4,9,1,199),{"横浜*","川崎*"}))</f>
        <v>0</v>
      </c>
      <c r="Q274" s="2013">
        <f ca="1">SUM(SUMIFS(OFFSET(貼付け_2025実績,$A274,11,1,199),OFFSET(貼付け_2025実績,4,9,1,199),{"横浜*","川崎*"}))</f>
        <v>0</v>
      </c>
      <c r="R274" s="2013">
        <f ca="1">SUM(SUMIFS(OFFSET(貼付け_2026実績,$A274,11,1,199),OFFSET(貼付け_2026実績,4,9,1,199),{"横浜*","川崎*"}))</f>
        <v>0</v>
      </c>
      <c r="S274" s="2013">
        <f ca="1">SUM(SUMIFS(OFFSET(貼付け_2027実績,$A274,11,1,199),OFFSET(貼付け_2027実績,4,9,1,199),{"横浜*","川崎*"}))</f>
        <v>0</v>
      </c>
      <c r="T274" s="2012">
        <f t="shared" ca="1" si="117"/>
        <v>0</v>
      </c>
      <c r="U274" s="2012">
        <f t="shared" ca="1" si="118"/>
        <v>0</v>
      </c>
      <c r="V274" s="2012">
        <f t="shared" ca="1" si="119"/>
        <v>0</v>
      </c>
      <c r="W274" s="2012">
        <f t="shared" ca="1" si="120"/>
        <v>0</v>
      </c>
      <c r="X274" s="2014">
        <f t="shared" ca="1" si="121"/>
        <v>0</v>
      </c>
      <c r="Y274" s="2014">
        <f t="shared" ca="1" si="122"/>
        <v>0</v>
      </c>
      <c r="Z274" s="2014">
        <f t="shared" ca="1" si="123"/>
        <v>0</v>
      </c>
      <c r="AA274" s="2014">
        <f t="shared" ca="1" si="124"/>
        <v>0</v>
      </c>
      <c r="AB274" s="2014"/>
      <c r="AC274" s="2014"/>
      <c r="AD274" s="2014"/>
      <c r="AE274" s="2014"/>
      <c r="AF274" s="2014"/>
      <c r="AG274" s="2014"/>
      <c r="AH274" s="2014"/>
      <c r="AI274" s="2014"/>
      <c r="AJ274" s="2014"/>
      <c r="AK274" s="2014"/>
      <c r="AL274" s="2014"/>
      <c r="AM274" s="2014"/>
      <c r="AN274" s="2014"/>
      <c r="AO274" s="2014"/>
      <c r="AP274" s="2014"/>
      <c r="AQ274" s="2014"/>
      <c r="AR274" s="2014"/>
      <c r="AS274" s="2014"/>
      <c r="AT274" s="2014"/>
      <c r="AU274" s="2014"/>
      <c r="AV274" s="2014"/>
      <c r="AW274" s="2014"/>
      <c r="AX274" s="2014"/>
      <c r="AY274" s="2014"/>
      <c r="AZ274" s="2014"/>
      <c r="BA274" s="2014"/>
      <c r="BB274" s="2014"/>
      <c r="BC274" s="2014"/>
      <c r="BD274" s="2014"/>
      <c r="BE274" s="2014"/>
      <c r="BF274" s="2014"/>
      <c r="BG274" s="2014"/>
      <c r="BH274" s="2014"/>
      <c r="BI274" s="2014"/>
      <c r="BJ274" s="2014"/>
      <c r="BK274" s="2014"/>
      <c r="BL274" s="2014"/>
      <c r="BM274" s="2014"/>
      <c r="BN274" s="2014"/>
      <c r="BO274" s="2014"/>
    </row>
    <row r="275" spans="1:67" ht="20.100000000000001" customHeight="1">
      <c r="A275" s="1845">
        <v>25</v>
      </c>
      <c r="B275" s="1854"/>
      <c r="C275" s="1847"/>
      <c r="D275" s="1848" t="s">
        <v>929</v>
      </c>
      <c r="E275" s="1848"/>
      <c r="F275" s="1849"/>
      <c r="G275" s="2010" t="s">
        <v>548</v>
      </c>
      <c r="H275" s="2011">
        <f t="shared" ca="1" si="112"/>
        <v>28.3</v>
      </c>
      <c r="I275" s="2011">
        <f t="shared" ca="1" si="112"/>
        <v>28.3</v>
      </c>
      <c r="J275" s="2011">
        <f t="shared" ca="1" si="112"/>
        <v>28.3</v>
      </c>
      <c r="K275" s="2011">
        <f t="shared" ca="1" si="112"/>
        <v>28.3</v>
      </c>
      <c r="L275" s="2012">
        <f t="shared" ca="1" si="113"/>
        <v>0</v>
      </c>
      <c r="M275" s="2012">
        <f t="shared" ca="1" si="114"/>
        <v>0</v>
      </c>
      <c r="N275" s="2012">
        <f t="shared" ca="1" si="115"/>
        <v>0</v>
      </c>
      <c r="O275" s="2012">
        <f t="shared" ca="1" si="116"/>
        <v>0</v>
      </c>
      <c r="P275" s="2013">
        <f ca="1">SUM(SUMIFS(OFFSET(貼付け_2024実績,$A275,11,1,199),OFFSET(貼付け_2024実績,4,9,1,199),{"横浜*","川崎*"}))</f>
        <v>0</v>
      </c>
      <c r="Q275" s="2013">
        <f ca="1">SUM(SUMIFS(OFFSET(貼付け_2025実績,$A275,11,1,199),OFFSET(貼付け_2025実績,4,9,1,199),{"横浜*","川崎*"}))</f>
        <v>0</v>
      </c>
      <c r="R275" s="2013">
        <f ca="1">SUM(SUMIFS(OFFSET(貼付け_2026実績,$A275,11,1,199),OFFSET(貼付け_2026実績,4,9,1,199),{"横浜*","川崎*"}))</f>
        <v>0</v>
      </c>
      <c r="S275" s="2013">
        <f ca="1">SUM(SUMIFS(OFFSET(貼付け_2027実績,$A275,11,1,199),OFFSET(貼付け_2027実績,4,9,1,199),{"横浜*","川崎*"}))</f>
        <v>0</v>
      </c>
      <c r="T275" s="2012">
        <f t="shared" ca="1" si="117"/>
        <v>0</v>
      </c>
      <c r="U275" s="2012">
        <f t="shared" ca="1" si="118"/>
        <v>0</v>
      </c>
      <c r="V275" s="2012">
        <f t="shared" ca="1" si="119"/>
        <v>0</v>
      </c>
      <c r="W275" s="2012">
        <f t="shared" ca="1" si="120"/>
        <v>0</v>
      </c>
      <c r="X275" s="2014">
        <f t="shared" ca="1" si="121"/>
        <v>0</v>
      </c>
      <c r="Y275" s="2014">
        <f t="shared" ca="1" si="122"/>
        <v>0</v>
      </c>
      <c r="Z275" s="2014">
        <f t="shared" ca="1" si="123"/>
        <v>0</v>
      </c>
      <c r="AA275" s="2014">
        <f t="shared" ca="1" si="124"/>
        <v>0</v>
      </c>
      <c r="AB275" s="2014"/>
      <c r="AC275" s="2014"/>
      <c r="AD275" s="2014"/>
      <c r="AE275" s="2014"/>
      <c r="AF275" s="2014"/>
      <c r="AG275" s="2014"/>
      <c r="AH275" s="2014"/>
      <c r="AI275" s="2014"/>
      <c r="AJ275" s="2014"/>
      <c r="AK275" s="2014"/>
      <c r="AL275" s="2014"/>
      <c r="AM275" s="2014"/>
      <c r="AN275" s="2014"/>
      <c r="AO275" s="2014"/>
      <c r="AP275" s="2014"/>
      <c r="AQ275" s="2014"/>
      <c r="AR275" s="2014"/>
      <c r="AS275" s="2014"/>
      <c r="AT275" s="2014"/>
      <c r="AU275" s="2014"/>
      <c r="AV275" s="2014"/>
      <c r="AW275" s="2014"/>
      <c r="AX275" s="2014"/>
      <c r="AY275" s="2014"/>
      <c r="AZ275" s="2014"/>
      <c r="BA275" s="2014"/>
      <c r="BB275" s="2014"/>
      <c r="BC275" s="2014"/>
      <c r="BD275" s="2014"/>
      <c r="BE275" s="2014"/>
      <c r="BF275" s="2014"/>
      <c r="BG275" s="2014"/>
      <c r="BH275" s="2014"/>
      <c r="BI275" s="2014"/>
      <c r="BJ275" s="2014"/>
      <c r="BK275" s="2014"/>
      <c r="BL275" s="2014"/>
      <c r="BM275" s="2014"/>
      <c r="BN275" s="2014"/>
      <c r="BO275" s="2014"/>
    </row>
    <row r="276" spans="1:67" ht="20.100000000000001" customHeight="1">
      <c r="A276" s="1845">
        <v>26</v>
      </c>
      <c r="B276" s="1854"/>
      <c r="C276" s="1847"/>
      <c r="D276" s="1848" t="s">
        <v>930</v>
      </c>
      <c r="E276" s="1848"/>
      <c r="F276" s="1849"/>
      <c r="G276" s="2010" t="s">
        <v>548</v>
      </c>
      <c r="H276" s="2011">
        <f t="shared" ca="1" si="112"/>
        <v>26.1</v>
      </c>
      <c r="I276" s="2011">
        <f t="shared" ca="1" si="112"/>
        <v>26.1</v>
      </c>
      <c r="J276" s="2011">
        <f t="shared" ca="1" si="112"/>
        <v>26.1</v>
      </c>
      <c r="K276" s="2011">
        <f t="shared" ca="1" si="112"/>
        <v>26.1</v>
      </c>
      <c r="L276" s="2012">
        <f t="shared" ca="1" si="113"/>
        <v>0</v>
      </c>
      <c r="M276" s="2012">
        <f t="shared" ca="1" si="114"/>
        <v>0</v>
      </c>
      <c r="N276" s="2012">
        <f t="shared" ca="1" si="115"/>
        <v>0</v>
      </c>
      <c r="O276" s="2012">
        <f t="shared" ca="1" si="116"/>
        <v>0</v>
      </c>
      <c r="P276" s="2013">
        <f ca="1">SUM(SUMIFS(OFFSET(貼付け_2024実績,$A276,11,1,199),OFFSET(貼付け_2024実績,4,9,1,199),{"横浜*","川崎*"}))</f>
        <v>0</v>
      </c>
      <c r="Q276" s="2013">
        <f ca="1">SUM(SUMIFS(OFFSET(貼付け_2025実績,$A276,11,1,199),OFFSET(貼付け_2025実績,4,9,1,199),{"横浜*","川崎*"}))</f>
        <v>0</v>
      </c>
      <c r="R276" s="2013">
        <f ca="1">SUM(SUMIFS(OFFSET(貼付け_2026実績,$A276,11,1,199),OFFSET(貼付け_2026実績,4,9,1,199),{"横浜*","川崎*"}))</f>
        <v>0</v>
      </c>
      <c r="S276" s="2013">
        <f ca="1">SUM(SUMIFS(OFFSET(貼付け_2027実績,$A276,11,1,199),OFFSET(貼付け_2027実績,4,9,1,199),{"横浜*","川崎*"}))</f>
        <v>0</v>
      </c>
      <c r="T276" s="2012">
        <f t="shared" ca="1" si="117"/>
        <v>0</v>
      </c>
      <c r="U276" s="2012">
        <f t="shared" ca="1" si="118"/>
        <v>0</v>
      </c>
      <c r="V276" s="2012">
        <f t="shared" ca="1" si="119"/>
        <v>0</v>
      </c>
      <c r="W276" s="2012">
        <f t="shared" ca="1" si="120"/>
        <v>0</v>
      </c>
      <c r="X276" s="2014">
        <f t="shared" ca="1" si="121"/>
        <v>0</v>
      </c>
      <c r="Y276" s="2014">
        <f t="shared" ca="1" si="122"/>
        <v>0</v>
      </c>
      <c r="Z276" s="2014">
        <f t="shared" ca="1" si="123"/>
        <v>0</v>
      </c>
      <c r="AA276" s="2014">
        <f t="shared" ca="1" si="124"/>
        <v>0</v>
      </c>
      <c r="AB276" s="2014"/>
      <c r="AC276" s="2014"/>
      <c r="AD276" s="2014"/>
      <c r="AE276" s="2014"/>
      <c r="AF276" s="2014"/>
      <c r="AG276" s="2014"/>
      <c r="AH276" s="2014"/>
      <c r="AI276" s="2014"/>
      <c r="AJ276" s="2014"/>
      <c r="AK276" s="2014"/>
      <c r="AL276" s="2014"/>
      <c r="AM276" s="2014"/>
      <c r="AN276" s="2014"/>
      <c r="AO276" s="2014"/>
      <c r="AP276" s="2014"/>
      <c r="AQ276" s="2014"/>
      <c r="AR276" s="2014"/>
      <c r="AS276" s="2014"/>
      <c r="AT276" s="2014"/>
      <c r="AU276" s="2014"/>
      <c r="AV276" s="2014"/>
      <c r="AW276" s="2014"/>
      <c r="AX276" s="2014"/>
      <c r="AY276" s="2014"/>
      <c r="AZ276" s="2014"/>
      <c r="BA276" s="2014"/>
      <c r="BB276" s="2014"/>
      <c r="BC276" s="2014"/>
      <c r="BD276" s="2014"/>
      <c r="BE276" s="2014"/>
      <c r="BF276" s="2014"/>
      <c r="BG276" s="2014"/>
      <c r="BH276" s="2014"/>
      <c r="BI276" s="2014"/>
      <c r="BJ276" s="2014"/>
      <c r="BK276" s="2014"/>
      <c r="BL276" s="2014"/>
      <c r="BM276" s="2014"/>
      <c r="BN276" s="2014"/>
      <c r="BO276" s="2014"/>
    </row>
    <row r="277" spans="1:67" ht="20.100000000000001" customHeight="1">
      <c r="A277" s="1845">
        <v>27</v>
      </c>
      <c r="B277" s="1854"/>
      <c r="C277" s="1847"/>
      <c r="D277" s="1848" t="s">
        <v>931</v>
      </c>
      <c r="E277" s="1848"/>
      <c r="F277" s="1849"/>
      <c r="G277" s="2010" t="s">
        <v>548</v>
      </c>
      <c r="H277" s="2011">
        <f t="shared" ca="1" si="112"/>
        <v>24.2</v>
      </c>
      <c r="I277" s="2011">
        <f t="shared" ca="1" si="112"/>
        <v>24.2</v>
      </c>
      <c r="J277" s="2011">
        <f t="shared" ca="1" si="112"/>
        <v>24.2</v>
      </c>
      <c r="K277" s="2011">
        <f t="shared" ca="1" si="112"/>
        <v>24.2</v>
      </c>
      <c r="L277" s="2012">
        <f t="shared" ca="1" si="113"/>
        <v>0</v>
      </c>
      <c r="M277" s="2012">
        <f t="shared" ca="1" si="114"/>
        <v>0</v>
      </c>
      <c r="N277" s="2012">
        <f t="shared" ca="1" si="115"/>
        <v>0</v>
      </c>
      <c r="O277" s="2012">
        <f t="shared" ca="1" si="116"/>
        <v>0</v>
      </c>
      <c r="P277" s="2013">
        <f ca="1">SUM(SUMIFS(OFFSET(貼付け_2024実績,$A277,11,1,199),OFFSET(貼付け_2024実績,4,9,1,199),{"横浜*","川崎*"}))</f>
        <v>0</v>
      </c>
      <c r="Q277" s="2013">
        <f ca="1">SUM(SUMIFS(OFFSET(貼付け_2025実績,$A277,11,1,199),OFFSET(貼付け_2025実績,4,9,1,199),{"横浜*","川崎*"}))</f>
        <v>0</v>
      </c>
      <c r="R277" s="2013">
        <f ca="1">SUM(SUMIFS(OFFSET(貼付け_2026実績,$A277,11,1,199),OFFSET(貼付け_2026実績,4,9,1,199),{"横浜*","川崎*"}))</f>
        <v>0</v>
      </c>
      <c r="S277" s="2013">
        <f ca="1">SUM(SUMIFS(OFFSET(貼付け_2027実績,$A277,11,1,199),OFFSET(貼付け_2027実績,4,9,1,199),{"横浜*","川崎*"}))</f>
        <v>0</v>
      </c>
      <c r="T277" s="2012">
        <f t="shared" ca="1" si="117"/>
        <v>0</v>
      </c>
      <c r="U277" s="2012">
        <f t="shared" ca="1" si="118"/>
        <v>0</v>
      </c>
      <c r="V277" s="2012">
        <f t="shared" ca="1" si="119"/>
        <v>0</v>
      </c>
      <c r="W277" s="2012">
        <f t="shared" ca="1" si="120"/>
        <v>0</v>
      </c>
      <c r="X277" s="2014">
        <f t="shared" ca="1" si="121"/>
        <v>0</v>
      </c>
      <c r="Y277" s="2014">
        <f t="shared" ca="1" si="122"/>
        <v>0</v>
      </c>
      <c r="Z277" s="2014">
        <f t="shared" ca="1" si="123"/>
        <v>0</v>
      </c>
      <c r="AA277" s="2014">
        <f t="shared" ca="1" si="124"/>
        <v>0</v>
      </c>
      <c r="AB277" s="2014"/>
      <c r="AC277" s="2014"/>
      <c r="AD277" s="2014"/>
      <c r="AE277" s="2014"/>
      <c r="AF277" s="2014"/>
      <c r="AG277" s="2014"/>
      <c r="AH277" s="2014"/>
      <c r="AI277" s="2014"/>
      <c r="AJ277" s="2014"/>
      <c r="AK277" s="2014"/>
      <c r="AL277" s="2014"/>
      <c r="AM277" s="2014"/>
      <c r="AN277" s="2014"/>
      <c r="AO277" s="2014"/>
      <c r="AP277" s="2014"/>
      <c r="AQ277" s="2014"/>
      <c r="AR277" s="2014"/>
      <c r="AS277" s="2014"/>
      <c r="AT277" s="2014"/>
      <c r="AU277" s="2014"/>
      <c r="AV277" s="2014"/>
      <c r="AW277" s="2014"/>
      <c r="AX277" s="2014"/>
      <c r="AY277" s="2014"/>
      <c r="AZ277" s="2014"/>
      <c r="BA277" s="2014"/>
      <c r="BB277" s="2014"/>
      <c r="BC277" s="2014"/>
      <c r="BD277" s="2014"/>
      <c r="BE277" s="2014"/>
      <c r="BF277" s="2014"/>
      <c r="BG277" s="2014"/>
      <c r="BH277" s="2014"/>
      <c r="BI277" s="2014"/>
      <c r="BJ277" s="2014"/>
      <c r="BK277" s="2014"/>
      <c r="BL277" s="2014"/>
      <c r="BM277" s="2014"/>
      <c r="BN277" s="2014"/>
      <c r="BO277" s="2014"/>
    </row>
    <row r="278" spans="1:67" ht="20.100000000000001" customHeight="1">
      <c r="A278" s="1845">
        <v>28</v>
      </c>
      <c r="B278" s="1854"/>
      <c r="C278" s="1847"/>
      <c r="D278" s="1848" t="s">
        <v>932</v>
      </c>
      <c r="E278" s="1848"/>
      <c r="F278" s="1849"/>
      <c r="G278" s="2010" t="s">
        <v>548</v>
      </c>
      <c r="H278" s="2011">
        <f t="shared" ref="H278:K297" ca="1" si="125">H29</f>
        <v>27.8</v>
      </c>
      <c r="I278" s="2011">
        <f t="shared" ca="1" si="125"/>
        <v>27.8</v>
      </c>
      <c r="J278" s="2011">
        <f t="shared" ca="1" si="125"/>
        <v>27.8</v>
      </c>
      <c r="K278" s="2011">
        <f t="shared" ca="1" si="125"/>
        <v>27.8</v>
      </c>
      <c r="L278" s="2012">
        <f t="shared" ca="1" si="113"/>
        <v>0</v>
      </c>
      <c r="M278" s="2012">
        <f t="shared" ca="1" si="114"/>
        <v>0</v>
      </c>
      <c r="N278" s="2012">
        <f t="shared" ca="1" si="115"/>
        <v>0</v>
      </c>
      <c r="O278" s="2012">
        <f t="shared" ca="1" si="116"/>
        <v>0</v>
      </c>
      <c r="P278" s="2013">
        <f ca="1">SUM(SUMIFS(OFFSET(貼付け_2024実績,$A278,11,1,199),OFFSET(貼付け_2024実績,4,9,1,199),{"横浜*","川崎*"}))</f>
        <v>0</v>
      </c>
      <c r="Q278" s="2013">
        <f ca="1">SUM(SUMIFS(OFFSET(貼付け_2025実績,$A278,11,1,199),OFFSET(貼付け_2025実績,4,9,1,199),{"横浜*","川崎*"}))</f>
        <v>0</v>
      </c>
      <c r="R278" s="2013">
        <f ca="1">SUM(SUMIFS(OFFSET(貼付け_2026実績,$A278,11,1,199),OFFSET(貼付け_2026実績,4,9,1,199),{"横浜*","川崎*"}))</f>
        <v>0</v>
      </c>
      <c r="S278" s="2013">
        <f ca="1">SUM(SUMIFS(OFFSET(貼付け_2027実績,$A278,11,1,199),OFFSET(貼付け_2027実績,4,9,1,199),{"横浜*","川崎*"}))</f>
        <v>0</v>
      </c>
      <c r="T278" s="2012">
        <f t="shared" ca="1" si="117"/>
        <v>0</v>
      </c>
      <c r="U278" s="2012">
        <f t="shared" ca="1" si="118"/>
        <v>0</v>
      </c>
      <c r="V278" s="2012">
        <f t="shared" ca="1" si="119"/>
        <v>0</v>
      </c>
      <c r="W278" s="2012">
        <f t="shared" ca="1" si="120"/>
        <v>0</v>
      </c>
      <c r="X278" s="2014">
        <f t="shared" ca="1" si="121"/>
        <v>0</v>
      </c>
      <c r="Y278" s="2014">
        <f t="shared" ca="1" si="122"/>
        <v>0</v>
      </c>
      <c r="Z278" s="2014">
        <f t="shared" ca="1" si="123"/>
        <v>0</v>
      </c>
      <c r="AA278" s="2014">
        <f t="shared" ca="1" si="124"/>
        <v>0</v>
      </c>
      <c r="AB278" s="2014"/>
      <c r="AC278" s="2014"/>
      <c r="AD278" s="2014"/>
      <c r="AE278" s="2014"/>
      <c r="AF278" s="2014"/>
      <c r="AG278" s="2014"/>
      <c r="AH278" s="2014"/>
      <c r="AI278" s="2014"/>
      <c r="AJ278" s="2014"/>
      <c r="AK278" s="2014"/>
      <c r="AL278" s="2014"/>
      <c r="AM278" s="2014"/>
      <c r="AN278" s="2014"/>
      <c r="AO278" s="2014"/>
      <c r="AP278" s="2014"/>
      <c r="AQ278" s="2014"/>
      <c r="AR278" s="2014"/>
      <c r="AS278" s="2014"/>
      <c r="AT278" s="2014"/>
      <c r="AU278" s="2014"/>
      <c r="AV278" s="2014"/>
      <c r="AW278" s="2014"/>
      <c r="AX278" s="2014"/>
      <c r="AY278" s="2014"/>
      <c r="AZ278" s="2014"/>
      <c r="BA278" s="2014"/>
      <c r="BB278" s="2014"/>
      <c r="BC278" s="2014"/>
      <c r="BD278" s="2014"/>
      <c r="BE278" s="2014"/>
      <c r="BF278" s="2014"/>
      <c r="BG278" s="2014"/>
      <c r="BH278" s="2014"/>
      <c r="BI278" s="2014"/>
      <c r="BJ278" s="2014"/>
      <c r="BK278" s="2014"/>
      <c r="BL278" s="2014"/>
      <c r="BM278" s="2014"/>
      <c r="BN278" s="2014"/>
      <c r="BO278" s="2014"/>
    </row>
    <row r="279" spans="1:67" ht="20.100000000000001" customHeight="1">
      <c r="A279" s="1845">
        <v>29</v>
      </c>
      <c r="B279" s="1854"/>
      <c r="C279" s="1847"/>
      <c r="D279" s="1848" t="s">
        <v>558</v>
      </c>
      <c r="E279" s="1848"/>
      <c r="F279" s="1849"/>
      <c r="G279" s="2010" t="s">
        <v>548</v>
      </c>
      <c r="H279" s="2011">
        <f t="shared" ca="1" si="125"/>
        <v>29</v>
      </c>
      <c r="I279" s="2011">
        <f t="shared" ca="1" si="125"/>
        <v>29</v>
      </c>
      <c r="J279" s="2011">
        <f t="shared" ca="1" si="125"/>
        <v>29</v>
      </c>
      <c r="K279" s="2011">
        <f t="shared" ca="1" si="125"/>
        <v>29</v>
      </c>
      <c r="L279" s="2012">
        <f t="shared" ca="1" si="113"/>
        <v>0</v>
      </c>
      <c r="M279" s="2012">
        <f t="shared" ca="1" si="114"/>
        <v>0</v>
      </c>
      <c r="N279" s="2012">
        <f t="shared" ca="1" si="115"/>
        <v>0</v>
      </c>
      <c r="O279" s="2012">
        <f t="shared" ca="1" si="116"/>
        <v>0</v>
      </c>
      <c r="P279" s="2013">
        <f ca="1">SUM(SUMIFS(OFFSET(貼付け_2024実績,$A279,11,1,199),OFFSET(貼付け_2024実績,4,9,1,199),{"横浜*","川崎*"}))</f>
        <v>0</v>
      </c>
      <c r="Q279" s="2013">
        <f ca="1">SUM(SUMIFS(OFFSET(貼付け_2025実績,$A279,11,1,199),OFFSET(貼付け_2025実績,4,9,1,199),{"横浜*","川崎*"}))</f>
        <v>0</v>
      </c>
      <c r="R279" s="2013">
        <f ca="1">SUM(SUMIFS(OFFSET(貼付け_2026実績,$A279,11,1,199),OFFSET(貼付け_2026実績,4,9,1,199),{"横浜*","川崎*"}))</f>
        <v>0</v>
      </c>
      <c r="S279" s="2013">
        <f ca="1">SUM(SUMIFS(OFFSET(貼付け_2027実績,$A279,11,1,199),OFFSET(貼付け_2027実績,4,9,1,199),{"横浜*","川崎*"}))</f>
        <v>0</v>
      </c>
      <c r="T279" s="2012">
        <f t="shared" ca="1" si="117"/>
        <v>0</v>
      </c>
      <c r="U279" s="2012">
        <f t="shared" ca="1" si="118"/>
        <v>0</v>
      </c>
      <c r="V279" s="2012">
        <f t="shared" ca="1" si="119"/>
        <v>0</v>
      </c>
      <c r="W279" s="2012">
        <f t="shared" ca="1" si="120"/>
        <v>0</v>
      </c>
      <c r="X279" s="2014">
        <f t="shared" ca="1" si="121"/>
        <v>0</v>
      </c>
      <c r="Y279" s="2014">
        <f t="shared" ca="1" si="122"/>
        <v>0</v>
      </c>
      <c r="Z279" s="2014">
        <f t="shared" ca="1" si="123"/>
        <v>0</v>
      </c>
      <c r="AA279" s="2014">
        <f t="shared" ca="1" si="124"/>
        <v>0</v>
      </c>
      <c r="AB279" s="2014"/>
      <c r="AC279" s="2014"/>
      <c r="AD279" s="2014"/>
      <c r="AE279" s="2014"/>
      <c r="AF279" s="2014"/>
      <c r="AG279" s="2014"/>
      <c r="AH279" s="2014"/>
      <c r="AI279" s="2014"/>
      <c r="AJ279" s="2014"/>
      <c r="AK279" s="2014"/>
      <c r="AL279" s="2014"/>
      <c r="AM279" s="2014"/>
      <c r="AN279" s="2014"/>
      <c r="AO279" s="2014"/>
      <c r="AP279" s="2014"/>
      <c r="AQ279" s="2014"/>
      <c r="AR279" s="2014"/>
      <c r="AS279" s="2014"/>
      <c r="AT279" s="2014"/>
      <c r="AU279" s="2014"/>
      <c r="AV279" s="2014"/>
      <c r="AW279" s="2014"/>
      <c r="AX279" s="2014"/>
      <c r="AY279" s="2014"/>
      <c r="AZ279" s="2014"/>
      <c r="BA279" s="2014"/>
      <c r="BB279" s="2014"/>
      <c r="BC279" s="2014"/>
      <c r="BD279" s="2014"/>
      <c r="BE279" s="2014"/>
      <c r="BF279" s="2014"/>
      <c r="BG279" s="2014"/>
      <c r="BH279" s="2014"/>
      <c r="BI279" s="2014"/>
      <c r="BJ279" s="2014"/>
      <c r="BK279" s="2014"/>
      <c r="BL279" s="2014"/>
      <c r="BM279" s="2014"/>
      <c r="BN279" s="2014"/>
      <c r="BO279" s="2014"/>
    </row>
    <row r="280" spans="1:67" ht="20.100000000000001" customHeight="1">
      <c r="A280" s="1845">
        <v>30</v>
      </c>
      <c r="B280" s="1854"/>
      <c r="C280" s="1847"/>
      <c r="D280" s="1848" t="s">
        <v>559</v>
      </c>
      <c r="E280" s="1837"/>
      <c r="F280" s="1849"/>
      <c r="G280" s="2010" t="s">
        <v>548</v>
      </c>
      <c r="H280" s="2011">
        <f t="shared" ca="1" si="125"/>
        <v>37.299999999999997</v>
      </c>
      <c r="I280" s="2011">
        <f t="shared" ca="1" si="125"/>
        <v>37.299999999999997</v>
      </c>
      <c r="J280" s="2011">
        <f t="shared" ca="1" si="125"/>
        <v>37.299999999999997</v>
      </c>
      <c r="K280" s="2011">
        <f t="shared" ca="1" si="125"/>
        <v>37.299999999999997</v>
      </c>
      <c r="L280" s="2012">
        <f t="shared" ca="1" si="113"/>
        <v>0</v>
      </c>
      <c r="M280" s="2012">
        <f t="shared" ca="1" si="114"/>
        <v>0</v>
      </c>
      <c r="N280" s="2012">
        <f t="shared" ca="1" si="115"/>
        <v>0</v>
      </c>
      <c r="O280" s="2012">
        <f t="shared" ca="1" si="116"/>
        <v>0</v>
      </c>
      <c r="P280" s="2013">
        <f ca="1">SUM(SUMIFS(OFFSET(貼付け_2024実績,$A280,11,1,199),OFFSET(貼付け_2024実績,4,9,1,199),{"横浜*","川崎*"}))</f>
        <v>0</v>
      </c>
      <c r="Q280" s="2013">
        <f ca="1">SUM(SUMIFS(OFFSET(貼付け_2025実績,$A280,11,1,199),OFFSET(貼付け_2025実績,4,9,1,199),{"横浜*","川崎*"}))</f>
        <v>0</v>
      </c>
      <c r="R280" s="2013">
        <f ca="1">SUM(SUMIFS(OFFSET(貼付け_2026実績,$A280,11,1,199),OFFSET(貼付け_2026実績,4,9,1,199),{"横浜*","川崎*"}))</f>
        <v>0</v>
      </c>
      <c r="S280" s="2013">
        <f ca="1">SUM(SUMIFS(OFFSET(貼付け_2027実績,$A280,11,1,199),OFFSET(貼付け_2027実績,4,9,1,199),{"横浜*","川崎*"}))</f>
        <v>0</v>
      </c>
      <c r="T280" s="2012">
        <f t="shared" ca="1" si="117"/>
        <v>0</v>
      </c>
      <c r="U280" s="2012">
        <f t="shared" ca="1" si="118"/>
        <v>0</v>
      </c>
      <c r="V280" s="2012">
        <f t="shared" ca="1" si="119"/>
        <v>0</v>
      </c>
      <c r="W280" s="2012">
        <f t="shared" ca="1" si="120"/>
        <v>0</v>
      </c>
      <c r="X280" s="2014">
        <f t="shared" ca="1" si="121"/>
        <v>0</v>
      </c>
      <c r="Y280" s="2014">
        <f t="shared" ca="1" si="122"/>
        <v>0</v>
      </c>
      <c r="Z280" s="2014">
        <f t="shared" ca="1" si="123"/>
        <v>0</v>
      </c>
      <c r="AA280" s="2014">
        <f t="shared" ca="1" si="124"/>
        <v>0</v>
      </c>
      <c r="AB280" s="2014"/>
      <c r="AC280" s="2014"/>
      <c r="AD280" s="2014"/>
      <c r="AE280" s="2014"/>
      <c r="AF280" s="2014"/>
      <c r="AG280" s="2014"/>
      <c r="AH280" s="2014"/>
      <c r="AI280" s="2014"/>
      <c r="AJ280" s="2014"/>
      <c r="AK280" s="2014"/>
      <c r="AL280" s="2014"/>
      <c r="AM280" s="2014"/>
      <c r="AN280" s="2014"/>
      <c r="AO280" s="2014"/>
      <c r="AP280" s="2014"/>
      <c r="AQ280" s="2014"/>
      <c r="AR280" s="2014"/>
      <c r="AS280" s="2014"/>
      <c r="AT280" s="2014"/>
      <c r="AU280" s="2014"/>
      <c r="AV280" s="2014"/>
      <c r="AW280" s="2014"/>
      <c r="AX280" s="2014"/>
      <c r="AY280" s="2014"/>
      <c r="AZ280" s="2014"/>
      <c r="BA280" s="2014"/>
      <c r="BB280" s="2014"/>
      <c r="BC280" s="2014"/>
      <c r="BD280" s="2014"/>
      <c r="BE280" s="2014"/>
      <c r="BF280" s="2014"/>
      <c r="BG280" s="2014"/>
      <c r="BH280" s="2014"/>
      <c r="BI280" s="2014"/>
      <c r="BJ280" s="2014"/>
      <c r="BK280" s="2014"/>
      <c r="BL280" s="2014"/>
      <c r="BM280" s="2014"/>
      <c r="BN280" s="2014"/>
      <c r="BO280" s="2014"/>
    </row>
    <row r="281" spans="1:67" ht="20.100000000000001" customHeight="1">
      <c r="A281" s="1845">
        <v>31</v>
      </c>
      <c r="B281" s="1854"/>
      <c r="C281" s="1847"/>
      <c r="D281" s="1848" t="s">
        <v>560</v>
      </c>
      <c r="E281" s="1848"/>
      <c r="F281" s="1849"/>
      <c r="G281" s="2010" t="s">
        <v>553</v>
      </c>
      <c r="H281" s="2011">
        <f t="shared" ca="1" si="125"/>
        <v>18.399999999999999</v>
      </c>
      <c r="I281" s="2011">
        <f t="shared" ca="1" si="125"/>
        <v>18.399999999999999</v>
      </c>
      <c r="J281" s="2011">
        <f t="shared" ca="1" si="125"/>
        <v>18.399999999999999</v>
      </c>
      <c r="K281" s="2011">
        <f t="shared" ca="1" si="125"/>
        <v>18.399999999999999</v>
      </c>
      <c r="L281" s="2012">
        <f t="shared" ca="1" si="113"/>
        <v>0</v>
      </c>
      <c r="M281" s="2012">
        <f t="shared" ca="1" si="114"/>
        <v>0</v>
      </c>
      <c r="N281" s="2012">
        <f t="shared" ca="1" si="115"/>
        <v>0</v>
      </c>
      <c r="O281" s="2012">
        <f t="shared" ca="1" si="116"/>
        <v>0</v>
      </c>
      <c r="P281" s="2013">
        <f ca="1">SUM(SUMIFS(OFFSET(貼付け_2024実績,$A281,11,1,199),OFFSET(貼付け_2024実績,4,9,1,199),{"横浜*","川崎*"}))</f>
        <v>0</v>
      </c>
      <c r="Q281" s="2013">
        <f ca="1">SUM(SUMIFS(OFFSET(貼付け_2025実績,$A281,11,1,199),OFFSET(貼付け_2025実績,4,9,1,199),{"横浜*","川崎*"}))</f>
        <v>0</v>
      </c>
      <c r="R281" s="2013">
        <f ca="1">SUM(SUMIFS(OFFSET(貼付け_2026実績,$A281,11,1,199),OFFSET(貼付け_2026実績,4,9,1,199),{"横浜*","川崎*"}))</f>
        <v>0</v>
      </c>
      <c r="S281" s="2013">
        <f ca="1">SUM(SUMIFS(OFFSET(貼付け_2027実績,$A281,11,1,199),OFFSET(貼付け_2027実績,4,9,1,199),{"横浜*","川崎*"}))</f>
        <v>0</v>
      </c>
      <c r="T281" s="2012">
        <f t="shared" ca="1" si="117"/>
        <v>0</v>
      </c>
      <c r="U281" s="2012">
        <f t="shared" ca="1" si="118"/>
        <v>0</v>
      </c>
      <c r="V281" s="2012">
        <f t="shared" ca="1" si="119"/>
        <v>0</v>
      </c>
      <c r="W281" s="2012">
        <f t="shared" ca="1" si="120"/>
        <v>0</v>
      </c>
      <c r="X281" s="2014">
        <f t="shared" ca="1" si="121"/>
        <v>0</v>
      </c>
      <c r="Y281" s="2014">
        <f t="shared" ca="1" si="122"/>
        <v>0</v>
      </c>
      <c r="Z281" s="2014">
        <f t="shared" ca="1" si="123"/>
        <v>0</v>
      </c>
      <c r="AA281" s="2014">
        <f t="shared" ca="1" si="124"/>
        <v>0</v>
      </c>
      <c r="AB281" s="2014"/>
      <c r="AC281" s="2014"/>
      <c r="AD281" s="2014"/>
      <c r="AE281" s="2014"/>
      <c r="AF281" s="2014"/>
      <c r="AG281" s="2014"/>
      <c r="AH281" s="2014"/>
      <c r="AI281" s="2014"/>
      <c r="AJ281" s="2014"/>
      <c r="AK281" s="2014"/>
      <c r="AL281" s="2014"/>
      <c r="AM281" s="2014"/>
      <c r="AN281" s="2014"/>
      <c r="AO281" s="2014"/>
      <c r="AP281" s="2014"/>
      <c r="AQ281" s="2014"/>
      <c r="AR281" s="2014"/>
      <c r="AS281" s="2014"/>
      <c r="AT281" s="2014"/>
      <c r="AU281" s="2014"/>
      <c r="AV281" s="2014"/>
      <c r="AW281" s="2014"/>
      <c r="AX281" s="2014"/>
      <c r="AY281" s="2014"/>
      <c r="AZ281" s="2014"/>
      <c r="BA281" s="2014"/>
      <c r="BB281" s="2014"/>
      <c r="BC281" s="2014"/>
      <c r="BD281" s="2014"/>
      <c r="BE281" s="2014"/>
      <c r="BF281" s="2014"/>
      <c r="BG281" s="2014"/>
      <c r="BH281" s="2014"/>
      <c r="BI281" s="2014"/>
      <c r="BJ281" s="2014"/>
      <c r="BK281" s="2014"/>
      <c r="BL281" s="2014"/>
      <c r="BM281" s="2014"/>
      <c r="BN281" s="2014"/>
      <c r="BO281" s="2014"/>
    </row>
    <row r="282" spans="1:67" ht="20.100000000000001" customHeight="1">
      <c r="A282" s="1845">
        <v>32</v>
      </c>
      <c r="B282" s="1854"/>
      <c r="C282" s="1847"/>
      <c r="D282" s="1848" t="s">
        <v>561</v>
      </c>
      <c r="E282" s="1848"/>
      <c r="F282" s="1849"/>
      <c r="G282" s="2010" t="s">
        <v>553</v>
      </c>
      <c r="H282" s="2011">
        <f t="shared" ca="1" si="125"/>
        <v>3.23</v>
      </c>
      <c r="I282" s="2011">
        <f t="shared" ca="1" si="125"/>
        <v>3.23</v>
      </c>
      <c r="J282" s="2011">
        <f t="shared" ca="1" si="125"/>
        <v>3.23</v>
      </c>
      <c r="K282" s="2011">
        <f t="shared" ca="1" si="125"/>
        <v>3.23</v>
      </c>
      <c r="L282" s="2012">
        <f t="shared" ca="1" si="113"/>
        <v>0</v>
      </c>
      <c r="M282" s="2012">
        <f t="shared" ca="1" si="114"/>
        <v>0</v>
      </c>
      <c r="N282" s="2012">
        <f t="shared" ca="1" si="115"/>
        <v>0</v>
      </c>
      <c r="O282" s="2012">
        <f t="shared" ca="1" si="116"/>
        <v>0</v>
      </c>
      <c r="P282" s="2013">
        <f ca="1">SUM(SUMIFS(OFFSET(貼付け_2024実績,$A282,11,1,199),OFFSET(貼付け_2024実績,4,9,1,199),{"横浜*","川崎*"}))</f>
        <v>0</v>
      </c>
      <c r="Q282" s="2013">
        <f ca="1">SUM(SUMIFS(OFFSET(貼付け_2025実績,$A282,11,1,199),OFFSET(貼付け_2025実績,4,9,1,199),{"横浜*","川崎*"}))</f>
        <v>0</v>
      </c>
      <c r="R282" s="2013">
        <f ca="1">SUM(SUMIFS(OFFSET(貼付け_2026実績,$A282,11,1,199),OFFSET(貼付け_2026実績,4,9,1,199),{"横浜*","川崎*"}))</f>
        <v>0</v>
      </c>
      <c r="S282" s="2013">
        <f ca="1">SUM(SUMIFS(OFFSET(貼付け_2027実績,$A282,11,1,199),OFFSET(貼付け_2027実績,4,9,1,199),{"横浜*","川崎*"}))</f>
        <v>0</v>
      </c>
      <c r="T282" s="2012">
        <f t="shared" ca="1" si="117"/>
        <v>0</v>
      </c>
      <c r="U282" s="2012">
        <f t="shared" ca="1" si="118"/>
        <v>0</v>
      </c>
      <c r="V282" s="2012">
        <f t="shared" ca="1" si="119"/>
        <v>0</v>
      </c>
      <c r="W282" s="2012">
        <f t="shared" ca="1" si="120"/>
        <v>0</v>
      </c>
      <c r="X282" s="2014">
        <f t="shared" ca="1" si="121"/>
        <v>0</v>
      </c>
      <c r="Y282" s="2014">
        <f t="shared" ca="1" si="122"/>
        <v>0</v>
      </c>
      <c r="Z282" s="2014">
        <f t="shared" ca="1" si="123"/>
        <v>0</v>
      </c>
      <c r="AA282" s="2014">
        <f t="shared" ca="1" si="124"/>
        <v>0</v>
      </c>
      <c r="AB282" s="2014"/>
      <c r="AC282" s="2014"/>
      <c r="AD282" s="2014"/>
      <c r="AE282" s="2014"/>
      <c r="AF282" s="2014"/>
      <c r="AG282" s="2014"/>
      <c r="AH282" s="2014"/>
      <c r="AI282" s="2014"/>
      <c r="AJ282" s="2014"/>
      <c r="AK282" s="2014"/>
      <c r="AL282" s="2014"/>
      <c r="AM282" s="2014"/>
      <c r="AN282" s="2014"/>
      <c r="AO282" s="2014"/>
      <c r="AP282" s="2014"/>
      <c r="AQ282" s="2014"/>
      <c r="AR282" s="2014"/>
      <c r="AS282" s="2014"/>
      <c r="AT282" s="2014"/>
      <c r="AU282" s="2014"/>
      <c r="AV282" s="2014"/>
      <c r="AW282" s="2014"/>
      <c r="AX282" s="2014"/>
      <c r="AY282" s="2014"/>
      <c r="AZ282" s="2014"/>
      <c r="BA282" s="2014"/>
      <c r="BB282" s="2014"/>
      <c r="BC282" s="2014"/>
      <c r="BD282" s="2014"/>
      <c r="BE282" s="2014"/>
      <c r="BF282" s="2014"/>
      <c r="BG282" s="2014"/>
      <c r="BH282" s="2014"/>
      <c r="BI282" s="2014"/>
      <c r="BJ282" s="2014"/>
      <c r="BK282" s="2014"/>
      <c r="BL282" s="2014"/>
      <c r="BM282" s="2014"/>
      <c r="BN282" s="2014"/>
      <c r="BO282" s="2014"/>
    </row>
    <row r="283" spans="1:67" ht="20.100000000000001" customHeight="1">
      <c r="A283" s="1845">
        <v>33</v>
      </c>
      <c r="B283" s="1854"/>
      <c r="C283" s="1847"/>
      <c r="D283" s="1848" t="s">
        <v>933</v>
      </c>
      <c r="E283" s="1848"/>
      <c r="F283" s="1849"/>
      <c r="G283" s="2010" t="s">
        <v>553</v>
      </c>
      <c r="H283" s="2011">
        <f t="shared" ca="1" si="125"/>
        <v>3.45</v>
      </c>
      <c r="I283" s="2011">
        <f t="shared" ca="1" si="125"/>
        <v>3.45</v>
      </c>
      <c r="J283" s="2011">
        <f t="shared" ca="1" si="125"/>
        <v>3.45</v>
      </c>
      <c r="K283" s="2011">
        <f t="shared" ca="1" si="125"/>
        <v>3.45</v>
      </c>
      <c r="L283" s="2012">
        <f t="shared" ca="1" si="113"/>
        <v>0</v>
      </c>
      <c r="M283" s="2012">
        <f t="shared" ca="1" si="114"/>
        <v>0</v>
      </c>
      <c r="N283" s="2012">
        <f t="shared" ca="1" si="115"/>
        <v>0</v>
      </c>
      <c r="O283" s="2012">
        <f t="shared" ca="1" si="116"/>
        <v>0</v>
      </c>
      <c r="P283" s="2013">
        <f ca="1">SUM(SUMIFS(OFFSET(貼付け_2024実績,$A283,11,1,199),OFFSET(貼付け_2024実績,4,9,1,199),{"横浜*","川崎*"}))</f>
        <v>0</v>
      </c>
      <c r="Q283" s="2013">
        <f ca="1">SUM(SUMIFS(OFFSET(貼付け_2025実績,$A283,11,1,199),OFFSET(貼付け_2025実績,4,9,1,199),{"横浜*","川崎*"}))</f>
        <v>0</v>
      </c>
      <c r="R283" s="2013">
        <f ca="1">SUM(SUMIFS(OFFSET(貼付け_2026実績,$A283,11,1,199),OFFSET(貼付け_2026実績,4,9,1,199),{"横浜*","川崎*"}))</f>
        <v>0</v>
      </c>
      <c r="S283" s="2013">
        <f ca="1">SUM(SUMIFS(OFFSET(貼付け_2027実績,$A283,11,1,199),OFFSET(貼付け_2027実績,4,9,1,199),{"横浜*","川崎*"}))</f>
        <v>0</v>
      </c>
      <c r="T283" s="2012">
        <f t="shared" ca="1" si="117"/>
        <v>0</v>
      </c>
      <c r="U283" s="2012">
        <f t="shared" ca="1" si="118"/>
        <v>0</v>
      </c>
      <c r="V283" s="2012">
        <f t="shared" ca="1" si="119"/>
        <v>0</v>
      </c>
      <c r="W283" s="2012">
        <f t="shared" ca="1" si="120"/>
        <v>0</v>
      </c>
      <c r="X283" s="2014">
        <f t="shared" ca="1" si="121"/>
        <v>0</v>
      </c>
      <c r="Y283" s="2014">
        <f t="shared" ca="1" si="122"/>
        <v>0</v>
      </c>
      <c r="Z283" s="2014">
        <f t="shared" ca="1" si="123"/>
        <v>0</v>
      </c>
      <c r="AA283" s="2014">
        <f t="shared" ca="1" si="124"/>
        <v>0</v>
      </c>
      <c r="AB283" s="2014"/>
      <c r="AC283" s="2014"/>
      <c r="AD283" s="2014"/>
      <c r="AE283" s="2014"/>
      <c r="AF283" s="2014"/>
      <c r="AG283" s="2014"/>
      <c r="AH283" s="2014"/>
      <c r="AI283" s="2014"/>
      <c r="AJ283" s="2014"/>
      <c r="AK283" s="2014"/>
      <c r="AL283" s="2014"/>
      <c r="AM283" s="2014"/>
      <c r="AN283" s="2014"/>
      <c r="AO283" s="2014"/>
      <c r="AP283" s="2014"/>
      <c r="AQ283" s="2014"/>
      <c r="AR283" s="2014"/>
      <c r="AS283" s="2014"/>
      <c r="AT283" s="2014"/>
      <c r="AU283" s="2014"/>
      <c r="AV283" s="2014"/>
      <c r="AW283" s="2014"/>
      <c r="AX283" s="2014"/>
      <c r="AY283" s="2014"/>
      <c r="AZ283" s="2014"/>
      <c r="BA283" s="2014"/>
      <c r="BB283" s="2014"/>
      <c r="BC283" s="2014"/>
      <c r="BD283" s="2014"/>
      <c r="BE283" s="2014"/>
      <c r="BF283" s="2014"/>
      <c r="BG283" s="2014"/>
      <c r="BH283" s="2014"/>
      <c r="BI283" s="2014"/>
      <c r="BJ283" s="2014"/>
      <c r="BK283" s="2014"/>
      <c r="BL283" s="2014"/>
      <c r="BM283" s="2014"/>
      <c r="BN283" s="2014"/>
      <c r="BO283" s="2014"/>
    </row>
    <row r="284" spans="1:67" ht="20.100000000000001" customHeight="1">
      <c r="A284" s="1845">
        <v>34</v>
      </c>
      <c r="B284" s="1854"/>
      <c r="C284" s="1847"/>
      <c r="D284" s="1848" t="s">
        <v>562</v>
      </c>
      <c r="E284" s="1848"/>
      <c r="F284" s="1849"/>
      <c r="G284" s="2010" t="s">
        <v>553</v>
      </c>
      <c r="H284" s="2011">
        <f t="shared" ca="1" si="125"/>
        <v>7.53</v>
      </c>
      <c r="I284" s="2011">
        <f t="shared" ca="1" si="125"/>
        <v>7.53</v>
      </c>
      <c r="J284" s="2011">
        <f t="shared" ca="1" si="125"/>
        <v>7.53</v>
      </c>
      <c r="K284" s="2011">
        <f t="shared" ca="1" si="125"/>
        <v>7.53</v>
      </c>
      <c r="L284" s="2012">
        <f t="shared" ca="1" si="113"/>
        <v>0</v>
      </c>
      <c r="M284" s="2012">
        <f t="shared" ca="1" si="114"/>
        <v>0</v>
      </c>
      <c r="N284" s="2012">
        <f t="shared" ca="1" si="115"/>
        <v>0</v>
      </c>
      <c r="O284" s="2012">
        <f t="shared" ca="1" si="116"/>
        <v>0</v>
      </c>
      <c r="P284" s="2013">
        <f ca="1">SUM(SUMIFS(OFFSET(貼付け_2024実績,$A284,11,1,199),OFFSET(貼付け_2024実績,4,9,1,199),{"横浜*","川崎*"}))</f>
        <v>0</v>
      </c>
      <c r="Q284" s="2013">
        <f ca="1">SUM(SUMIFS(OFFSET(貼付け_2025実績,$A284,11,1,199),OFFSET(貼付け_2025実績,4,9,1,199),{"横浜*","川崎*"}))</f>
        <v>0</v>
      </c>
      <c r="R284" s="2013">
        <f ca="1">SUM(SUMIFS(OFFSET(貼付け_2026実績,$A284,11,1,199),OFFSET(貼付け_2026実績,4,9,1,199),{"横浜*","川崎*"}))</f>
        <v>0</v>
      </c>
      <c r="S284" s="2013">
        <f ca="1">SUM(SUMIFS(OFFSET(貼付け_2027実績,$A284,11,1,199),OFFSET(貼付け_2027実績,4,9,1,199),{"横浜*","川崎*"}))</f>
        <v>0</v>
      </c>
      <c r="T284" s="2012">
        <f t="shared" ca="1" si="117"/>
        <v>0</v>
      </c>
      <c r="U284" s="2012">
        <f t="shared" ca="1" si="118"/>
        <v>0</v>
      </c>
      <c r="V284" s="2012">
        <f t="shared" ca="1" si="119"/>
        <v>0</v>
      </c>
      <c r="W284" s="2012">
        <f t="shared" ca="1" si="120"/>
        <v>0</v>
      </c>
      <c r="X284" s="2014">
        <f t="shared" ca="1" si="121"/>
        <v>0</v>
      </c>
      <c r="Y284" s="2014">
        <f t="shared" ca="1" si="122"/>
        <v>0</v>
      </c>
      <c r="Z284" s="2014">
        <f t="shared" ca="1" si="123"/>
        <v>0</v>
      </c>
      <c r="AA284" s="2014">
        <f t="shared" ca="1" si="124"/>
        <v>0</v>
      </c>
      <c r="AB284" s="2014"/>
      <c r="AC284" s="2014"/>
      <c r="AD284" s="2014"/>
      <c r="AE284" s="2014"/>
      <c r="AF284" s="2014"/>
      <c r="AG284" s="2014"/>
      <c r="AH284" s="2014"/>
      <c r="AI284" s="2014"/>
      <c r="AJ284" s="2014"/>
      <c r="AK284" s="2014"/>
      <c r="AL284" s="2014"/>
      <c r="AM284" s="2014"/>
      <c r="AN284" s="2014"/>
      <c r="AO284" s="2014"/>
      <c r="AP284" s="2014"/>
      <c r="AQ284" s="2014"/>
      <c r="AR284" s="2014"/>
      <c r="AS284" s="2014"/>
      <c r="AT284" s="2014"/>
      <c r="AU284" s="2014"/>
      <c r="AV284" s="2014"/>
      <c r="AW284" s="2014"/>
      <c r="AX284" s="2014"/>
      <c r="AY284" s="2014"/>
      <c r="AZ284" s="2014"/>
      <c r="BA284" s="2014"/>
      <c r="BB284" s="2014"/>
      <c r="BC284" s="2014"/>
      <c r="BD284" s="2014"/>
      <c r="BE284" s="2014"/>
      <c r="BF284" s="2014"/>
      <c r="BG284" s="2014"/>
      <c r="BH284" s="2014"/>
      <c r="BI284" s="2014"/>
      <c r="BJ284" s="2014"/>
      <c r="BK284" s="2014"/>
      <c r="BL284" s="2014"/>
      <c r="BM284" s="2014"/>
      <c r="BN284" s="2014"/>
      <c r="BO284" s="2014"/>
    </row>
    <row r="285" spans="1:67" ht="20.100000000000001" customHeight="1">
      <c r="A285" s="1845">
        <v>35</v>
      </c>
      <c r="B285" s="1855"/>
      <c r="C285" s="1847"/>
      <c r="D285" s="1848" t="s">
        <v>934</v>
      </c>
      <c r="E285" s="1856"/>
      <c r="F285" s="1849"/>
      <c r="G285" s="2010" t="s">
        <v>553</v>
      </c>
      <c r="H285" s="2011">
        <f t="shared" si="125"/>
        <v>0</v>
      </c>
      <c r="I285" s="2011">
        <f t="shared" si="125"/>
        <v>0</v>
      </c>
      <c r="J285" s="2011">
        <f t="shared" si="125"/>
        <v>0</v>
      </c>
      <c r="K285" s="2011">
        <f t="shared" si="125"/>
        <v>0</v>
      </c>
      <c r="L285" s="2012">
        <f t="shared" ca="1" si="113"/>
        <v>0</v>
      </c>
      <c r="M285" s="2012">
        <f t="shared" ca="1" si="114"/>
        <v>0</v>
      </c>
      <c r="N285" s="2012">
        <f t="shared" ca="1" si="115"/>
        <v>0</v>
      </c>
      <c r="O285" s="2012">
        <f t="shared" ca="1" si="116"/>
        <v>0</v>
      </c>
      <c r="P285" s="2013">
        <f ca="1">SUM(SUMIFS(OFFSET(貼付け_2024実績,$A285,11,1,199),OFFSET(貼付け_2024実績,4,9,1,199),{"横浜*","川崎*"}))</f>
        <v>0</v>
      </c>
      <c r="Q285" s="2013">
        <f ca="1">SUM(SUMIFS(OFFSET(貼付け_2025実績,$A285,11,1,199),OFFSET(貼付け_2025実績,4,9,1,199),{"横浜*","川崎*"}))</f>
        <v>0</v>
      </c>
      <c r="R285" s="2013">
        <f ca="1">SUM(SUMIFS(OFFSET(貼付け_2026実績,$A285,11,1,199),OFFSET(貼付け_2026実績,4,9,1,199),{"横浜*","川崎*"}))</f>
        <v>0</v>
      </c>
      <c r="S285" s="2013">
        <f ca="1">SUM(SUMIFS(OFFSET(貼付け_2027実績,$A285,11,1,199),OFFSET(貼付け_2027実績,4,9,1,199),{"横浜*","川崎*"}))</f>
        <v>0</v>
      </c>
      <c r="T285" s="2012">
        <f t="shared" ca="1" si="117"/>
        <v>0</v>
      </c>
      <c r="U285" s="2012">
        <f t="shared" ca="1" si="118"/>
        <v>0</v>
      </c>
      <c r="V285" s="2012">
        <f t="shared" ca="1" si="119"/>
        <v>0</v>
      </c>
      <c r="W285" s="2012">
        <f t="shared" ca="1" si="120"/>
        <v>0</v>
      </c>
      <c r="X285" s="2014">
        <f t="shared" ca="1" si="121"/>
        <v>0</v>
      </c>
      <c r="Y285" s="2014">
        <f t="shared" ca="1" si="122"/>
        <v>0</v>
      </c>
      <c r="Z285" s="2014">
        <f t="shared" ca="1" si="123"/>
        <v>0</v>
      </c>
      <c r="AA285" s="2014">
        <f t="shared" ca="1" si="124"/>
        <v>0</v>
      </c>
      <c r="AB285" s="2014"/>
      <c r="AC285" s="2014"/>
      <c r="AD285" s="2014"/>
      <c r="AE285" s="2014"/>
      <c r="AF285" s="2014"/>
      <c r="AG285" s="2014"/>
      <c r="AH285" s="2014"/>
      <c r="AI285" s="2014"/>
      <c r="AJ285" s="2014"/>
      <c r="AK285" s="2014"/>
      <c r="AL285" s="2014"/>
      <c r="AM285" s="2014"/>
      <c r="AN285" s="2014"/>
      <c r="AO285" s="2014"/>
      <c r="AP285" s="2014"/>
      <c r="AQ285" s="2014"/>
      <c r="AR285" s="2014"/>
      <c r="AS285" s="2014"/>
      <c r="AT285" s="2014"/>
      <c r="AU285" s="2014"/>
      <c r="AV285" s="2014"/>
      <c r="AW285" s="2014"/>
      <c r="AX285" s="2014"/>
      <c r="AY285" s="2014"/>
      <c r="AZ285" s="2014"/>
      <c r="BA285" s="2014"/>
      <c r="BB285" s="2014"/>
      <c r="BC285" s="2014"/>
      <c r="BD285" s="2014"/>
      <c r="BE285" s="2014"/>
      <c r="BF285" s="2014"/>
      <c r="BG285" s="2014"/>
      <c r="BH285" s="2014"/>
      <c r="BI285" s="2014"/>
      <c r="BJ285" s="2014"/>
      <c r="BK285" s="2014"/>
      <c r="BL285" s="2014"/>
      <c r="BM285" s="2014"/>
      <c r="BN285" s="2014"/>
      <c r="BO285" s="2014"/>
    </row>
    <row r="286" spans="1:67" ht="20.100000000000001" customHeight="1">
      <c r="A286" s="1845">
        <v>36</v>
      </c>
      <c r="B286" s="1854"/>
      <c r="C286" s="1847"/>
      <c r="D286" s="1848" t="s">
        <v>935</v>
      </c>
      <c r="E286" s="1858" t="str">
        <f ca="1">E37</f>
        <v/>
      </c>
      <c r="F286" s="1849"/>
      <c r="G286" s="1858" t="str">
        <f ca="1">G37</f>
        <v/>
      </c>
      <c r="H286" s="2011">
        <f t="shared" ca="1" si="125"/>
        <v>0</v>
      </c>
      <c r="I286" s="2011">
        <f t="shared" ca="1" si="125"/>
        <v>0</v>
      </c>
      <c r="J286" s="2011">
        <f t="shared" ca="1" si="125"/>
        <v>0</v>
      </c>
      <c r="K286" s="2011">
        <f t="shared" ca="1" si="125"/>
        <v>0</v>
      </c>
      <c r="L286" s="2012">
        <f t="shared" ca="1" si="113"/>
        <v>0</v>
      </c>
      <c r="M286" s="2012">
        <f t="shared" ca="1" si="114"/>
        <v>0</v>
      </c>
      <c r="N286" s="2012">
        <f t="shared" ca="1" si="115"/>
        <v>0</v>
      </c>
      <c r="O286" s="2012">
        <f t="shared" ca="1" si="116"/>
        <v>0</v>
      </c>
      <c r="P286" s="2013">
        <f ca="1">SUM(SUMIFS(OFFSET(貼付け_2024実績,$A286,11,1,199),OFFSET(貼付け_2024実績,4,9,1,199),{"横浜*","川崎*"}))</f>
        <v>0</v>
      </c>
      <c r="Q286" s="2013">
        <f ca="1">SUM(SUMIFS(OFFSET(貼付け_2025実績,$A286,11,1,199),OFFSET(貼付け_2025実績,4,9,1,199),{"横浜*","川崎*"}))</f>
        <v>0</v>
      </c>
      <c r="R286" s="2013">
        <f ca="1">SUM(SUMIFS(OFFSET(貼付け_2026実績,$A286,11,1,199),OFFSET(貼付け_2026実績,4,9,1,199),{"横浜*","川崎*"}))</f>
        <v>0</v>
      </c>
      <c r="S286" s="2013">
        <f ca="1">SUM(SUMIFS(OFFSET(貼付け_2027実績,$A286,11,1,199),OFFSET(貼付け_2027実績,4,9,1,199),{"横浜*","川崎*"}))</f>
        <v>0</v>
      </c>
      <c r="T286" s="2012">
        <f t="shared" ca="1" si="117"/>
        <v>0</v>
      </c>
      <c r="U286" s="2012">
        <f t="shared" ca="1" si="118"/>
        <v>0</v>
      </c>
      <c r="V286" s="2012">
        <f t="shared" ca="1" si="119"/>
        <v>0</v>
      </c>
      <c r="W286" s="2012">
        <f t="shared" ca="1" si="120"/>
        <v>0</v>
      </c>
      <c r="X286" s="2014">
        <f t="shared" ca="1" si="121"/>
        <v>0</v>
      </c>
      <c r="Y286" s="2014">
        <f t="shared" ca="1" si="122"/>
        <v>0</v>
      </c>
      <c r="Z286" s="2014">
        <f t="shared" ca="1" si="123"/>
        <v>0</v>
      </c>
      <c r="AA286" s="2014">
        <f t="shared" ca="1" si="124"/>
        <v>0</v>
      </c>
      <c r="AB286" s="2014"/>
      <c r="AC286" s="2014"/>
      <c r="AD286" s="2014"/>
      <c r="AE286" s="2014"/>
      <c r="AF286" s="2014"/>
      <c r="AG286" s="2014"/>
      <c r="AH286" s="2014"/>
      <c r="AI286" s="2014"/>
      <c r="AJ286" s="2014"/>
      <c r="AK286" s="2014"/>
      <c r="AL286" s="2014"/>
      <c r="AM286" s="2014"/>
      <c r="AN286" s="2014"/>
      <c r="AO286" s="2014"/>
      <c r="AP286" s="2014"/>
      <c r="AQ286" s="2014"/>
      <c r="AR286" s="2014"/>
      <c r="AS286" s="2014"/>
      <c r="AT286" s="2014"/>
      <c r="AU286" s="2014"/>
      <c r="AV286" s="2014"/>
      <c r="AW286" s="2014"/>
      <c r="AX286" s="2014"/>
      <c r="AY286" s="2014"/>
      <c r="AZ286" s="2014"/>
      <c r="BA286" s="2014"/>
      <c r="BB286" s="2014"/>
      <c r="BC286" s="2014"/>
      <c r="BD286" s="2014"/>
      <c r="BE286" s="2014"/>
      <c r="BF286" s="2014"/>
      <c r="BG286" s="2014"/>
      <c r="BH286" s="2014"/>
      <c r="BI286" s="2014"/>
      <c r="BJ286" s="2014"/>
      <c r="BK286" s="2014"/>
      <c r="BL286" s="2014"/>
      <c r="BM286" s="2014"/>
      <c r="BN286" s="2014"/>
      <c r="BO286" s="2014"/>
    </row>
    <row r="287" spans="1:67" ht="20.100000000000001" customHeight="1">
      <c r="A287" s="1845">
        <v>37</v>
      </c>
      <c r="B287" s="1854"/>
      <c r="C287" s="1847" t="s">
        <v>936</v>
      </c>
      <c r="D287" s="1859" t="s">
        <v>937</v>
      </c>
      <c r="E287" s="1848"/>
      <c r="F287" s="1849"/>
      <c r="G287" s="2010" t="s">
        <v>548</v>
      </c>
      <c r="H287" s="2011">
        <f t="shared" ca="1" si="125"/>
        <v>13.6</v>
      </c>
      <c r="I287" s="2011">
        <f t="shared" ca="1" si="125"/>
        <v>13.6</v>
      </c>
      <c r="J287" s="2011">
        <f t="shared" ca="1" si="125"/>
        <v>13.6</v>
      </c>
      <c r="K287" s="2011">
        <f t="shared" ca="1" si="125"/>
        <v>13.6</v>
      </c>
      <c r="L287" s="2012">
        <f t="shared" ca="1" si="113"/>
        <v>0</v>
      </c>
      <c r="M287" s="2012">
        <f t="shared" ca="1" si="114"/>
        <v>0</v>
      </c>
      <c r="N287" s="2012">
        <f t="shared" ca="1" si="115"/>
        <v>0</v>
      </c>
      <c r="O287" s="2012">
        <f t="shared" ca="1" si="116"/>
        <v>0</v>
      </c>
      <c r="P287" s="2013">
        <f ca="1">SUM(SUMIFS(OFFSET(貼付け_2024実績,$A287,11,1,199),OFFSET(貼付け_2024実績,4,9,1,199),{"横浜*","川崎*"}))</f>
        <v>0</v>
      </c>
      <c r="Q287" s="2013">
        <f ca="1">SUM(SUMIFS(OFFSET(貼付け_2025実績,$A287,11,1,199),OFFSET(貼付け_2025実績,4,9,1,199),{"横浜*","川崎*"}))</f>
        <v>0</v>
      </c>
      <c r="R287" s="2013">
        <f ca="1">SUM(SUMIFS(OFFSET(貼付け_2026実績,$A287,11,1,199),OFFSET(貼付け_2026実績,4,9,1,199),{"横浜*","川崎*"}))</f>
        <v>0</v>
      </c>
      <c r="S287" s="2013">
        <f ca="1">SUM(SUMIFS(OFFSET(貼付け_2027実績,$A287,11,1,199),OFFSET(貼付け_2027実績,4,9,1,199),{"横浜*","川崎*"}))</f>
        <v>0</v>
      </c>
      <c r="T287" s="2012">
        <f t="shared" ca="1" si="117"/>
        <v>0</v>
      </c>
      <c r="U287" s="2012">
        <f t="shared" ca="1" si="118"/>
        <v>0</v>
      </c>
      <c r="V287" s="2012">
        <f t="shared" ca="1" si="119"/>
        <v>0</v>
      </c>
      <c r="W287" s="2012">
        <f t="shared" ca="1" si="120"/>
        <v>0</v>
      </c>
      <c r="X287" s="2014">
        <f t="shared" ca="1" si="121"/>
        <v>0</v>
      </c>
      <c r="Y287" s="2014">
        <f t="shared" ca="1" si="122"/>
        <v>0</v>
      </c>
      <c r="Z287" s="2014">
        <f t="shared" ca="1" si="123"/>
        <v>0</v>
      </c>
      <c r="AA287" s="2014">
        <f t="shared" ca="1" si="124"/>
        <v>0</v>
      </c>
      <c r="AB287" s="2014"/>
      <c r="AC287" s="2014"/>
      <c r="AD287" s="2014"/>
      <c r="AE287" s="2014"/>
      <c r="AF287" s="2014"/>
      <c r="AG287" s="2014"/>
      <c r="AH287" s="2014"/>
      <c r="AI287" s="2014"/>
      <c r="AJ287" s="2014"/>
      <c r="AK287" s="2014"/>
      <c r="AL287" s="2014"/>
      <c r="AM287" s="2014"/>
      <c r="AN287" s="2014"/>
      <c r="AO287" s="2014"/>
      <c r="AP287" s="2014"/>
      <c r="AQ287" s="2014"/>
      <c r="AR287" s="2014"/>
      <c r="AS287" s="2014"/>
      <c r="AT287" s="2014"/>
      <c r="AU287" s="2014"/>
      <c r="AV287" s="2014"/>
      <c r="AW287" s="2014"/>
      <c r="AX287" s="2014"/>
      <c r="AY287" s="2014"/>
      <c r="AZ287" s="2014"/>
      <c r="BA287" s="2014"/>
      <c r="BB287" s="2014"/>
      <c r="BC287" s="2014"/>
      <c r="BD287" s="2014"/>
      <c r="BE287" s="2014"/>
      <c r="BF287" s="2014"/>
      <c r="BG287" s="2014"/>
      <c r="BH287" s="2014"/>
      <c r="BI287" s="2014"/>
      <c r="BJ287" s="2014"/>
      <c r="BK287" s="2014"/>
      <c r="BL287" s="2014"/>
      <c r="BM287" s="2014"/>
      <c r="BN287" s="2014"/>
      <c r="BO287" s="2014"/>
    </row>
    <row r="288" spans="1:67" ht="20.100000000000001" customHeight="1">
      <c r="A288" s="1845">
        <v>38</v>
      </c>
      <c r="B288" s="1854"/>
      <c r="C288" s="1847"/>
      <c r="D288" s="1859" t="s">
        <v>938</v>
      </c>
      <c r="E288" s="1848"/>
      <c r="F288" s="1849"/>
      <c r="G288" s="2010" t="s">
        <v>548</v>
      </c>
      <c r="H288" s="2011">
        <f t="shared" ca="1" si="125"/>
        <v>13.2</v>
      </c>
      <c r="I288" s="2011">
        <f t="shared" ca="1" si="125"/>
        <v>13.2</v>
      </c>
      <c r="J288" s="2011">
        <f t="shared" ca="1" si="125"/>
        <v>13.2</v>
      </c>
      <c r="K288" s="2011">
        <f t="shared" ca="1" si="125"/>
        <v>13.2</v>
      </c>
      <c r="L288" s="2012">
        <f t="shared" ca="1" si="113"/>
        <v>0</v>
      </c>
      <c r="M288" s="2012">
        <f t="shared" ca="1" si="114"/>
        <v>0</v>
      </c>
      <c r="N288" s="2012">
        <f t="shared" ca="1" si="115"/>
        <v>0</v>
      </c>
      <c r="O288" s="2012">
        <f t="shared" ca="1" si="116"/>
        <v>0</v>
      </c>
      <c r="P288" s="2013">
        <f ca="1">SUM(SUMIFS(OFFSET(貼付け_2024実績,$A288,11,1,199),OFFSET(貼付け_2024実績,4,9,1,199),{"横浜*","川崎*"}))</f>
        <v>0</v>
      </c>
      <c r="Q288" s="2013">
        <f ca="1">SUM(SUMIFS(OFFSET(貼付け_2025実績,$A288,11,1,199),OFFSET(貼付け_2025実績,4,9,1,199),{"横浜*","川崎*"}))</f>
        <v>0</v>
      </c>
      <c r="R288" s="2013">
        <f ca="1">SUM(SUMIFS(OFFSET(貼付け_2026実績,$A288,11,1,199),OFFSET(貼付け_2026実績,4,9,1,199),{"横浜*","川崎*"}))</f>
        <v>0</v>
      </c>
      <c r="S288" s="2013">
        <f ca="1">SUM(SUMIFS(OFFSET(貼付け_2027実績,$A288,11,1,199),OFFSET(貼付け_2027実績,4,9,1,199),{"横浜*","川崎*"}))</f>
        <v>0</v>
      </c>
      <c r="T288" s="2012">
        <f t="shared" ca="1" si="117"/>
        <v>0</v>
      </c>
      <c r="U288" s="2012">
        <f t="shared" ca="1" si="118"/>
        <v>0</v>
      </c>
      <c r="V288" s="2012">
        <f t="shared" ca="1" si="119"/>
        <v>0</v>
      </c>
      <c r="W288" s="2012">
        <f t="shared" ca="1" si="120"/>
        <v>0</v>
      </c>
      <c r="X288" s="2014">
        <f t="shared" ca="1" si="121"/>
        <v>0</v>
      </c>
      <c r="Y288" s="2014">
        <f t="shared" ca="1" si="122"/>
        <v>0</v>
      </c>
      <c r="Z288" s="2014">
        <f t="shared" ca="1" si="123"/>
        <v>0</v>
      </c>
      <c r="AA288" s="2014">
        <f t="shared" ca="1" si="124"/>
        <v>0</v>
      </c>
      <c r="AB288" s="2014"/>
      <c r="AC288" s="2014"/>
      <c r="AD288" s="2014"/>
      <c r="AE288" s="2014"/>
      <c r="AF288" s="2014"/>
      <c r="AG288" s="2014"/>
      <c r="AH288" s="2014"/>
      <c r="AI288" s="2014"/>
      <c r="AJ288" s="2014"/>
      <c r="AK288" s="2014"/>
      <c r="AL288" s="2014"/>
      <c r="AM288" s="2014"/>
      <c r="AN288" s="2014"/>
      <c r="AO288" s="2014"/>
      <c r="AP288" s="2014"/>
      <c r="AQ288" s="2014"/>
      <c r="AR288" s="2014"/>
      <c r="AS288" s="2014"/>
      <c r="AT288" s="2014"/>
      <c r="AU288" s="2014"/>
      <c r="AV288" s="2014"/>
      <c r="AW288" s="2014"/>
      <c r="AX288" s="2014"/>
      <c r="AY288" s="2014"/>
      <c r="AZ288" s="2014"/>
      <c r="BA288" s="2014"/>
      <c r="BB288" s="2014"/>
      <c r="BC288" s="2014"/>
      <c r="BD288" s="2014"/>
      <c r="BE288" s="2014"/>
      <c r="BF288" s="2014"/>
      <c r="BG288" s="2014"/>
      <c r="BH288" s="2014"/>
      <c r="BI288" s="2014"/>
      <c r="BJ288" s="2014"/>
      <c r="BK288" s="2014"/>
      <c r="BL288" s="2014"/>
      <c r="BM288" s="2014"/>
      <c r="BN288" s="2014"/>
      <c r="BO288" s="2014"/>
    </row>
    <row r="289" spans="1:67" ht="20.100000000000001" customHeight="1">
      <c r="A289" s="1845">
        <v>39</v>
      </c>
      <c r="B289" s="1854"/>
      <c r="C289" s="1847"/>
      <c r="D289" s="1859" t="s">
        <v>939</v>
      </c>
      <c r="E289" s="1837"/>
      <c r="F289" s="1849"/>
      <c r="G289" s="2010" t="s">
        <v>548</v>
      </c>
      <c r="H289" s="2011">
        <f t="shared" ca="1" si="125"/>
        <v>17.100000000000001</v>
      </c>
      <c r="I289" s="2011">
        <f t="shared" ca="1" si="125"/>
        <v>17.100000000000001</v>
      </c>
      <c r="J289" s="2011">
        <f t="shared" ca="1" si="125"/>
        <v>17.100000000000001</v>
      </c>
      <c r="K289" s="2011">
        <f t="shared" ca="1" si="125"/>
        <v>17.100000000000001</v>
      </c>
      <c r="L289" s="2012">
        <f t="shared" ca="1" si="113"/>
        <v>0</v>
      </c>
      <c r="M289" s="2012">
        <f t="shared" ca="1" si="114"/>
        <v>0</v>
      </c>
      <c r="N289" s="2012">
        <f t="shared" ca="1" si="115"/>
        <v>0</v>
      </c>
      <c r="O289" s="2012">
        <f t="shared" ca="1" si="116"/>
        <v>0</v>
      </c>
      <c r="P289" s="2013">
        <f ca="1">SUM(SUMIFS(OFFSET(貼付け_2024実績,$A289,11,1,199),OFFSET(貼付け_2024実績,4,9,1,199),{"横浜*","川崎*"}))</f>
        <v>0</v>
      </c>
      <c r="Q289" s="2013">
        <f ca="1">SUM(SUMIFS(OFFSET(貼付け_2025実績,$A289,11,1,199),OFFSET(貼付け_2025実績,4,9,1,199),{"横浜*","川崎*"}))</f>
        <v>0</v>
      </c>
      <c r="R289" s="2013">
        <f ca="1">SUM(SUMIFS(OFFSET(貼付け_2026実績,$A289,11,1,199),OFFSET(貼付け_2026実績,4,9,1,199),{"横浜*","川崎*"}))</f>
        <v>0</v>
      </c>
      <c r="S289" s="2013">
        <f ca="1">SUM(SUMIFS(OFFSET(貼付け_2027実績,$A289,11,1,199),OFFSET(貼付け_2027実績,4,9,1,199),{"横浜*","川崎*"}))</f>
        <v>0</v>
      </c>
      <c r="T289" s="2012">
        <f t="shared" ca="1" si="117"/>
        <v>0</v>
      </c>
      <c r="U289" s="2012">
        <f t="shared" ca="1" si="118"/>
        <v>0</v>
      </c>
      <c r="V289" s="2012">
        <f t="shared" ca="1" si="119"/>
        <v>0</v>
      </c>
      <c r="W289" s="2012">
        <f t="shared" ca="1" si="120"/>
        <v>0</v>
      </c>
      <c r="X289" s="2014">
        <f t="shared" ca="1" si="121"/>
        <v>0</v>
      </c>
      <c r="Y289" s="2014">
        <f t="shared" ca="1" si="122"/>
        <v>0</v>
      </c>
      <c r="Z289" s="2014">
        <f t="shared" ca="1" si="123"/>
        <v>0</v>
      </c>
      <c r="AA289" s="2014">
        <f t="shared" ca="1" si="124"/>
        <v>0</v>
      </c>
      <c r="AB289" s="2014"/>
      <c r="AC289" s="2014"/>
      <c r="AD289" s="2014"/>
      <c r="AE289" s="2014"/>
      <c r="AF289" s="2014"/>
      <c r="AG289" s="2014"/>
      <c r="AH289" s="2014"/>
      <c r="AI289" s="2014"/>
      <c r="AJ289" s="2014"/>
      <c r="AK289" s="2014"/>
      <c r="AL289" s="2014"/>
      <c r="AM289" s="2014"/>
      <c r="AN289" s="2014"/>
      <c r="AO289" s="2014"/>
      <c r="AP289" s="2014"/>
      <c r="AQ289" s="2014"/>
      <c r="AR289" s="2014"/>
      <c r="AS289" s="2014"/>
      <c r="AT289" s="2014"/>
      <c r="AU289" s="2014"/>
      <c r="AV289" s="2014"/>
      <c r="AW289" s="2014"/>
      <c r="AX289" s="2014"/>
      <c r="AY289" s="2014"/>
      <c r="AZ289" s="2014"/>
      <c r="BA289" s="2014"/>
      <c r="BB289" s="2014"/>
      <c r="BC289" s="2014"/>
      <c r="BD289" s="2014"/>
      <c r="BE289" s="2014"/>
      <c r="BF289" s="2014"/>
      <c r="BG289" s="2014"/>
      <c r="BH289" s="2014"/>
      <c r="BI289" s="2014"/>
      <c r="BJ289" s="2014"/>
      <c r="BK289" s="2014"/>
      <c r="BL289" s="2014"/>
      <c r="BM289" s="2014"/>
      <c r="BN289" s="2014"/>
      <c r="BO289" s="2014"/>
    </row>
    <row r="290" spans="1:67" ht="20.100000000000001" customHeight="1">
      <c r="A290" s="1845">
        <v>40</v>
      </c>
      <c r="B290" s="1854"/>
      <c r="C290" s="1847"/>
      <c r="D290" s="1848" t="s">
        <v>564</v>
      </c>
      <c r="E290" s="1848"/>
      <c r="F290" s="1849"/>
      <c r="G290" s="2010" t="s">
        <v>540</v>
      </c>
      <c r="H290" s="2011">
        <f t="shared" ca="1" si="125"/>
        <v>23.4</v>
      </c>
      <c r="I290" s="2011">
        <f t="shared" ca="1" si="125"/>
        <v>23.4</v>
      </c>
      <c r="J290" s="2011">
        <f t="shared" ca="1" si="125"/>
        <v>23.4</v>
      </c>
      <c r="K290" s="2011">
        <f t="shared" ca="1" si="125"/>
        <v>23.4</v>
      </c>
      <c r="L290" s="2012">
        <f t="shared" ref="L290:L316" ca="1" si="126">P290+T290</f>
        <v>0</v>
      </c>
      <c r="M290" s="2012">
        <f t="shared" ref="M290:M316" ca="1" si="127">Q290+U290</f>
        <v>0</v>
      </c>
      <c r="N290" s="2012">
        <f t="shared" ref="N290:N316" ca="1" si="128">R290+V290</f>
        <v>0</v>
      </c>
      <c r="O290" s="2012">
        <f t="shared" ref="O290:O316" ca="1" si="129">S290+W290</f>
        <v>0</v>
      </c>
      <c r="P290" s="2013">
        <f ca="1">SUM(SUMIFS(OFFSET(貼付け_2024実績,$A290,11,1,199),OFFSET(貼付け_2024実績,4,9,1,199),{"横浜*","川崎*"}))</f>
        <v>0</v>
      </c>
      <c r="Q290" s="2013">
        <f ca="1">SUM(SUMIFS(OFFSET(貼付け_2025実績,$A290,11,1,199),OFFSET(貼付け_2025実績,4,9,1,199),{"横浜*","川崎*"}))</f>
        <v>0</v>
      </c>
      <c r="R290" s="2013">
        <f ca="1">SUM(SUMIFS(OFFSET(貼付け_2026実績,$A290,11,1,199),OFFSET(貼付け_2026実績,4,9,1,199),{"横浜*","川崎*"}))</f>
        <v>0</v>
      </c>
      <c r="S290" s="2013">
        <f ca="1">SUM(SUMIFS(OFFSET(貼付け_2027実績,$A290,11,1,199),OFFSET(貼付け_2027実績,4,9,1,199),{"横浜*","川崎*"}))</f>
        <v>0</v>
      </c>
      <c r="T290" s="2012">
        <f t="shared" ref="T290:T316" ca="1" si="130">SUM(X290,AB290,AF290,AJ290,AN290,AR290,AV290,AZ290,BD290,BH290,BL290)</f>
        <v>0</v>
      </c>
      <c r="U290" s="2012">
        <f t="shared" ref="U290:U316" ca="1" si="131">SUM(Y290,AC290,AG290,AK290,AO290,AS290,AW290,BA290,BE290,BI290,BM290)</f>
        <v>0</v>
      </c>
      <c r="V290" s="2012">
        <f t="shared" ref="V290:V316" ca="1" si="132">SUM(Z290,AD290,AH290,AL290,AP290,AT290,AX290,BB290,BF290,BJ290,BN290)</f>
        <v>0</v>
      </c>
      <c r="W290" s="2012">
        <f t="shared" ref="W290:W316" ca="1" si="133">SUM(AA290,AE290,AI290,AM290,AQ290,AU290,AY290,BC290,BG290,BK290,BO290)</f>
        <v>0</v>
      </c>
      <c r="X290" s="2014">
        <f t="shared" ref="X290:X316" ca="1" si="134">SUMIFS(OFFSET(貼付け_2024実績,$A290,11,1,199),OFFSET(貼付け_2024実績,4,9,1,199),"県域*")</f>
        <v>0</v>
      </c>
      <c r="Y290" s="2014">
        <f t="shared" ref="Y290:Y316" ca="1" si="135">SUMIFS(OFFSET(貼付け_2025実績,$A290,11,1,199),OFFSET(貼付け_2025実績,4,9,1,199),"県域*")</f>
        <v>0</v>
      </c>
      <c r="Z290" s="2014">
        <f t="shared" ref="Z290:Z316" ca="1" si="136">SUMIFS(OFFSET(貼付け_2026実績,$A290,11,1,199),OFFSET(貼付け_2026実績,4,9,1,199),"県域*")</f>
        <v>0</v>
      </c>
      <c r="AA290" s="2014">
        <f t="shared" ref="AA290:AA316" ca="1" si="137">SUMIFS(OFFSET(貼付け_2027実績,$A290,11,1,199),OFFSET(貼付け_2027実績,4,9,1,199),"県域*")</f>
        <v>0</v>
      </c>
      <c r="AB290" s="2014"/>
      <c r="AC290" s="2014"/>
      <c r="AD290" s="2014"/>
      <c r="AE290" s="2014"/>
      <c r="AF290" s="2014"/>
      <c r="AG290" s="2014"/>
      <c r="AH290" s="2014"/>
      <c r="AI290" s="2014"/>
      <c r="AJ290" s="2014"/>
      <c r="AK290" s="2014"/>
      <c r="AL290" s="2014"/>
      <c r="AM290" s="2014"/>
      <c r="AN290" s="2014"/>
      <c r="AO290" s="2014"/>
      <c r="AP290" s="2014"/>
      <c r="AQ290" s="2014"/>
      <c r="AR290" s="2014"/>
      <c r="AS290" s="2014"/>
      <c r="AT290" s="2014"/>
      <c r="AU290" s="2014"/>
      <c r="AV290" s="2014"/>
      <c r="AW290" s="2014"/>
      <c r="AX290" s="2014"/>
      <c r="AY290" s="2014"/>
      <c r="AZ290" s="2014"/>
      <c r="BA290" s="2014"/>
      <c r="BB290" s="2014"/>
      <c r="BC290" s="2014"/>
      <c r="BD290" s="2014"/>
      <c r="BE290" s="2014"/>
      <c r="BF290" s="2014"/>
      <c r="BG290" s="2014"/>
      <c r="BH290" s="2014"/>
      <c r="BI290" s="2014"/>
      <c r="BJ290" s="2014"/>
      <c r="BK290" s="2014"/>
      <c r="BL290" s="2014"/>
      <c r="BM290" s="2014"/>
      <c r="BN290" s="2014"/>
      <c r="BO290" s="2014"/>
    </row>
    <row r="291" spans="1:67" ht="20.100000000000001" customHeight="1">
      <c r="A291" s="1845">
        <v>41</v>
      </c>
      <c r="B291" s="1854"/>
      <c r="C291" s="1847"/>
      <c r="D291" s="1848" t="s">
        <v>565</v>
      </c>
      <c r="E291" s="1848"/>
      <c r="F291" s="1849"/>
      <c r="G291" s="2010" t="s">
        <v>540</v>
      </c>
      <c r="H291" s="2011">
        <f t="shared" ca="1" si="125"/>
        <v>35.6</v>
      </c>
      <c r="I291" s="2011">
        <f t="shared" ca="1" si="125"/>
        <v>35.6</v>
      </c>
      <c r="J291" s="2011">
        <f t="shared" ca="1" si="125"/>
        <v>35.6</v>
      </c>
      <c r="K291" s="2011">
        <f t="shared" ca="1" si="125"/>
        <v>35.6</v>
      </c>
      <c r="L291" s="2012">
        <f t="shared" ca="1" si="126"/>
        <v>0</v>
      </c>
      <c r="M291" s="2012">
        <f t="shared" ca="1" si="127"/>
        <v>0</v>
      </c>
      <c r="N291" s="2012">
        <f t="shared" ca="1" si="128"/>
        <v>0</v>
      </c>
      <c r="O291" s="2012">
        <f t="shared" ca="1" si="129"/>
        <v>0</v>
      </c>
      <c r="P291" s="2013">
        <f ca="1">SUM(SUMIFS(OFFSET(貼付け_2024実績,$A291,11,1,199),OFFSET(貼付け_2024実績,4,9,1,199),{"横浜*","川崎*"}))</f>
        <v>0</v>
      </c>
      <c r="Q291" s="2013">
        <f ca="1">SUM(SUMIFS(OFFSET(貼付け_2025実績,$A291,11,1,199),OFFSET(貼付け_2025実績,4,9,1,199),{"横浜*","川崎*"}))</f>
        <v>0</v>
      </c>
      <c r="R291" s="2013">
        <f ca="1">SUM(SUMIFS(OFFSET(貼付け_2026実績,$A291,11,1,199),OFFSET(貼付け_2026実績,4,9,1,199),{"横浜*","川崎*"}))</f>
        <v>0</v>
      </c>
      <c r="S291" s="2013">
        <f ca="1">SUM(SUMIFS(OFFSET(貼付け_2027実績,$A291,11,1,199),OFFSET(貼付け_2027実績,4,9,1,199),{"横浜*","川崎*"}))</f>
        <v>0</v>
      </c>
      <c r="T291" s="2012">
        <f t="shared" ca="1" si="130"/>
        <v>0</v>
      </c>
      <c r="U291" s="2012">
        <f t="shared" ca="1" si="131"/>
        <v>0</v>
      </c>
      <c r="V291" s="2012">
        <f t="shared" ca="1" si="132"/>
        <v>0</v>
      </c>
      <c r="W291" s="2012">
        <f t="shared" ca="1" si="133"/>
        <v>0</v>
      </c>
      <c r="X291" s="2014">
        <f t="shared" ca="1" si="134"/>
        <v>0</v>
      </c>
      <c r="Y291" s="2014">
        <f t="shared" ca="1" si="135"/>
        <v>0</v>
      </c>
      <c r="Z291" s="2014">
        <f t="shared" ca="1" si="136"/>
        <v>0</v>
      </c>
      <c r="AA291" s="2014">
        <f t="shared" ca="1" si="137"/>
        <v>0</v>
      </c>
      <c r="AB291" s="2014"/>
      <c r="AC291" s="2014"/>
      <c r="AD291" s="2014"/>
      <c r="AE291" s="2014"/>
      <c r="AF291" s="2014"/>
      <c r="AG291" s="2014"/>
      <c r="AH291" s="2014"/>
      <c r="AI291" s="2014"/>
      <c r="AJ291" s="2014"/>
      <c r="AK291" s="2014"/>
      <c r="AL291" s="2014"/>
      <c r="AM291" s="2014"/>
      <c r="AN291" s="2014"/>
      <c r="AO291" s="2014"/>
      <c r="AP291" s="2014"/>
      <c r="AQ291" s="2014"/>
      <c r="AR291" s="2014"/>
      <c r="AS291" s="2014"/>
      <c r="AT291" s="2014"/>
      <c r="AU291" s="2014"/>
      <c r="AV291" s="2014"/>
      <c r="AW291" s="2014"/>
      <c r="AX291" s="2014"/>
      <c r="AY291" s="2014"/>
      <c r="AZ291" s="2014"/>
      <c r="BA291" s="2014"/>
      <c r="BB291" s="2014"/>
      <c r="BC291" s="2014"/>
      <c r="BD291" s="2014"/>
      <c r="BE291" s="2014"/>
      <c r="BF291" s="2014"/>
      <c r="BG291" s="2014"/>
      <c r="BH291" s="2014"/>
      <c r="BI291" s="2014"/>
      <c r="BJ291" s="2014"/>
      <c r="BK291" s="2014"/>
      <c r="BL291" s="2014"/>
      <c r="BM291" s="2014"/>
      <c r="BN291" s="2014"/>
      <c r="BO291" s="2014"/>
    </row>
    <row r="292" spans="1:67" ht="20.100000000000001" customHeight="1">
      <c r="A292" s="1845">
        <v>42</v>
      </c>
      <c r="B292" s="1854"/>
      <c r="C292" s="1847"/>
      <c r="D292" s="1848" t="s">
        <v>566</v>
      </c>
      <c r="E292" s="1848"/>
      <c r="F292" s="1849"/>
      <c r="G292" s="2010" t="s">
        <v>553</v>
      </c>
      <c r="H292" s="2011">
        <f t="shared" ca="1" si="125"/>
        <v>21.2</v>
      </c>
      <c r="I292" s="2011">
        <f t="shared" ca="1" si="125"/>
        <v>21.2</v>
      </c>
      <c r="J292" s="2011">
        <f t="shared" ca="1" si="125"/>
        <v>21.2</v>
      </c>
      <c r="K292" s="2011">
        <f t="shared" ca="1" si="125"/>
        <v>21.2</v>
      </c>
      <c r="L292" s="2012">
        <f t="shared" ca="1" si="126"/>
        <v>0</v>
      </c>
      <c r="M292" s="2012">
        <f t="shared" ca="1" si="127"/>
        <v>0</v>
      </c>
      <c r="N292" s="2012">
        <f t="shared" ca="1" si="128"/>
        <v>0</v>
      </c>
      <c r="O292" s="2012">
        <f t="shared" ca="1" si="129"/>
        <v>0</v>
      </c>
      <c r="P292" s="2013">
        <f ca="1">SUM(SUMIFS(OFFSET(貼付け_2024実績,$A292,11,1,199),OFFSET(貼付け_2024実績,4,9,1,199),{"横浜*","川崎*"}))</f>
        <v>0</v>
      </c>
      <c r="Q292" s="2013">
        <f ca="1">SUM(SUMIFS(OFFSET(貼付け_2025実績,$A292,11,1,199),OFFSET(貼付け_2025実績,4,9,1,199),{"横浜*","川崎*"}))</f>
        <v>0</v>
      </c>
      <c r="R292" s="2013">
        <f ca="1">SUM(SUMIFS(OFFSET(貼付け_2026実績,$A292,11,1,199),OFFSET(貼付け_2026実績,4,9,1,199),{"横浜*","川崎*"}))</f>
        <v>0</v>
      </c>
      <c r="S292" s="2013">
        <f ca="1">SUM(SUMIFS(OFFSET(貼付け_2027実績,$A292,11,1,199),OFFSET(貼付け_2027実績,4,9,1,199),{"横浜*","川崎*"}))</f>
        <v>0</v>
      </c>
      <c r="T292" s="2012">
        <f t="shared" ca="1" si="130"/>
        <v>0</v>
      </c>
      <c r="U292" s="2012">
        <f t="shared" ca="1" si="131"/>
        <v>0</v>
      </c>
      <c r="V292" s="2012">
        <f t="shared" ca="1" si="132"/>
        <v>0</v>
      </c>
      <c r="W292" s="2012">
        <f t="shared" ca="1" si="133"/>
        <v>0</v>
      </c>
      <c r="X292" s="2014">
        <f t="shared" ca="1" si="134"/>
        <v>0</v>
      </c>
      <c r="Y292" s="2014">
        <f t="shared" ca="1" si="135"/>
        <v>0</v>
      </c>
      <c r="Z292" s="2014">
        <f t="shared" ca="1" si="136"/>
        <v>0</v>
      </c>
      <c r="AA292" s="2014">
        <f t="shared" ca="1" si="137"/>
        <v>0</v>
      </c>
      <c r="AB292" s="2014"/>
      <c r="AC292" s="2014"/>
      <c r="AD292" s="2014"/>
      <c r="AE292" s="2014"/>
      <c r="AF292" s="2014"/>
      <c r="AG292" s="2014"/>
      <c r="AH292" s="2014"/>
      <c r="AI292" s="2014"/>
      <c r="AJ292" s="2014"/>
      <c r="AK292" s="2014"/>
      <c r="AL292" s="2014"/>
      <c r="AM292" s="2014"/>
      <c r="AN292" s="2014"/>
      <c r="AO292" s="2014"/>
      <c r="AP292" s="2014"/>
      <c r="AQ292" s="2014"/>
      <c r="AR292" s="2014"/>
      <c r="AS292" s="2014"/>
      <c r="AT292" s="2014"/>
      <c r="AU292" s="2014"/>
      <c r="AV292" s="2014"/>
      <c r="AW292" s="2014"/>
      <c r="AX292" s="2014"/>
      <c r="AY292" s="2014"/>
      <c r="AZ292" s="2014"/>
      <c r="BA292" s="2014"/>
      <c r="BB292" s="2014"/>
      <c r="BC292" s="2014"/>
      <c r="BD292" s="2014"/>
      <c r="BE292" s="2014"/>
      <c r="BF292" s="2014"/>
      <c r="BG292" s="2014"/>
      <c r="BH292" s="2014"/>
      <c r="BI292" s="2014"/>
      <c r="BJ292" s="2014"/>
      <c r="BK292" s="2014"/>
      <c r="BL292" s="2014"/>
      <c r="BM292" s="2014"/>
      <c r="BN292" s="2014"/>
      <c r="BO292" s="2014"/>
    </row>
    <row r="293" spans="1:67" ht="20.100000000000001" customHeight="1">
      <c r="A293" s="1845">
        <v>43</v>
      </c>
      <c r="B293" s="1854"/>
      <c r="C293" s="1847"/>
      <c r="D293" s="1848" t="s">
        <v>940</v>
      </c>
      <c r="E293" s="1858" t="str">
        <f ca="1">E44</f>
        <v/>
      </c>
      <c r="F293" s="1860"/>
      <c r="G293" s="2010" t="s">
        <v>548</v>
      </c>
      <c r="H293" s="2011">
        <f t="shared" ca="1" si="125"/>
        <v>13.2</v>
      </c>
      <c r="I293" s="2011">
        <f t="shared" ca="1" si="125"/>
        <v>13.2</v>
      </c>
      <c r="J293" s="2011">
        <f t="shared" ca="1" si="125"/>
        <v>13.2</v>
      </c>
      <c r="K293" s="2011">
        <f t="shared" ca="1" si="125"/>
        <v>13.2</v>
      </c>
      <c r="L293" s="2012">
        <f t="shared" ca="1" si="126"/>
        <v>0</v>
      </c>
      <c r="M293" s="2012">
        <f t="shared" ca="1" si="127"/>
        <v>0</v>
      </c>
      <c r="N293" s="2012">
        <f t="shared" ca="1" si="128"/>
        <v>0</v>
      </c>
      <c r="O293" s="2012">
        <f t="shared" ca="1" si="129"/>
        <v>0</v>
      </c>
      <c r="P293" s="2013">
        <f ca="1">SUM(SUMIFS(OFFSET(貼付け_2024実績,$A293,11,1,199),OFFSET(貼付け_2024実績,4,9,1,199),{"横浜*","川崎*"}))</f>
        <v>0</v>
      </c>
      <c r="Q293" s="2013">
        <f ca="1">SUM(SUMIFS(OFFSET(貼付け_2025実績,$A293,11,1,199),OFFSET(貼付け_2025実績,4,9,1,199),{"横浜*","川崎*"}))</f>
        <v>0</v>
      </c>
      <c r="R293" s="2013">
        <f ca="1">SUM(SUMIFS(OFFSET(貼付け_2026実績,$A293,11,1,199),OFFSET(貼付け_2026実績,4,9,1,199),{"横浜*","川崎*"}))</f>
        <v>0</v>
      </c>
      <c r="S293" s="2013">
        <f ca="1">SUM(SUMIFS(OFFSET(貼付け_2027実績,$A293,11,1,199),OFFSET(貼付け_2027実績,4,9,1,199),{"横浜*","川崎*"}))</f>
        <v>0</v>
      </c>
      <c r="T293" s="2012">
        <f t="shared" ca="1" si="130"/>
        <v>0</v>
      </c>
      <c r="U293" s="2012">
        <f t="shared" ca="1" si="131"/>
        <v>0</v>
      </c>
      <c r="V293" s="2012">
        <f t="shared" ca="1" si="132"/>
        <v>0</v>
      </c>
      <c r="W293" s="2012">
        <f t="shared" ca="1" si="133"/>
        <v>0</v>
      </c>
      <c r="X293" s="2014">
        <f t="shared" ca="1" si="134"/>
        <v>0</v>
      </c>
      <c r="Y293" s="2014">
        <f t="shared" ca="1" si="135"/>
        <v>0</v>
      </c>
      <c r="Z293" s="2014">
        <f t="shared" ca="1" si="136"/>
        <v>0</v>
      </c>
      <c r="AA293" s="2014">
        <f t="shared" ca="1" si="137"/>
        <v>0</v>
      </c>
      <c r="AB293" s="2014"/>
      <c r="AC293" s="2014"/>
      <c r="AD293" s="2014"/>
      <c r="AE293" s="2014"/>
      <c r="AF293" s="2014"/>
      <c r="AG293" s="2014"/>
      <c r="AH293" s="2014"/>
      <c r="AI293" s="2014"/>
      <c r="AJ293" s="2014"/>
      <c r="AK293" s="2014"/>
      <c r="AL293" s="2014"/>
      <c r="AM293" s="2014"/>
      <c r="AN293" s="2014"/>
      <c r="AO293" s="2014"/>
      <c r="AP293" s="2014"/>
      <c r="AQ293" s="2014"/>
      <c r="AR293" s="2014"/>
      <c r="AS293" s="2014"/>
      <c r="AT293" s="2014"/>
      <c r="AU293" s="2014"/>
      <c r="AV293" s="2014"/>
      <c r="AW293" s="2014"/>
      <c r="AX293" s="2014"/>
      <c r="AY293" s="2014"/>
      <c r="AZ293" s="2014"/>
      <c r="BA293" s="2014"/>
      <c r="BB293" s="2014"/>
      <c r="BC293" s="2014"/>
      <c r="BD293" s="2014"/>
      <c r="BE293" s="2014"/>
      <c r="BF293" s="2014"/>
      <c r="BG293" s="2014"/>
      <c r="BH293" s="2014"/>
      <c r="BI293" s="2014"/>
      <c r="BJ293" s="2014"/>
      <c r="BK293" s="2014"/>
      <c r="BL293" s="2014"/>
      <c r="BM293" s="2014"/>
      <c r="BN293" s="2014"/>
      <c r="BO293" s="2014"/>
    </row>
    <row r="294" spans="1:67" ht="20.100000000000001" customHeight="1">
      <c r="A294" s="1845">
        <v>44</v>
      </c>
      <c r="B294" s="1854"/>
      <c r="C294" s="1847"/>
      <c r="D294" s="1859" t="s">
        <v>567</v>
      </c>
      <c r="E294" s="1848"/>
      <c r="F294" s="1849"/>
      <c r="G294" s="2010" t="s">
        <v>548</v>
      </c>
      <c r="H294" s="2011">
        <f t="shared" ca="1" si="125"/>
        <v>18</v>
      </c>
      <c r="I294" s="2011">
        <f t="shared" ca="1" si="125"/>
        <v>18</v>
      </c>
      <c r="J294" s="2011">
        <f t="shared" ca="1" si="125"/>
        <v>18</v>
      </c>
      <c r="K294" s="2011">
        <f t="shared" ca="1" si="125"/>
        <v>18</v>
      </c>
      <c r="L294" s="2012">
        <f t="shared" ca="1" si="126"/>
        <v>0</v>
      </c>
      <c r="M294" s="2012">
        <f t="shared" ca="1" si="127"/>
        <v>0</v>
      </c>
      <c r="N294" s="2012">
        <f t="shared" ca="1" si="128"/>
        <v>0</v>
      </c>
      <c r="O294" s="2012">
        <f t="shared" ca="1" si="129"/>
        <v>0</v>
      </c>
      <c r="P294" s="2013">
        <f ca="1">SUM(SUMIFS(OFFSET(貼付け_2024実績,$A294,11,1,199),OFFSET(貼付け_2024実績,4,9,1,199),{"横浜*","川崎*"}))</f>
        <v>0</v>
      </c>
      <c r="Q294" s="2013">
        <f ca="1">SUM(SUMIFS(OFFSET(貼付け_2025実績,$A294,11,1,199),OFFSET(貼付け_2025実績,4,9,1,199),{"横浜*","川崎*"}))</f>
        <v>0</v>
      </c>
      <c r="R294" s="2013">
        <f ca="1">SUM(SUMIFS(OFFSET(貼付け_2026実績,$A294,11,1,199),OFFSET(貼付け_2026実績,4,9,1,199),{"横浜*","川崎*"}))</f>
        <v>0</v>
      </c>
      <c r="S294" s="2013">
        <f ca="1">SUM(SUMIFS(OFFSET(貼付け_2027実績,$A294,11,1,199),OFFSET(貼付け_2027実績,4,9,1,199),{"横浜*","川崎*"}))</f>
        <v>0</v>
      </c>
      <c r="T294" s="2012">
        <f t="shared" ca="1" si="130"/>
        <v>0</v>
      </c>
      <c r="U294" s="2012">
        <f t="shared" ca="1" si="131"/>
        <v>0</v>
      </c>
      <c r="V294" s="2012">
        <f t="shared" ca="1" si="132"/>
        <v>0</v>
      </c>
      <c r="W294" s="2012">
        <f t="shared" ca="1" si="133"/>
        <v>0</v>
      </c>
      <c r="X294" s="2014">
        <f t="shared" ca="1" si="134"/>
        <v>0</v>
      </c>
      <c r="Y294" s="2014">
        <f t="shared" ca="1" si="135"/>
        <v>0</v>
      </c>
      <c r="Z294" s="2014">
        <f t="shared" ca="1" si="136"/>
        <v>0</v>
      </c>
      <c r="AA294" s="2014">
        <f t="shared" ca="1" si="137"/>
        <v>0</v>
      </c>
      <c r="AB294" s="2014"/>
      <c r="AC294" s="2014"/>
      <c r="AD294" s="2014"/>
      <c r="AE294" s="2014"/>
      <c r="AF294" s="2014"/>
      <c r="AG294" s="2014"/>
      <c r="AH294" s="2014"/>
      <c r="AI294" s="2014"/>
      <c r="AJ294" s="2014"/>
      <c r="AK294" s="2014"/>
      <c r="AL294" s="2014"/>
      <c r="AM294" s="2014"/>
      <c r="AN294" s="2014"/>
      <c r="AO294" s="2014"/>
      <c r="AP294" s="2014"/>
      <c r="AQ294" s="2014"/>
      <c r="AR294" s="2014"/>
      <c r="AS294" s="2014"/>
      <c r="AT294" s="2014"/>
      <c r="AU294" s="2014"/>
      <c r="AV294" s="2014"/>
      <c r="AW294" s="2014"/>
      <c r="AX294" s="2014"/>
      <c r="AY294" s="2014"/>
      <c r="AZ294" s="2014"/>
      <c r="BA294" s="2014"/>
      <c r="BB294" s="2014"/>
      <c r="BC294" s="2014"/>
      <c r="BD294" s="2014"/>
      <c r="BE294" s="2014"/>
      <c r="BF294" s="2014"/>
      <c r="BG294" s="2014"/>
      <c r="BH294" s="2014"/>
      <c r="BI294" s="2014"/>
      <c r="BJ294" s="2014"/>
      <c r="BK294" s="2014"/>
      <c r="BL294" s="2014"/>
      <c r="BM294" s="2014"/>
      <c r="BN294" s="2014"/>
      <c r="BO294" s="2014"/>
    </row>
    <row r="295" spans="1:67" ht="20.100000000000001" customHeight="1">
      <c r="A295" s="1845">
        <v>45</v>
      </c>
      <c r="B295" s="1854"/>
      <c r="C295" s="1847"/>
      <c r="D295" s="1859" t="s">
        <v>568</v>
      </c>
      <c r="E295" s="1861"/>
      <c r="F295" s="1849"/>
      <c r="G295" s="2010" t="s">
        <v>548</v>
      </c>
      <c r="H295" s="2011">
        <f t="shared" ca="1" si="125"/>
        <v>26.9</v>
      </c>
      <c r="I295" s="2011">
        <f t="shared" ca="1" si="125"/>
        <v>26.9</v>
      </c>
      <c r="J295" s="2011">
        <f t="shared" ca="1" si="125"/>
        <v>26.9</v>
      </c>
      <c r="K295" s="2011">
        <f t="shared" ca="1" si="125"/>
        <v>26.9</v>
      </c>
      <c r="L295" s="2012">
        <f t="shared" ca="1" si="126"/>
        <v>0</v>
      </c>
      <c r="M295" s="2012">
        <f t="shared" ca="1" si="127"/>
        <v>0</v>
      </c>
      <c r="N295" s="2012">
        <f t="shared" ca="1" si="128"/>
        <v>0</v>
      </c>
      <c r="O295" s="2012">
        <f t="shared" ca="1" si="129"/>
        <v>0</v>
      </c>
      <c r="P295" s="2013">
        <f ca="1">SUM(SUMIFS(OFFSET(貼付け_2024実績,$A295,11,1,199),OFFSET(貼付け_2024実績,4,9,1,199),{"横浜*","川崎*"}))</f>
        <v>0</v>
      </c>
      <c r="Q295" s="2013">
        <f ca="1">SUM(SUMIFS(OFFSET(貼付け_2025実績,$A295,11,1,199),OFFSET(貼付け_2025実績,4,9,1,199),{"横浜*","川崎*"}))</f>
        <v>0</v>
      </c>
      <c r="R295" s="2013">
        <f ca="1">SUM(SUMIFS(OFFSET(貼付け_2026実績,$A295,11,1,199),OFFSET(貼付け_2026実績,4,9,1,199),{"横浜*","川崎*"}))</f>
        <v>0</v>
      </c>
      <c r="S295" s="2013">
        <f ca="1">SUM(SUMIFS(OFFSET(貼付け_2027実績,$A295,11,1,199),OFFSET(貼付け_2027実績,4,9,1,199),{"横浜*","川崎*"}))</f>
        <v>0</v>
      </c>
      <c r="T295" s="2012">
        <f t="shared" ca="1" si="130"/>
        <v>0</v>
      </c>
      <c r="U295" s="2012">
        <f t="shared" ca="1" si="131"/>
        <v>0</v>
      </c>
      <c r="V295" s="2012">
        <f t="shared" ca="1" si="132"/>
        <v>0</v>
      </c>
      <c r="W295" s="2012">
        <f t="shared" ca="1" si="133"/>
        <v>0</v>
      </c>
      <c r="X295" s="2014">
        <f t="shared" ca="1" si="134"/>
        <v>0</v>
      </c>
      <c r="Y295" s="2014">
        <f t="shared" ca="1" si="135"/>
        <v>0</v>
      </c>
      <c r="Z295" s="2014">
        <f t="shared" ca="1" si="136"/>
        <v>0</v>
      </c>
      <c r="AA295" s="2014">
        <f t="shared" ca="1" si="137"/>
        <v>0</v>
      </c>
      <c r="AB295" s="2014"/>
      <c r="AC295" s="2014"/>
      <c r="AD295" s="2014"/>
      <c r="AE295" s="2014"/>
      <c r="AF295" s="2014"/>
      <c r="AG295" s="2014"/>
      <c r="AH295" s="2014"/>
      <c r="AI295" s="2014"/>
      <c r="AJ295" s="2014"/>
      <c r="AK295" s="2014"/>
      <c r="AL295" s="2014"/>
      <c r="AM295" s="2014"/>
      <c r="AN295" s="2014"/>
      <c r="AO295" s="2014"/>
      <c r="AP295" s="2014"/>
      <c r="AQ295" s="2014"/>
      <c r="AR295" s="2014"/>
      <c r="AS295" s="2014"/>
      <c r="AT295" s="2014"/>
      <c r="AU295" s="2014"/>
      <c r="AV295" s="2014"/>
      <c r="AW295" s="2014"/>
      <c r="AX295" s="2014"/>
      <c r="AY295" s="2014"/>
      <c r="AZ295" s="2014"/>
      <c r="BA295" s="2014"/>
      <c r="BB295" s="2014"/>
      <c r="BC295" s="2014"/>
      <c r="BD295" s="2014"/>
      <c r="BE295" s="2014"/>
      <c r="BF295" s="2014"/>
      <c r="BG295" s="2014"/>
      <c r="BH295" s="2014"/>
      <c r="BI295" s="2014"/>
      <c r="BJ295" s="2014"/>
      <c r="BK295" s="2014"/>
      <c r="BL295" s="2014"/>
      <c r="BM295" s="2014"/>
      <c r="BN295" s="2014"/>
      <c r="BO295" s="2014"/>
    </row>
    <row r="296" spans="1:67" ht="20.100000000000001" customHeight="1">
      <c r="A296" s="1845">
        <v>46</v>
      </c>
      <c r="B296" s="1854"/>
      <c r="C296" s="1847"/>
      <c r="D296" s="1859" t="s">
        <v>941</v>
      </c>
      <c r="E296" s="1837"/>
      <c r="F296" s="1849"/>
      <c r="G296" s="2010" t="s">
        <v>548</v>
      </c>
      <c r="H296" s="2011">
        <f t="shared" ca="1" si="125"/>
        <v>33.200000000000003</v>
      </c>
      <c r="I296" s="2011">
        <f t="shared" ca="1" si="125"/>
        <v>33.200000000000003</v>
      </c>
      <c r="J296" s="2011">
        <f t="shared" ca="1" si="125"/>
        <v>33.200000000000003</v>
      </c>
      <c r="K296" s="2011">
        <f t="shared" ca="1" si="125"/>
        <v>33.200000000000003</v>
      </c>
      <c r="L296" s="2012">
        <f t="shared" ca="1" si="126"/>
        <v>0</v>
      </c>
      <c r="M296" s="2012">
        <f t="shared" ca="1" si="127"/>
        <v>0</v>
      </c>
      <c r="N296" s="2012">
        <f t="shared" ca="1" si="128"/>
        <v>0</v>
      </c>
      <c r="O296" s="2012">
        <f t="shared" ca="1" si="129"/>
        <v>0</v>
      </c>
      <c r="P296" s="2013">
        <f ca="1">SUM(SUMIFS(OFFSET(貼付け_2024実績,$A296,11,1,199),OFFSET(貼付け_2024実績,4,9,1,199),{"横浜*","川崎*"}))</f>
        <v>0</v>
      </c>
      <c r="Q296" s="2013">
        <f ca="1">SUM(SUMIFS(OFFSET(貼付け_2025実績,$A296,11,1,199),OFFSET(貼付け_2025実績,4,9,1,199),{"横浜*","川崎*"}))</f>
        <v>0</v>
      </c>
      <c r="R296" s="2013">
        <f ca="1">SUM(SUMIFS(OFFSET(貼付け_2026実績,$A296,11,1,199),OFFSET(貼付け_2026実績,4,9,1,199),{"横浜*","川崎*"}))</f>
        <v>0</v>
      </c>
      <c r="S296" s="2013">
        <f ca="1">SUM(SUMIFS(OFFSET(貼付け_2027実績,$A296,11,1,199),OFFSET(貼付け_2027実績,4,9,1,199),{"横浜*","川崎*"}))</f>
        <v>0</v>
      </c>
      <c r="T296" s="2012">
        <f t="shared" ca="1" si="130"/>
        <v>0</v>
      </c>
      <c r="U296" s="2012">
        <f t="shared" ca="1" si="131"/>
        <v>0</v>
      </c>
      <c r="V296" s="2012">
        <f t="shared" ca="1" si="132"/>
        <v>0</v>
      </c>
      <c r="W296" s="2012">
        <f t="shared" ca="1" si="133"/>
        <v>0</v>
      </c>
      <c r="X296" s="2014">
        <f t="shared" ca="1" si="134"/>
        <v>0</v>
      </c>
      <c r="Y296" s="2014">
        <f t="shared" ca="1" si="135"/>
        <v>0</v>
      </c>
      <c r="Z296" s="2014">
        <f t="shared" ca="1" si="136"/>
        <v>0</v>
      </c>
      <c r="AA296" s="2014">
        <f t="shared" ca="1" si="137"/>
        <v>0</v>
      </c>
      <c r="AB296" s="2014"/>
      <c r="AC296" s="2014"/>
      <c r="AD296" s="2014"/>
      <c r="AE296" s="2014"/>
      <c r="AF296" s="2014"/>
      <c r="AG296" s="2014"/>
      <c r="AH296" s="2014"/>
      <c r="AI296" s="2014"/>
      <c r="AJ296" s="2014"/>
      <c r="AK296" s="2014"/>
      <c r="AL296" s="2014"/>
      <c r="AM296" s="2014"/>
      <c r="AN296" s="2014"/>
      <c r="AO296" s="2014"/>
      <c r="AP296" s="2014"/>
      <c r="AQ296" s="2014"/>
      <c r="AR296" s="2014"/>
      <c r="AS296" s="2014"/>
      <c r="AT296" s="2014"/>
      <c r="AU296" s="2014"/>
      <c r="AV296" s="2014"/>
      <c r="AW296" s="2014"/>
      <c r="AX296" s="2014"/>
      <c r="AY296" s="2014"/>
      <c r="AZ296" s="2014"/>
      <c r="BA296" s="2014"/>
      <c r="BB296" s="2014"/>
      <c r="BC296" s="2014"/>
      <c r="BD296" s="2014"/>
      <c r="BE296" s="2014"/>
      <c r="BF296" s="2014"/>
      <c r="BG296" s="2014"/>
      <c r="BH296" s="2014"/>
      <c r="BI296" s="2014"/>
      <c r="BJ296" s="2014"/>
      <c r="BK296" s="2014"/>
      <c r="BL296" s="2014"/>
      <c r="BM296" s="2014"/>
      <c r="BN296" s="2014"/>
      <c r="BO296" s="2014"/>
    </row>
    <row r="297" spans="1:67" ht="20.100000000000001" customHeight="1">
      <c r="A297" s="1845">
        <v>47</v>
      </c>
      <c r="B297" s="1855"/>
      <c r="C297" s="1847"/>
      <c r="D297" s="1859" t="s">
        <v>942</v>
      </c>
      <c r="E297" s="1848"/>
      <c r="F297" s="1849"/>
      <c r="G297" s="2010" t="s">
        <v>548</v>
      </c>
      <c r="H297" s="2011">
        <f t="shared" ca="1" si="125"/>
        <v>29.3</v>
      </c>
      <c r="I297" s="2011">
        <f t="shared" ca="1" si="125"/>
        <v>29.3</v>
      </c>
      <c r="J297" s="2011">
        <f t="shared" ca="1" si="125"/>
        <v>29.3</v>
      </c>
      <c r="K297" s="2011">
        <f t="shared" ca="1" si="125"/>
        <v>29.3</v>
      </c>
      <c r="L297" s="2012">
        <f t="shared" ca="1" si="126"/>
        <v>0</v>
      </c>
      <c r="M297" s="2012">
        <f t="shared" ca="1" si="127"/>
        <v>0</v>
      </c>
      <c r="N297" s="2012">
        <f t="shared" ca="1" si="128"/>
        <v>0</v>
      </c>
      <c r="O297" s="2012">
        <f t="shared" ca="1" si="129"/>
        <v>0</v>
      </c>
      <c r="P297" s="2013">
        <f ca="1">SUM(SUMIFS(OFFSET(貼付け_2024実績,$A297,11,1,199),OFFSET(貼付け_2024実績,4,9,1,199),{"横浜*","川崎*"}))</f>
        <v>0</v>
      </c>
      <c r="Q297" s="2013">
        <f ca="1">SUM(SUMIFS(OFFSET(貼付け_2025実績,$A297,11,1,199),OFFSET(貼付け_2025実績,4,9,1,199),{"横浜*","川崎*"}))</f>
        <v>0</v>
      </c>
      <c r="R297" s="2013">
        <f ca="1">SUM(SUMIFS(OFFSET(貼付け_2026実績,$A297,11,1,199),OFFSET(貼付け_2026実績,4,9,1,199),{"横浜*","川崎*"}))</f>
        <v>0</v>
      </c>
      <c r="S297" s="2013">
        <f ca="1">SUM(SUMIFS(OFFSET(貼付け_2027実績,$A297,11,1,199),OFFSET(貼付け_2027実績,4,9,1,199),{"横浜*","川崎*"}))</f>
        <v>0</v>
      </c>
      <c r="T297" s="2012">
        <f t="shared" ca="1" si="130"/>
        <v>0</v>
      </c>
      <c r="U297" s="2012">
        <f t="shared" ca="1" si="131"/>
        <v>0</v>
      </c>
      <c r="V297" s="2012">
        <f t="shared" ca="1" si="132"/>
        <v>0</v>
      </c>
      <c r="W297" s="2012">
        <f t="shared" ca="1" si="133"/>
        <v>0</v>
      </c>
      <c r="X297" s="2014">
        <f t="shared" ca="1" si="134"/>
        <v>0</v>
      </c>
      <c r="Y297" s="2014">
        <f t="shared" ca="1" si="135"/>
        <v>0</v>
      </c>
      <c r="Z297" s="2014">
        <f t="shared" ca="1" si="136"/>
        <v>0</v>
      </c>
      <c r="AA297" s="2014">
        <f t="shared" ca="1" si="137"/>
        <v>0</v>
      </c>
      <c r="AB297" s="2014"/>
      <c r="AC297" s="2014"/>
      <c r="AD297" s="2014"/>
      <c r="AE297" s="2014"/>
      <c r="AF297" s="2014"/>
      <c r="AG297" s="2014"/>
      <c r="AH297" s="2014"/>
      <c r="AI297" s="2014"/>
      <c r="AJ297" s="2014"/>
      <c r="AK297" s="2014"/>
      <c r="AL297" s="2014"/>
      <c r="AM297" s="2014"/>
      <c r="AN297" s="2014"/>
      <c r="AO297" s="2014"/>
      <c r="AP297" s="2014"/>
      <c r="AQ297" s="2014"/>
      <c r="AR297" s="2014"/>
      <c r="AS297" s="2014"/>
      <c r="AT297" s="2014"/>
      <c r="AU297" s="2014"/>
      <c r="AV297" s="2014"/>
      <c r="AW297" s="2014"/>
      <c r="AX297" s="2014"/>
      <c r="AY297" s="2014"/>
      <c r="AZ297" s="2014"/>
      <c r="BA297" s="2014"/>
      <c r="BB297" s="2014"/>
      <c r="BC297" s="2014"/>
      <c r="BD297" s="2014"/>
      <c r="BE297" s="2014"/>
      <c r="BF297" s="2014"/>
      <c r="BG297" s="2014"/>
      <c r="BH297" s="2014"/>
      <c r="BI297" s="2014"/>
      <c r="BJ297" s="2014"/>
      <c r="BK297" s="2014"/>
      <c r="BL297" s="2014"/>
      <c r="BM297" s="2014"/>
      <c r="BN297" s="2014"/>
      <c r="BO297" s="2014"/>
    </row>
    <row r="298" spans="1:67" ht="20.100000000000001" customHeight="1">
      <c r="A298" s="1845">
        <v>48</v>
      </c>
      <c r="B298" s="1855"/>
      <c r="C298" s="1847"/>
      <c r="D298" s="1859" t="s">
        <v>943</v>
      </c>
      <c r="E298" s="1848"/>
      <c r="F298" s="1849"/>
      <c r="G298" s="2010" t="s">
        <v>548</v>
      </c>
      <c r="H298" s="2011">
        <f t="shared" ref="H298:K316" ca="1" si="138">H49</f>
        <v>29.3</v>
      </c>
      <c r="I298" s="2011">
        <f t="shared" ca="1" si="138"/>
        <v>29.3</v>
      </c>
      <c r="J298" s="2011">
        <f t="shared" ca="1" si="138"/>
        <v>29.3</v>
      </c>
      <c r="K298" s="2011">
        <f t="shared" ca="1" si="138"/>
        <v>29.3</v>
      </c>
      <c r="L298" s="2012">
        <f t="shared" ca="1" si="126"/>
        <v>0</v>
      </c>
      <c r="M298" s="2012">
        <f t="shared" ca="1" si="127"/>
        <v>0</v>
      </c>
      <c r="N298" s="2012">
        <f t="shared" ca="1" si="128"/>
        <v>0</v>
      </c>
      <c r="O298" s="2012">
        <f t="shared" ca="1" si="129"/>
        <v>0</v>
      </c>
      <c r="P298" s="2013">
        <f ca="1">SUM(SUMIFS(OFFSET(貼付け_2024実績,$A298,11,1,199),OFFSET(貼付け_2024実績,4,9,1,199),{"横浜*","川崎*"}))</f>
        <v>0</v>
      </c>
      <c r="Q298" s="2013">
        <f ca="1">SUM(SUMIFS(OFFSET(貼付け_2025実績,$A298,11,1,199),OFFSET(貼付け_2025実績,4,9,1,199),{"横浜*","川崎*"}))</f>
        <v>0</v>
      </c>
      <c r="R298" s="2013">
        <f ca="1">SUM(SUMIFS(OFFSET(貼付け_2026実績,$A298,11,1,199),OFFSET(貼付け_2026実績,4,9,1,199),{"横浜*","川崎*"}))</f>
        <v>0</v>
      </c>
      <c r="S298" s="2013">
        <f ca="1">SUM(SUMIFS(OFFSET(貼付け_2027実績,$A298,11,1,199),OFFSET(貼付け_2027実績,4,9,1,199),{"横浜*","川崎*"}))</f>
        <v>0</v>
      </c>
      <c r="T298" s="2012">
        <f t="shared" ca="1" si="130"/>
        <v>0</v>
      </c>
      <c r="U298" s="2012">
        <f t="shared" ca="1" si="131"/>
        <v>0</v>
      </c>
      <c r="V298" s="2012">
        <f t="shared" ca="1" si="132"/>
        <v>0</v>
      </c>
      <c r="W298" s="2012">
        <f t="shared" ca="1" si="133"/>
        <v>0</v>
      </c>
      <c r="X298" s="2014">
        <f t="shared" ca="1" si="134"/>
        <v>0</v>
      </c>
      <c r="Y298" s="2014">
        <f t="shared" ca="1" si="135"/>
        <v>0</v>
      </c>
      <c r="Z298" s="2014">
        <f t="shared" ca="1" si="136"/>
        <v>0</v>
      </c>
      <c r="AA298" s="2014">
        <f t="shared" ca="1" si="137"/>
        <v>0</v>
      </c>
      <c r="AB298" s="2014"/>
      <c r="AC298" s="2014"/>
      <c r="AD298" s="2014"/>
      <c r="AE298" s="2014"/>
      <c r="AF298" s="2014"/>
      <c r="AG298" s="2014"/>
      <c r="AH298" s="2014"/>
      <c r="AI298" s="2014"/>
      <c r="AJ298" s="2014"/>
      <c r="AK298" s="2014"/>
      <c r="AL298" s="2014"/>
      <c r="AM298" s="2014"/>
      <c r="AN298" s="2014"/>
      <c r="AO298" s="2014"/>
      <c r="AP298" s="2014"/>
      <c r="AQ298" s="2014"/>
      <c r="AR298" s="2014"/>
      <c r="AS298" s="2014"/>
      <c r="AT298" s="2014"/>
      <c r="AU298" s="2014"/>
      <c r="AV298" s="2014"/>
      <c r="AW298" s="2014"/>
      <c r="AX298" s="2014"/>
      <c r="AY298" s="2014"/>
      <c r="AZ298" s="2014"/>
      <c r="BA298" s="2014"/>
      <c r="BB298" s="2014"/>
      <c r="BC298" s="2014"/>
      <c r="BD298" s="2014"/>
      <c r="BE298" s="2014"/>
      <c r="BF298" s="2014"/>
      <c r="BG298" s="2014"/>
      <c r="BH298" s="2014"/>
      <c r="BI298" s="2014"/>
      <c r="BJ298" s="2014"/>
      <c r="BK298" s="2014"/>
      <c r="BL298" s="2014"/>
      <c r="BM298" s="2014"/>
      <c r="BN298" s="2014"/>
      <c r="BO298" s="2014"/>
    </row>
    <row r="299" spans="1:67" ht="20.100000000000001" customHeight="1">
      <c r="A299" s="1845">
        <v>49</v>
      </c>
      <c r="B299" s="1855"/>
      <c r="C299" s="1847"/>
      <c r="D299" s="1859" t="s">
        <v>944</v>
      </c>
      <c r="E299" s="1848"/>
      <c r="F299" s="1849"/>
      <c r="G299" s="2010" t="s">
        <v>540</v>
      </c>
      <c r="H299" s="2011">
        <f t="shared" ca="1" si="138"/>
        <v>40.200000000000003</v>
      </c>
      <c r="I299" s="2011">
        <f t="shared" ca="1" si="138"/>
        <v>40.200000000000003</v>
      </c>
      <c r="J299" s="2011">
        <f t="shared" ca="1" si="138"/>
        <v>40.200000000000003</v>
      </c>
      <c r="K299" s="2011">
        <f t="shared" ca="1" si="138"/>
        <v>40.200000000000003</v>
      </c>
      <c r="L299" s="2012">
        <f t="shared" ca="1" si="126"/>
        <v>0</v>
      </c>
      <c r="M299" s="2012">
        <f t="shared" ca="1" si="127"/>
        <v>0</v>
      </c>
      <c r="N299" s="2012">
        <f t="shared" ca="1" si="128"/>
        <v>0</v>
      </c>
      <c r="O299" s="2012">
        <f t="shared" ca="1" si="129"/>
        <v>0</v>
      </c>
      <c r="P299" s="2013">
        <f ca="1">SUM(SUMIFS(OFFSET(貼付け_2024実績,$A299,11,1,199),OFFSET(貼付け_2024実績,4,9,1,199),{"横浜*","川崎*"}))</f>
        <v>0</v>
      </c>
      <c r="Q299" s="2013">
        <f ca="1">SUM(SUMIFS(OFFSET(貼付け_2025実績,$A299,11,1,199),OFFSET(貼付け_2025実績,4,9,1,199),{"横浜*","川崎*"}))</f>
        <v>0</v>
      </c>
      <c r="R299" s="2013">
        <f ca="1">SUM(SUMIFS(OFFSET(貼付け_2026実績,$A299,11,1,199),OFFSET(貼付け_2026実績,4,9,1,199),{"横浜*","川崎*"}))</f>
        <v>0</v>
      </c>
      <c r="S299" s="2013">
        <f ca="1">SUM(SUMIFS(OFFSET(貼付け_2027実績,$A299,11,1,199),OFFSET(貼付け_2027実績,4,9,1,199),{"横浜*","川崎*"}))</f>
        <v>0</v>
      </c>
      <c r="T299" s="2012">
        <f t="shared" ca="1" si="130"/>
        <v>0</v>
      </c>
      <c r="U299" s="2012">
        <f t="shared" ca="1" si="131"/>
        <v>0</v>
      </c>
      <c r="V299" s="2012">
        <f t="shared" ca="1" si="132"/>
        <v>0</v>
      </c>
      <c r="W299" s="2012">
        <f t="shared" ca="1" si="133"/>
        <v>0</v>
      </c>
      <c r="X299" s="2014">
        <f t="shared" ca="1" si="134"/>
        <v>0</v>
      </c>
      <c r="Y299" s="2014">
        <f t="shared" ca="1" si="135"/>
        <v>0</v>
      </c>
      <c r="Z299" s="2014">
        <f t="shared" ca="1" si="136"/>
        <v>0</v>
      </c>
      <c r="AA299" s="2014">
        <f t="shared" ca="1" si="137"/>
        <v>0</v>
      </c>
      <c r="AB299" s="2014"/>
      <c r="AC299" s="2014"/>
      <c r="AD299" s="2014"/>
      <c r="AE299" s="2014"/>
      <c r="AF299" s="2014"/>
      <c r="AG299" s="2014"/>
      <c r="AH299" s="2014"/>
      <c r="AI299" s="2014"/>
      <c r="AJ299" s="2014"/>
      <c r="AK299" s="2014"/>
      <c r="AL299" s="2014"/>
      <c r="AM299" s="2014"/>
      <c r="AN299" s="2014"/>
      <c r="AO299" s="2014"/>
      <c r="AP299" s="2014"/>
      <c r="AQ299" s="2014"/>
      <c r="AR299" s="2014"/>
      <c r="AS299" s="2014"/>
      <c r="AT299" s="2014"/>
      <c r="AU299" s="2014"/>
      <c r="AV299" s="2014"/>
      <c r="AW299" s="2014"/>
      <c r="AX299" s="2014"/>
      <c r="AY299" s="2014"/>
      <c r="AZ299" s="2014"/>
      <c r="BA299" s="2014"/>
      <c r="BB299" s="2014"/>
      <c r="BC299" s="2014"/>
      <c r="BD299" s="2014"/>
      <c r="BE299" s="2014"/>
      <c r="BF299" s="2014"/>
      <c r="BG299" s="2014"/>
      <c r="BH299" s="2014"/>
      <c r="BI299" s="2014"/>
      <c r="BJ299" s="2014"/>
      <c r="BK299" s="2014"/>
      <c r="BL299" s="2014"/>
      <c r="BM299" s="2014"/>
      <c r="BN299" s="2014"/>
      <c r="BO299" s="2014"/>
    </row>
    <row r="300" spans="1:67" ht="20.100000000000001" customHeight="1">
      <c r="A300" s="1845">
        <v>50</v>
      </c>
      <c r="B300" s="1854"/>
      <c r="C300" s="1847"/>
      <c r="D300" s="1848" t="s">
        <v>945</v>
      </c>
      <c r="E300" s="1848"/>
      <c r="F300" s="1849"/>
      <c r="G300" s="2010" t="s">
        <v>553</v>
      </c>
      <c r="H300" s="2011">
        <f t="shared" ca="1" si="138"/>
        <v>21.2</v>
      </c>
      <c r="I300" s="2011">
        <f t="shared" ca="1" si="138"/>
        <v>21.2</v>
      </c>
      <c r="J300" s="2011">
        <f t="shared" ca="1" si="138"/>
        <v>21.2</v>
      </c>
      <c r="K300" s="2011">
        <f t="shared" ca="1" si="138"/>
        <v>21.2</v>
      </c>
      <c r="L300" s="2012">
        <f t="shared" ca="1" si="126"/>
        <v>0</v>
      </c>
      <c r="M300" s="2012">
        <f t="shared" ca="1" si="127"/>
        <v>0</v>
      </c>
      <c r="N300" s="2012">
        <f t="shared" ca="1" si="128"/>
        <v>0</v>
      </c>
      <c r="O300" s="2012">
        <f t="shared" ca="1" si="129"/>
        <v>0</v>
      </c>
      <c r="P300" s="2013">
        <f ca="1">SUM(SUMIFS(OFFSET(貼付け_2024実績,$A300,11,1,199),OFFSET(貼付け_2024実績,4,9,1,199),{"横浜*","川崎*"}))</f>
        <v>0</v>
      </c>
      <c r="Q300" s="2013">
        <f ca="1">SUM(SUMIFS(OFFSET(貼付け_2025実績,$A300,11,1,199),OFFSET(貼付け_2025実績,4,9,1,199),{"横浜*","川崎*"}))</f>
        <v>0</v>
      </c>
      <c r="R300" s="2013">
        <f ca="1">SUM(SUMIFS(OFFSET(貼付け_2026実績,$A300,11,1,199),OFFSET(貼付け_2026実績,4,9,1,199),{"横浜*","川崎*"}))</f>
        <v>0</v>
      </c>
      <c r="S300" s="2013">
        <f ca="1">SUM(SUMIFS(OFFSET(貼付け_2027実績,$A300,11,1,199),OFFSET(貼付け_2027実績,4,9,1,199),{"横浜*","川崎*"}))</f>
        <v>0</v>
      </c>
      <c r="T300" s="2012">
        <f t="shared" ca="1" si="130"/>
        <v>0</v>
      </c>
      <c r="U300" s="2012">
        <f t="shared" ca="1" si="131"/>
        <v>0</v>
      </c>
      <c r="V300" s="2012">
        <f t="shared" ca="1" si="132"/>
        <v>0</v>
      </c>
      <c r="W300" s="2012">
        <f t="shared" ca="1" si="133"/>
        <v>0</v>
      </c>
      <c r="X300" s="2014">
        <f t="shared" ca="1" si="134"/>
        <v>0</v>
      </c>
      <c r="Y300" s="2014">
        <f t="shared" ca="1" si="135"/>
        <v>0</v>
      </c>
      <c r="Z300" s="2014">
        <f t="shared" ca="1" si="136"/>
        <v>0</v>
      </c>
      <c r="AA300" s="2014">
        <f t="shared" ca="1" si="137"/>
        <v>0</v>
      </c>
      <c r="AB300" s="2014"/>
      <c r="AC300" s="2014"/>
      <c r="AD300" s="2014"/>
      <c r="AE300" s="2014"/>
      <c r="AF300" s="2014"/>
      <c r="AG300" s="2014"/>
      <c r="AH300" s="2014"/>
      <c r="AI300" s="2014"/>
      <c r="AJ300" s="2014"/>
      <c r="AK300" s="2014"/>
      <c r="AL300" s="2014"/>
      <c r="AM300" s="2014"/>
      <c r="AN300" s="2014"/>
      <c r="AO300" s="2014"/>
      <c r="AP300" s="2014"/>
      <c r="AQ300" s="2014"/>
      <c r="AR300" s="2014"/>
      <c r="AS300" s="2014"/>
      <c r="AT300" s="2014"/>
      <c r="AU300" s="2014"/>
      <c r="AV300" s="2014"/>
      <c r="AW300" s="2014"/>
      <c r="AX300" s="2014"/>
      <c r="AY300" s="2014"/>
      <c r="AZ300" s="2014"/>
      <c r="BA300" s="2014"/>
      <c r="BB300" s="2014"/>
      <c r="BC300" s="2014"/>
      <c r="BD300" s="2014"/>
      <c r="BE300" s="2014"/>
      <c r="BF300" s="2014"/>
      <c r="BG300" s="2014"/>
      <c r="BH300" s="2014"/>
      <c r="BI300" s="2014"/>
      <c r="BJ300" s="2014"/>
      <c r="BK300" s="2014"/>
      <c r="BL300" s="2014"/>
      <c r="BM300" s="2014"/>
      <c r="BN300" s="2014"/>
      <c r="BO300" s="2014"/>
    </row>
    <row r="301" spans="1:67" ht="20.100000000000001" customHeight="1">
      <c r="A301" s="1845">
        <v>51</v>
      </c>
      <c r="B301" s="1854"/>
      <c r="C301" s="1847"/>
      <c r="D301" s="1848" t="s">
        <v>946</v>
      </c>
      <c r="E301" s="1848"/>
      <c r="F301" s="1849"/>
      <c r="G301" s="2010" t="s">
        <v>548</v>
      </c>
      <c r="H301" s="2011">
        <f t="shared" ca="1" si="138"/>
        <v>17.100000000000001</v>
      </c>
      <c r="I301" s="2011">
        <f t="shared" ca="1" si="138"/>
        <v>17.100000000000001</v>
      </c>
      <c r="J301" s="2011">
        <f t="shared" ca="1" si="138"/>
        <v>17.100000000000001</v>
      </c>
      <c r="K301" s="2011">
        <f t="shared" ca="1" si="138"/>
        <v>17.100000000000001</v>
      </c>
      <c r="L301" s="2012">
        <f t="shared" ca="1" si="126"/>
        <v>0</v>
      </c>
      <c r="M301" s="2012">
        <f t="shared" ca="1" si="127"/>
        <v>0</v>
      </c>
      <c r="N301" s="2012">
        <f t="shared" ca="1" si="128"/>
        <v>0</v>
      </c>
      <c r="O301" s="2012">
        <f t="shared" ca="1" si="129"/>
        <v>0</v>
      </c>
      <c r="P301" s="2013">
        <f ca="1">SUM(SUMIFS(OFFSET(貼付け_2024実績,$A301,11,1,199),OFFSET(貼付け_2024実績,4,9,1,199),{"横浜*","川崎*"}))</f>
        <v>0</v>
      </c>
      <c r="Q301" s="2013">
        <f ca="1">SUM(SUMIFS(OFFSET(貼付け_2025実績,$A301,11,1,199),OFFSET(貼付け_2025実績,4,9,1,199),{"横浜*","川崎*"}))</f>
        <v>0</v>
      </c>
      <c r="R301" s="2013">
        <f ca="1">SUM(SUMIFS(OFFSET(貼付け_2026実績,$A301,11,1,199),OFFSET(貼付け_2026実績,4,9,1,199),{"横浜*","川崎*"}))</f>
        <v>0</v>
      </c>
      <c r="S301" s="2013">
        <f ca="1">SUM(SUMIFS(OFFSET(貼付け_2027実績,$A301,11,1,199),OFFSET(貼付け_2027実績,4,9,1,199),{"横浜*","川崎*"}))</f>
        <v>0</v>
      </c>
      <c r="T301" s="2012">
        <f t="shared" ca="1" si="130"/>
        <v>0</v>
      </c>
      <c r="U301" s="2012">
        <f t="shared" ca="1" si="131"/>
        <v>0</v>
      </c>
      <c r="V301" s="2012">
        <f t="shared" ca="1" si="132"/>
        <v>0</v>
      </c>
      <c r="W301" s="2012">
        <f t="shared" ca="1" si="133"/>
        <v>0</v>
      </c>
      <c r="X301" s="2014">
        <f t="shared" ca="1" si="134"/>
        <v>0</v>
      </c>
      <c r="Y301" s="2014">
        <f t="shared" ca="1" si="135"/>
        <v>0</v>
      </c>
      <c r="Z301" s="2014">
        <f t="shared" ca="1" si="136"/>
        <v>0</v>
      </c>
      <c r="AA301" s="2014">
        <f t="shared" ca="1" si="137"/>
        <v>0</v>
      </c>
      <c r="AB301" s="2014"/>
      <c r="AC301" s="2014"/>
      <c r="AD301" s="2014"/>
      <c r="AE301" s="2014"/>
      <c r="AF301" s="2014"/>
      <c r="AG301" s="2014"/>
      <c r="AH301" s="2014"/>
      <c r="AI301" s="2014"/>
      <c r="AJ301" s="2014"/>
      <c r="AK301" s="2014"/>
      <c r="AL301" s="2014"/>
      <c r="AM301" s="2014"/>
      <c r="AN301" s="2014"/>
      <c r="AO301" s="2014"/>
      <c r="AP301" s="2014"/>
      <c r="AQ301" s="2014"/>
      <c r="AR301" s="2014"/>
      <c r="AS301" s="2014"/>
      <c r="AT301" s="2014"/>
      <c r="AU301" s="2014"/>
      <c r="AV301" s="2014"/>
      <c r="AW301" s="2014"/>
      <c r="AX301" s="2014"/>
      <c r="AY301" s="2014"/>
      <c r="AZ301" s="2014"/>
      <c r="BA301" s="2014"/>
      <c r="BB301" s="2014"/>
      <c r="BC301" s="2014"/>
      <c r="BD301" s="2014"/>
      <c r="BE301" s="2014"/>
      <c r="BF301" s="2014"/>
      <c r="BG301" s="2014"/>
      <c r="BH301" s="2014"/>
      <c r="BI301" s="2014"/>
      <c r="BJ301" s="2014"/>
      <c r="BK301" s="2014"/>
      <c r="BL301" s="2014"/>
      <c r="BM301" s="2014"/>
      <c r="BN301" s="2014"/>
      <c r="BO301" s="2014"/>
    </row>
    <row r="302" spans="1:67" ht="20.100000000000001" customHeight="1">
      <c r="A302" s="1845">
        <v>52</v>
      </c>
      <c r="B302" s="1854"/>
      <c r="C302" s="1847"/>
      <c r="D302" s="1848" t="s">
        <v>947</v>
      </c>
      <c r="E302" s="1848"/>
      <c r="F302" s="1849"/>
      <c r="G302" s="2010" t="s">
        <v>548</v>
      </c>
      <c r="H302" s="2011">
        <f t="shared" ca="1" si="138"/>
        <v>142</v>
      </c>
      <c r="I302" s="2011">
        <f t="shared" ca="1" si="138"/>
        <v>142</v>
      </c>
      <c r="J302" s="2011">
        <f t="shared" ca="1" si="138"/>
        <v>142</v>
      </c>
      <c r="K302" s="2011">
        <f t="shared" ca="1" si="138"/>
        <v>142</v>
      </c>
      <c r="L302" s="2012">
        <f t="shared" ca="1" si="126"/>
        <v>0</v>
      </c>
      <c r="M302" s="2012">
        <f t="shared" ca="1" si="127"/>
        <v>0</v>
      </c>
      <c r="N302" s="2012">
        <f t="shared" ca="1" si="128"/>
        <v>0</v>
      </c>
      <c r="O302" s="2012">
        <f t="shared" ca="1" si="129"/>
        <v>0</v>
      </c>
      <c r="P302" s="2013">
        <f ca="1">SUM(SUMIFS(OFFSET(貼付け_2024実績,$A302,11,1,199),OFFSET(貼付け_2024実績,4,9,1,199),{"横浜*","川崎*"}))</f>
        <v>0</v>
      </c>
      <c r="Q302" s="2013">
        <f ca="1">SUM(SUMIFS(OFFSET(貼付け_2025実績,$A302,11,1,199),OFFSET(貼付け_2025実績,4,9,1,199),{"横浜*","川崎*"}))</f>
        <v>0</v>
      </c>
      <c r="R302" s="2013">
        <f ca="1">SUM(SUMIFS(OFFSET(貼付け_2026実績,$A302,11,1,199),OFFSET(貼付け_2026実績,4,9,1,199),{"横浜*","川崎*"}))</f>
        <v>0</v>
      </c>
      <c r="S302" s="2013">
        <f ca="1">SUM(SUMIFS(OFFSET(貼付け_2027実績,$A302,11,1,199),OFFSET(貼付け_2027実績,4,9,1,199),{"横浜*","川崎*"}))</f>
        <v>0</v>
      </c>
      <c r="T302" s="2012">
        <f t="shared" ca="1" si="130"/>
        <v>0</v>
      </c>
      <c r="U302" s="2012">
        <f t="shared" ca="1" si="131"/>
        <v>0</v>
      </c>
      <c r="V302" s="2012">
        <f t="shared" ca="1" si="132"/>
        <v>0</v>
      </c>
      <c r="W302" s="2012">
        <f t="shared" ca="1" si="133"/>
        <v>0</v>
      </c>
      <c r="X302" s="2014">
        <f t="shared" ca="1" si="134"/>
        <v>0</v>
      </c>
      <c r="Y302" s="2014">
        <f t="shared" ca="1" si="135"/>
        <v>0</v>
      </c>
      <c r="Z302" s="2014">
        <f t="shared" ca="1" si="136"/>
        <v>0</v>
      </c>
      <c r="AA302" s="2014">
        <f t="shared" ca="1" si="137"/>
        <v>0</v>
      </c>
      <c r="AB302" s="2014"/>
      <c r="AC302" s="2014"/>
      <c r="AD302" s="2014"/>
      <c r="AE302" s="2014"/>
      <c r="AF302" s="2014"/>
      <c r="AG302" s="2014"/>
      <c r="AH302" s="2014"/>
      <c r="AI302" s="2014"/>
      <c r="AJ302" s="2014"/>
      <c r="AK302" s="2014"/>
      <c r="AL302" s="2014"/>
      <c r="AM302" s="2014"/>
      <c r="AN302" s="2014"/>
      <c r="AO302" s="2014"/>
      <c r="AP302" s="2014"/>
      <c r="AQ302" s="2014"/>
      <c r="AR302" s="2014"/>
      <c r="AS302" s="2014"/>
      <c r="AT302" s="2014"/>
      <c r="AU302" s="2014"/>
      <c r="AV302" s="2014"/>
      <c r="AW302" s="2014"/>
      <c r="AX302" s="2014"/>
      <c r="AY302" s="2014"/>
      <c r="AZ302" s="2014"/>
      <c r="BA302" s="2014"/>
      <c r="BB302" s="2014"/>
      <c r="BC302" s="2014"/>
      <c r="BD302" s="2014"/>
      <c r="BE302" s="2014"/>
      <c r="BF302" s="2014"/>
      <c r="BG302" s="2014"/>
      <c r="BH302" s="2014"/>
      <c r="BI302" s="2014"/>
      <c r="BJ302" s="2014"/>
      <c r="BK302" s="2014"/>
      <c r="BL302" s="2014"/>
      <c r="BM302" s="2014"/>
      <c r="BN302" s="2014"/>
      <c r="BO302" s="2014"/>
    </row>
    <row r="303" spans="1:67" ht="20.100000000000001" customHeight="1">
      <c r="A303" s="1845">
        <v>53</v>
      </c>
      <c r="B303" s="1854"/>
      <c r="C303" s="1847"/>
      <c r="D303" s="1848" t="s">
        <v>569</v>
      </c>
      <c r="E303" s="1848"/>
      <c r="F303" s="1849"/>
      <c r="G303" s="2010" t="s">
        <v>548</v>
      </c>
      <c r="H303" s="2011">
        <f t="shared" ca="1" si="138"/>
        <v>22.5</v>
      </c>
      <c r="I303" s="2011">
        <f t="shared" ca="1" si="138"/>
        <v>22.5</v>
      </c>
      <c r="J303" s="2011">
        <f t="shared" ca="1" si="138"/>
        <v>22.5</v>
      </c>
      <c r="K303" s="2011">
        <f t="shared" ca="1" si="138"/>
        <v>22.5</v>
      </c>
      <c r="L303" s="2012">
        <f t="shared" ca="1" si="126"/>
        <v>0</v>
      </c>
      <c r="M303" s="2012">
        <f t="shared" ca="1" si="127"/>
        <v>0</v>
      </c>
      <c r="N303" s="2012">
        <f t="shared" ca="1" si="128"/>
        <v>0</v>
      </c>
      <c r="O303" s="2012">
        <f t="shared" ca="1" si="129"/>
        <v>0</v>
      </c>
      <c r="P303" s="2013">
        <f ca="1">SUM(SUMIFS(OFFSET(貼付け_2024実績,$A303,11,1,199),OFFSET(貼付け_2024実績,4,9,1,199),{"横浜*","川崎*"}))</f>
        <v>0</v>
      </c>
      <c r="Q303" s="2013">
        <f ca="1">SUM(SUMIFS(OFFSET(貼付け_2025実績,$A303,11,1,199),OFFSET(貼付け_2025実績,4,9,1,199),{"横浜*","川崎*"}))</f>
        <v>0</v>
      </c>
      <c r="R303" s="2013">
        <f ca="1">SUM(SUMIFS(OFFSET(貼付け_2026実績,$A303,11,1,199),OFFSET(貼付け_2026実績,4,9,1,199),{"横浜*","川崎*"}))</f>
        <v>0</v>
      </c>
      <c r="S303" s="2013">
        <f ca="1">SUM(SUMIFS(OFFSET(貼付け_2027実績,$A303,11,1,199),OFFSET(貼付け_2027実績,4,9,1,199),{"横浜*","川崎*"}))</f>
        <v>0</v>
      </c>
      <c r="T303" s="2012">
        <f t="shared" ca="1" si="130"/>
        <v>0</v>
      </c>
      <c r="U303" s="2012">
        <f t="shared" ca="1" si="131"/>
        <v>0</v>
      </c>
      <c r="V303" s="2012">
        <f t="shared" ca="1" si="132"/>
        <v>0</v>
      </c>
      <c r="W303" s="2012">
        <f t="shared" ca="1" si="133"/>
        <v>0</v>
      </c>
      <c r="X303" s="2014">
        <f t="shared" ca="1" si="134"/>
        <v>0</v>
      </c>
      <c r="Y303" s="2014">
        <f t="shared" ca="1" si="135"/>
        <v>0</v>
      </c>
      <c r="Z303" s="2014">
        <f t="shared" ca="1" si="136"/>
        <v>0</v>
      </c>
      <c r="AA303" s="2014">
        <f t="shared" ca="1" si="137"/>
        <v>0</v>
      </c>
      <c r="AB303" s="2014"/>
      <c r="AC303" s="2014"/>
      <c r="AD303" s="2014"/>
      <c r="AE303" s="2014"/>
      <c r="AF303" s="2014"/>
      <c r="AG303" s="2014"/>
      <c r="AH303" s="2014"/>
      <c r="AI303" s="2014"/>
      <c r="AJ303" s="2014"/>
      <c r="AK303" s="2014"/>
      <c r="AL303" s="2014"/>
      <c r="AM303" s="2014"/>
      <c r="AN303" s="2014"/>
      <c r="AO303" s="2014"/>
      <c r="AP303" s="2014"/>
      <c r="AQ303" s="2014"/>
      <c r="AR303" s="2014"/>
      <c r="AS303" s="2014"/>
      <c r="AT303" s="2014"/>
      <c r="AU303" s="2014"/>
      <c r="AV303" s="2014"/>
      <c r="AW303" s="2014"/>
      <c r="AX303" s="2014"/>
      <c r="AY303" s="2014"/>
      <c r="AZ303" s="2014"/>
      <c r="BA303" s="2014"/>
      <c r="BB303" s="2014"/>
      <c r="BC303" s="2014"/>
      <c r="BD303" s="2014"/>
      <c r="BE303" s="2014"/>
      <c r="BF303" s="2014"/>
      <c r="BG303" s="2014"/>
      <c r="BH303" s="2014"/>
      <c r="BI303" s="2014"/>
      <c r="BJ303" s="2014"/>
      <c r="BK303" s="2014"/>
      <c r="BL303" s="2014"/>
      <c r="BM303" s="2014"/>
      <c r="BN303" s="2014"/>
      <c r="BO303" s="2014"/>
    </row>
    <row r="304" spans="1:67" ht="20.100000000000001" customHeight="1">
      <c r="A304" s="1845">
        <v>54</v>
      </c>
      <c r="B304" s="1854"/>
      <c r="C304" s="1847"/>
      <c r="D304" s="1848" t="s">
        <v>948</v>
      </c>
      <c r="E304" s="1858" t="str">
        <f ca="1">E55</f>
        <v/>
      </c>
      <c r="F304" s="1860"/>
      <c r="G304" s="1858" t="str">
        <f ca="1">G55</f>
        <v/>
      </c>
      <c r="H304" s="2011">
        <f t="shared" ca="1" si="138"/>
        <v>0</v>
      </c>
      <c r="I304" s="2011">
        <f t="shared" ca="1" si="138"/>
        <v>0</v>
      </c>
      <c r="J304" s="2011">
        <f t="shared" ca="1" si="138"/>
        <v>0</v>
      </c>
      <c r="K304" s="2011">
        <f t="shared" ca="1" si="138"/>
        <v>0</v>
      </c>
      <c r="L304" s="2012">
        <f t="shared" ca="1" si="126"/>
        <v>0</v>
      </c>
      <c r="M304" s="2012">
        <f t="shared" ca="1" si="127"/>
        <v>0</v>
      </c>
      <c r="N304" s="2012">
        <f t="shared" ca="1" si="128"/>
        <v>0</v>
      </c>
      <c r="O304" s="2012">
        <f t="shared" ca="1" si="129"/>
        <v>0</v>
      </c>
      <c r="P304" s="2013">
        <f ca="1">SUM(SUMIFS(OFFSET(貼付け_2024実績,$A304,11,1,199),OFFSET(貼付け_2024実績,4,9,1,199),{"横浜*","川崎*"}))</f>
        <v>0</v>
      </c>
      <c r="Q304" s="2013">
        <f ca="1">SUM(SUMIFS(OFFSET(貼付け_2025実績,$A304,11,1,199),OFFSET(貼付け_2025実績,4,9,1,199),{"横浜*","川崎*"}))</f>
        <v>0</v>
      </c>
      <c r="R304" s="2013">
        <f ca="1">SUM(SUMIFS(OFFSET(貼付け_2026実績,$A304,11,1,199),OFFSET(貼付け_2026実績,4,9,1,199),{"横浜*","川崎*"}))</f>
        <v>0</v>
      </c>
      <c r="S304" s="2013">
        <f ca="1">SUM(SUMIFS(OFFSET(貼付け_2027実績,$A304,11,1,199),OFFSET(貼付け_2027実績,4,9,1,199),{"横浜*","川崎*"}))</f>
        <v>0</v>
      </c>
      <c r="T304" s="2012">
        <f t="shared" ca="1" si="130"/>
        <v>0</v>
      </c>
      <c r="U304" s="2012">
        <f t="shared" ca="1" si="131"/>
        <v>0</v>
      </c>
      <c r="V304" s="2012">
        <f t="shared" ca="1" si="132"/>
        <v>0</v>
      </c>
      <c r="W304" s="2012">
        <f t="shared" ca="1" si="133"/>
        <v>0</v>
      </c>
      <c r="X304" s="2014">
        <f t="shared" ca="1" si="134"/>
        <v>0</v>
      </c>
      <c r="Y304" s="2014">
        <f t="shared" ca="1" si="135"/>
        <v>0</v>
      </c>
      <c r="Z304" s="2014">
        <f t="shared" ca="1" si="136"/>
        <v>0</v>
      </c>
      <c r="AA304" s="2014">
        <f t="shared" ca="1" si="137"/>
        <v>0</v>
      </c>
      <c r="AB304" s="2014"/>
      <c r="AC304" s="2014"/>
      <c r="AD304" s="2014"/>
      <c r="AE304" s="2014"/>
      <c r="AF304" s="2014"/>
      <c r="AG304" s="2014"/>
      <c r="AH304" s="2014"/>
      <c r="AI304" s="2014"/>
      <c r="AJ304" s="2014"/>
      <c r="AK304" s="2014"/>
      <c r="AL304" s="2014"/>
      <c r="AM304" s="2014"/>
      <c r="AN304" s="2014"/>
      <c r="AO304" s="2014"/>
      <c r="AP304" s="2014"/>
      <c r="AQ304" s="2014"/>
      <c r="AR304" s="2014"/>
      <c r="AS304" s="2014"/>
      <c r="AT304" s="2014"/>
      <c r="AU304" s="2014"/>
      <c r="AV304" s="2014"/>
      <c r="AW304" s="2014"/>
      <c r="AX304" s="2014"/>
      <c r="AY304" s="2014"/>
      <c r="AZ304" s="2014"/>
      <c r="BA304" s="2014"/>
      <c r="BB304" s="2014"/>
      <c r="BC304" s="2014"/>
      <c r="BD304" s="2014"/>
      <c r="BE304" s="2014"/>
      <c r="BF304" s="2014"/>
      <c r="BG304" s="2014"/>
      <c r="BH304" s="2014"/>
      <c r="BI304" s="2014"/>
      <c r="BJ304" s="2014"/>
      <c r="BK304" s="2014"/>
      <c r="BL304" s="2014"/>
      <c r="BM304" s="2014"/>
      <c r="BN304" s="2014"/>
      <c r="BO304" s="2014"/>
    </row>
    <row r="305" spans="1:68" ht="20.100000000000001" customHeight="1">
      <c r="A305" s="1845">
        <v>55</v>
      </c>
      <c r="B305" s="1854"/>
      <c r="C305" s="1847"/>
      <c r="D305" s="1848" t="s">
        <v>949</v>
      </c>
      <c r="E305" s="1858" t="str">
        <f ca="1">E56</f>
        <v/>
      </c>
      <c r="F305" s="1860"/>
      <c r="G305" s="1858" t="str">
        <f ca="1">G56</f>
        <v/>
      </c>
      <c r="H305" s="2011">
        <f t="shared" ca="1" si="138"/>
        <v>0</v>
      </c>
      <c r="I305" s="2011">
        <f t="shared" ca="1" si="138"/>
        <v>0</v>
      </c>
      <c r="J305" s="2011">
        <f t="shared" ca="1" si="138"/>
        <v>0</v>
      </c>
      <c r="K305" s="2011">
        <f t="shared" ca="1" si="138"/>
        <v>0</v>
      </c>
      <c r="L305" s="2012">
        <f t="shared" ca="1" si="126"/>
        <v>0</v>
      </c>
      <c r="M305" s="2012">
        <f t="shared" ca="1" si="127"/>
        <v>0</v>
      </c>
      <c r="N305" s="2012">
        <f t="shared" ca="1" si="128"/>
        <v>0</v>
      </c>
      <c r="O305" s="2012">
        <f t="shared" ca="1" si="129"/>
        <v>0</v>
      </c>
      <c r="P305" s="2013">
        <f ca="1">SUM(SUMIFS(OFFSET(貼付け_2024実績,$A305,11,1,199),OFFSET(貼付け_2024実績,4,9,1,199),{"横浜*","川崎*"}))</f>
        <v>0</v>
      </c>
      <c r="Q305" s="2013">
        <f ca="1">SUM(SUMIFS(OFFSET(貼付け_2025実績,$A305,11,1,199),OFFSET(貼付け_2025実績,4,9,1,199),{"横浜*","川崎*"}))</f>
        <v>0</v>
      </c>
      <c r="R305" s="2013">
        <f ca="1">SUM(SUMIFS(OFFSET(貼付け_2026実績,$A305,11,1,199),OFFSET(貼付け_2026実績,4,9,1,199),{"横浜*","川崎*"}))</f>
        <v>0</v>
      </c>
      <c r="S305" s="2013">
        <f ca="1">SUM(SUMIFS(OFFSET(貼付け_2027実績,$A305,11,1,199),OFFSET(貼付け_2027実績,4,9,1,199),{"横浜*","川崎*"}))</f>
        <v>0</v>
      </c>
      <c r="T305" s="2012">
        <f t="shared" ca="1" si="130"/>
        <v>0</v>
      </c>
      <c r="U305" s="2012">
        <f t="shared" ca="1" si="131"/>
        <v>0</v>
      </c>
      <c r="V305" s="2012">
        <f t="shared" ca="1" si="132"/>
        <v>0</v>
      </c>
      <c r="W305" s="2012">
        <f t="shared" ca="1" si="133"/>
        <v>0</v>
      </c>
      <c r="X305" s="2014">
        <f t="shared" ca="1" si="134"/>
        <v>0</v>
      </c>
      <c r="Y305" s="2014">
        <f t="shared" ca="1" si="135"/>
        <v>0</v>
      </c>
      <c r="Z305" s="2014">
        <f t="shared" ca="1" si="136"/>
        <v>0</v>
      </c>
      <c r="AA305" s="2014">
        <f t="shared" ca="1" si="137"/>
        <v>0</v>
      </c>
      <c r="AB305" s="2014"/>
      <c r="AC305" s="2014"/>
      <c r="AD305" s="2014"/>
      <c r="AE305" s="2014"/>
      <c r="AF305" s="2014"/>
      <c r="AG305" s="2014"/>
      <c r="AH305" s="2014"/>
      <c r="AI305" s="2014"/>
      <c r="AJ305" s="2014"/>
      <c r="AK305" s="2014"/>
      <c r="AL305" s="2014"/>
      <c r="AM305" s="2014"/>
      <c r="AN305" s="2014"/>
      <c r="AO305" s="2014"/>
      <c r="AP305" s="2014"/>
      <c r="AQ305" s="2014"/>
      <c r="AR305" s="2014"/>
      <c r="AS305" s="2014"/>
      <c r="AT305" s="2014"/>
      <c r="AU305" s="2014"/>
      <c r="AV305" s="2014"/>
      <c r="AW305" s="2014"/>
      <c r="AX305" s="2014"/>
      <c r="AY305" s="2014"/>
      <c r="AZ305" s="2014"/>
      <c r="BA305" s="2014"/>
      <c r="BB305" s="2014"/>
      <c r="BC305" s="2014"/>
      <c r="BD305" s="2014"/>
      <c r="BE305" s="2014"/>
      <c r="BF305" s="2014"/>
      <c r="BG305" s="2014"/>
      <c r="BH305" s="2014"/>
      <c r="BI305" s="2014"/>
      <c r="BJ305" s="2014"/>
      <c r="BK305" s="2014"/>
      <c r="BL305" s="2014"/>
      <c r="BM305" s="2014"/>
      <c r="BN305" s="2014"/>
      <c r="BO305" s="2014"/>
      <c r="BP305" s="1862"/>
    </row>
    <row r="306" spans="1:68" ht="20.100000000000001" customHeight="1">
      <c r="A306" s="1845">
        <v>56</v>
      </c>
      <c r="B306" s="1846" t="s">
        <v>950</v>
      </c>
      <c r="C306" s="1847" t="s">
        <v>951</v>
      </c>
      <c r="D306" s="1848" t="s">
        <v>952</v>
      </c>
      <c r="E306" s="1856"/>
      <c r="F306" s="1863"/>
      <c r="G306" s="2010" t="s">
        <v>0</v>
      </c>
      <c r="H306" s="2011">
        <f t="shared" ca="1" si="138"/>
        <v>1.17</v>
      </c>
      <c r="I306" s="2011">
        <f t="shared" ca="1" si="138"/>
        <v>1.17</v>
      </c>
      <c r="J306" s="2011">
        <f t="shared" ca="1" si="138"/>
        <v>1.17</v>
      </c>
      <c r="K306" s="2011">
        <f t="shared" ca="1" si="138"/>
        <v>1.17</v>
      </c>
      <c r="L306" s="2012">
        <f t="shared" ca="1" si="126"/>
        <v>0</v>
      </c>
      <c r="M306" s="2012">
        <f t="shared" ca="1" si="127"/>
        <v>0</v>
      </c>
      <c r="N306" s="2012">
        <f t="shared" ca="1" si="128"/>
        <v>0</v>
      </c>
      <c r="O306" s="2012">
        <f t="shared" ca="1" si="129"/>
        <v>0</v>
      </c>
      <c r="P306" s="2013">
        <f ca="1">SUM(SUMIFS(OFFSET(貼付け_2024実績,$A306,11,1,199),OFFSET(貼付け_2024実績,4,9,1,199),{"横浜*","川崎*"}))</f>
        <v>0</v>
      </c>
      <c r="Q306" s="2013">
        <f ca="1">SUM(SUMIFS(OFFSET(貼付け_2025実績,$A306,11,1,199),OFFSET(貼付け_2025実績,4,9,1,199),{"横浜*","川崎*"}))</f>
        <v>0</v>
      </c>
      <c r="R306" s="2013">
        <f ca="1">SUM(SUMIFS(OFFSET(貼付け_2026実績,$A306,11,1,199),OFFSET(貼付け_2026実績,4,9,1,199),{"横浜*","川崎*"}))</f>
        <v>0</v>
      </c>
      <c r="S306" s="2013">
        <f ca="1">SUM(SUMIFS(OFFSET(貼付け_2027実績,$A306,11,1,199),OFFSET(貼付け_2027実績,4,9,1,199),{"横浜*","川崎*"}))</f>
        <v>0</v>
      </c>
      <c r="T306" s="2012">
        <f t="shared" ca="1" si="130"/>
        <v>0</v>
      </c>
      <c r="U306" s="2012">
        <f t="shared" ca="1" si="131"/>
        <v>0</v>
      </c>
      <c r="V306" s="2012">
        <f t="shared" ca="1" si="132"/>
        <v>0</v>
      </c>
      <c r="W306" s="2012">
        <f t="shared" ca="1" si="133"/>
        <v>0</v>
      </c>
      <c r="X306" s="2014">
        <f t="shared" ca="1" si="134"/>
        <v>0</v>
      </c>
      <c r="Y306" s="2014">
        <f t="shared" ca="1" si="135"/>
        <v>0</v>
      </c>
      <c r="Z306" s="2014">
        <f t="shared" ca="1" si="136"/>
        <v>0</v>
      </c>
      <c r="AA306" s="2014">
        <f t="shared" ca="1" si="137"/>
        <v>0</v>
      </c>
      <c r="AB306" s="2014"/>
      <c r="AC306" s="2014"/>
      <c r="AD306" s="2014"/>
      <c r="AE306" s="2014"/>
      <c r="AF306" s="2014"/>
      <c r="AG306" s="2014"/>
      <c r="AH306" s="2014"/>
      <c r="AI306" s="2014"/>
      <c r="AJ306" s="2014"/>
      <c r="AK306" s="2014"/>
      <c r="AL306" s="2014"/>
      <c r="AM306" s="2014"/>
      <c r="AN306" s="2014"/>
      <c r="AO306" s="2014"/>
      <c r="AP306" s="2014"/>
      <c r="AQ306" s="2014"/>
      <c r="AR306" s="2014"/>
      <c r="AS306" s="2014"/>
      <c r="AT306" s="2014"/>
      <c r="AU306" s="2014"/>
      <c r="AV306" s="2014"/>
      <c r="AW306" s="2014"/>
      <c r="AX306" s="2014"/>
      <c r="AY306" s="2014"/>
      <c r="AZ306" s="2014"/>
      <c r="BA306" s="2014"/>
      <c r="BB306" s="2014"/>
      <c r="BC306" s="2014"/>
      <c r="BD306" s="2014"/>
      <c r="BE306" s="2014"/>
      <c r="BF306" s="2014"/>
      <c r="BG306" s="2014"/>
      <c r="BH306" s="2014"/>
      <c r="BI306" s="2014"/>
      <c r="BJ306" s="2014"/>
      <c r="BK306" s="2014"/>
      <c r="BL306" s="2014"/>
      <c r="BM306" s="2014"/>
      <c r="BN306" s="2014"/>
      <c r="BO306" s="2014"/>
      <c r="BP306" s="1862"/>
    </row>
    <row r="307" spans="1:68" ht="20.100000000000001" customHeight="1">
      <c r="A307" s="2134">
        <v>58</v>
      </c>
      <c r="B307" s="1854"/>
      <c r="C307" s="1847"/>
      <c r="D307" s="1848" t="s">
        <v>953</v>
      </c>
      <c r="E307" s="1856"/>
      <c r="F307" s="1863"/>
      <c r="G307" s="2010" t="s">
        <v>0</v>
      </c>
      <c r="H307" s="2085">
        <f t="shared" ca="1" si="138"/>
        <v>1.19</v>
      </c>
      <c r="I307" s="2085">
        <f t="shared" ca="1" si="138"/>
        <v>1.19</v>
      </c>
      <c r="J307" s="2085">
        <f t="shared" ca="1" si="138"/>
        <v>1.19</v>
      </c>
      <c r="K307" s="2085">
        <f t="shared" ca="1" si="138"/>
        <v>1.19</v>
      </c>
      <c r="L307" s="2012">
        <f t="shared" ca="1" si="126"/>
        <v>0</v>
      </c>
      <c r="M307" s="2012">
        <f t="shared" ca="1" si="127"/>
        <v>0</v>
      </c>
      <c r="N307" s="2012">
        <f t="shared" ca="1" si="128"/>
        <v>0</v>
      </c>
      <c r="O307" s="2012">
        <f t="shared" ca="1" si="129"/>
        <v>0</v>
      </c>
      <c r="P307" s="2013">
        <f ca="1">SUM(SUMIFS(OFFSET(貼付け_2024実績,$A307,11,1,199),OFFSET(貼付け_2024実績,4,9,1,199),{"横浜*","川崎*"}))</f>
        <v>0</v>
      </c>
      <c r="Q307" s="2013">
        <f ca="1">SUM(SUMIFS(OFFSET(貼付け_2025実績,$A307,11,1,199),OFFSET(貼付け_2025実績,4,9,1,199),{"横浜*","川崎*"}))</f>
        <v>0</v>
      </c>
      <c r="R307" s="2013">
        <f ca="1">SUM(SUMIFS(OFFSET(貼付け_2026実績,$A307,11,1,199),OFFSET(貼付け_2026実績,4,9,1,199),{"横浜*","川崎*"}))</f>
        <v>0</v>
      </c>
      <c r="S307" s="2013">
        <f ca="1">SUM(SUMIFS(OFFSET(貼付け_2027実績,$A307,11,1,199),OFFSET(貼付け_2027実績,4,9,1,199),{"横浜*","川崎*"}))</f>
        <v>0</v>
      </c>
      <c r="T307" s="2012">
        <f t="shared" ca="1" si="130"/>
        <v>0</v>
      </c>
      <c r="U307" s="2012">
        <f t="shared" ca="1" si="131"/>
        <v>0</v>
      </c>
      <c r="V307" s="2012">
        <f t="shared" ca="1" si="132"/>
        <v>0</v>
      </c>
      <c r="W307" s="2012">
        <f t="shared" ca="1" si="133"/>
        <v>0</v>
      </c>
      <c r="X307" s="2014">
        <f t="shared" ca="1" si="134"/>
        <v>0</v>
      </c>
      <c r="Y307" s="2014">
        <f t="shared" ca="1" si="135"/>
        <v>0</v>
      </c>
      <c r="Z307" s="2014">
        <f t="shared" ca="1" si="136"/>
        <v>0</v>
      </c>
      <c r="AA307" s="2014">
        <f t="shared" ca="1" si="137"/>
        <v>0</v>
      </c>
      <c r="AB307" s="2014"/>
      <c r="AC307" s="2014"/>
      <c r="AD307" s="2014"/>
      <c r="AE307" s="2014"/>
      <c r="AF307" s="2014"/>
      <c r="AG307" s="2014"/>
      <c r="AH307" s="2014"/>
      <c r="AI307" s="2014"/>
      <c r="AJ307" s="2014"/>
      <c r="AK307" s="2014"/>
      <c r="AL307" s="2014"/>
      <c r="AM307" s="2014"/>
      <c r="AN307" s="2014"/>
      <c r="AO307" s="2014"/>
      <c r="AP307" s="2014"/>
      <c r="AQ307" s="2014"/>
      <c r="AR307" s="2014"/>
      <c r="AS307" s="2014"/>
      <c r="AT307" s="2014"/>
      <c r="AU307" s="2014"/>
      <c r="AV307" s="2014"/>
      <c r="AW307" s="2014"/>
      <c r="AX307" s="2014"/>
      <c r="AY307" s="2014"/>
      <c r="AZ307" s="2014"/>
      <c r="BA307" s="2014"/>
      <c r="BB307" s="2014"/>
      <c r="BC307" s="2014"/>
      <c r="BD307" s="2014"/>
      <c r="BE307" s="2014"/>
      <c r="BF307" s="2014"/>
      <c r="BG307" s="2014"/>
      <c r="BH307" s="2014"/>
      <c r="BI307" s="2014"/>
      <c r="BJ307" s="2014"/>
      <c r="BK307" s="2014"/>
      <c r="BL307" s="2014"/>
      <c r="BM307" s="2014"/>
      <c r="BN307" s="2014"/>
      <c r="BO307" s="2014"/>
      <c r="BP307" s="1862"/>
    </row>
    <row r="308" spans="1:68" ht="20.100000000000001" customHeight="1">
      <c r="A308" s="2134">
        <v>60</v>
      </c>
      <c r="B308" s="1854"/>
      <c r="C308" s="1847"/>
      <c r="D308" s="1848" t="s">
        <v>954</v>
      </c>
      <c r="E308" s="1856"/>
      <c r="F308" s="1863"/>
      <c r="G308" s="2010" t="s">
        <v>0</v>
      </c>
      <c r="H308" s="2085">
        <f t="shared" ca="1" si="138"/>
        <v>1.19</v>
      </c>
      <c r="I308" s="2085">
        <f t="shared" ca="1" si="138"/>
        <v>1.19</v>
      </c>
      <c r="J308" s="2085">
        <f t="shared" ca="1" si="138"/>
        <v>1.19</v>
      </c>
      <c r="K308" s="2085">
        <f t="shared" ca="1" si="138"/>
        <v>1.19</v>
      </c>
      <c r="L308" s="2012">
        <f t="shared" ca="1" si="126"/>
        <v>0</v>
      </c>
      <c r="M308" s="2012">
        <f t="shared" ca="1" si="127"/>
        <v>0</v>
      </c>
      <c r="N308" s="2012">
        <f t="shared" ca="1" si="128"/>
        <v>0</v>
      </c>
      <c r="O308" s="2012">
        <f t="shared" ca="1" si="129"/>
        <v>0</v>
      </c>
      <c r="P308" s="2013">
        <f ca="1">SUM(SUMIFS(OFFSET(貼付け_2024実績,$A308,11,1,199),OFFSET(貼付け_2024実績,4,9,1,199),{"横浜*","川崎*"}))</f>
        <v>0</v>
      </c>
      <c r="Q308" s="2013">
        <f ca="1">SUM(SUMIFS(OFFSET(貼付け_2025実績,$A308,11,1,199),OFFSET(貼付け_2025実績,4,9,1,199),{"横浜*","川崎*"}))</f>
        <v>0</v>
      </c>
      <c r="R308" s="2013">
        <f ca="1">SUM(SUMIFS(OFFSET(貼付け_2026実績,$A308,11,1,199),OFFSET(貼付け_2026実績,4,9,1,199),{"横浜*","川崎*"}))</f>
        <v>0</v>
      </c>
      <c r="S308" s="2013">
        <f ca="1">SUM(SUMIFS(OFFSET(貼付け_2027実績,$A308,11,1,199),OFFSET(貼付け_2027実績,4,9,1,199),{"横浜*","川崎*"}))</f>
        <v>0</v>
      </c>
      <c r="T308" s="2012">
        <f t="shared" ca="1" si="130"/>
        <v>0</v>
      </c>
      <c r="U308" s="2012">
        <f t="shared" ca="1" si="131"/>
        <v>0</v>
      </c>
      <c r="V308" s="2012">
        <f t="shared" ca="1" si="132"/>
        <v>0</v>
      </c>
      <c r="W308" s="2012">
        <f t="shared" ca="1" si="133"/>
        <v>0</v>
      </c>
      <c r="X308" s="2014">
        <f t="shared" ca="1" si="134"/>
        <v>0</v>
      </c>
      <c r="Y308" s="2014">
        <f t="shared" ca="1" si="135"/>
        <v>0</v>
      </c>
      <c r="Z308" s="2014">
        <f t="shared" ca="1" si="136"/>
        <v>0</v>
      </c>
      <c r="AA308" s="2014">
        <f t="shared" ca="1" si="137"/>
        <v>0</v>
      </c>
      <c r="AB308" s="2014"/>
      <c r="AC308" s="2014"/>
      <c r="AD308" s="2014"/>
      <c r="AE308" s="2014"/>
      <c r="AF308" s="2014"/>
      <c r="AG308" s="2014"/>
      <c r="AH308" s="2014"/>
      <c r="AI308" s="2014"/>
      <c r="AJ308" s="2014"/>
      <c r="AK308" s="2014"/>
      <c r="AL308" s="2014"/>
      <c r="AM308" s="2014"/>
      <c r="AN308" s="2014"/>
      <c r="AO308" s="2014"/>
      <c r="AP308" s="2014"/>
      <c r="AQ308" s="2014"/>
      <c r="AR308" s="2014"/>
      <c r="AS308" s="2014"/>
      <c r="AT308" s="2014"/>
      <c r="AU308" s="2014"/>
      <c r="AV308" s="2014"/>
      <c r="AW308" s="2014"/>
      <c r="AX308" s="2014"/>
      <c r="AY308" s="2014"/>
      <c r="AZ308" s="2014"/>
      <c r="BA308" s="2014"/>
      <c r="BB308" s="2014"/>
      <c r="BC308" s="2014"/>
      <c r="BD308" s="2014"/>
      <c r="BE308" s="2014"/>
      <c r="BF308" s="2014"/>
      <c r="BG308" s="2014"/>
      <c r="BH308" s="2014"/>
      <c r="BI308" s="2014"/>
      <c r="BJ308" s="2014"/>
      <c r="BK308" s="2014"/>
      <c r="BL308" s="2014"/>
      <c r="BM308" s="2014"/>
      <c r="BN308" s="2014"/>
      <c r="BO308" s="2014"/>
      <c r="BP308" s="1862"/>
    </row>
    <row r="309" spans="1:68" ht="20.100000000000001" customHeight="1">
      <c r="A309" s="2134">
        <v>62</v>
      </c>
      <c r="B309" s="1854"/>
      <c r="C309" s="1847"/>
      <c r="D309" s="1848" t="s">
        <v>955</v>
      </c>
      <c r="E309" s="1856"/>
      <c r="F309" s="1863"/>
      <c r="G309" s="2010" t="s">
        <v>0</v>
      </c>
      <c r="H309" s="2085">
        <f t="shared" ca="1" si="138"/>
        <v>1.19</v>
      </c>
      <c r="I309" s="2085">
        <f t="shared" ca="1" si="138"/>
        <v>1.19</v>
      </c>
      <c r="J309" s="2085">
        <f t="shared" ca="1" si="138"/>
        <v>1.19</v>
      </c>
      <c r="K309" s="2085">
        <f t="shared" ca="1" si="138"/>
        <v>1.19</v>
      </c>
      <c r="L309" s="2012">
        <f t="shared" ca="1" si="126"/>
        <v>0</v>
      </c>
      <c r="M309" s="2012">
        <f t="shared" ca="1" si="127"/>
        <v>0</v>
      </c>
      <c r="N309" s="2012">
        <f t="shared" ca="1" si="128"/>
        <v>0</v>
      </c>
      <c r="O309" s="2012">
        <f t="shared" ca="1" si="129"/>
        <v>0</v>
      </c>
      <c r="P309" s="2013">
        <f ca="1">SUM(SUMIFS(OFFSET(貼付け_2024実績,$A309,11,1,199),OFFSET(貼付け_2024実績,4,9,1,199),{"横浜*","川崎*"}))</f>
        <v>0</v>
      </c>
      <c r="Q309" s="2013">
        <f ca="1">SUM(SUMIFS(OFFSET(貼付け_2025実績,$A309,11,1,199),OFFSET(貼付け_2025実績,4,9,1,199),{"横浜*","川崎*"}))</f>
        <v>0</v>
      </c>
      <c r="R309" s="2013">
        <f ca="1">SUM(SUMIFS(OFFSET(貼付け_2026実績,$A309,11,1,199),OFFSET(貼付け_2026実績,4,9,1,199),{"横浜*","川崎*"}))</f>
        <v>0</v>
      </c>
      <c r="S309" s="2013">
        <f ca="1">SUM(SUMIFS(OFFSET(貼付け_2027実績,$A309,11,1,199),OFFSET(貼付け_2027実績,4,9,1,199),{"横浜*","川崎*"}))</f>
        <v>0</v>
      </c>
      <c r="T309" s="2012">
        <f t="shared" ca="1" si="130"/>
        <v>0</v>
      </c>
      <c r="U309" s="2012">
        <f t="shared" ca="1" si="131"/>
        <v>0</v>
      </c>
      <c r="V309" s="2012">
        <f t="shared" ca="1" si="132"/>
        <v>0</v>
      </c>
      <c r="W309" s="2012">
        <f t="shared" ca="1" si="133"/>
        <v>0</v>
      </c>
      <c r="X309" s="2014">
        <f t="shared" ca="1" si="134"/>
        <v>0</v>
      </c>
      <c r="Y309" s="2014">
        <f t="shared" ca="1" si="135"/>
        <v>0</v>
      </c>
      <c r="Z309" s="2014">
        <f t="shared" ca="1" si="136"/>
        <v>0</v>
      </c>
      <c r="AA309" s="2014">
        <f t="shared" ca="1" si="137"/>
        <v>0</v>
      </c>
      <c r="AB309" s="2014"/>
      <c r="AC309" s="2014"/>
      <c r="AD309" s="2014"/>
      <c r="AE309" s="2014"/>
      <c r="AF309" s="2014"/>
      <c r="AG309" s="2014"/>
      <c r="AH309" s="2014"/>
      <c r="AI309" s="2014"/>
      <c r="AJ309" s="2014"/>
      <c r="AK309" s="2014"/>
      <c r="AL309" s="2014"/>
      <c r="AM309" s="2014"/>
      <c r="AN309" s="2014"/>
      <c r="AO309" s="2014"/>
      <c r="AP309" s="2014"/>
      <c r="AQ309" s="2014"/>
      <c r="AR309" s="2014"/>
      <c r="AS309" s="2014"/>
      <c r="AT309" s="2014"/>
      <c r="AU309" s="2014"/>
      <c r="AV309" s="2014"/>
      <c r="AW309" s="2014"/>
      <c r="AX309" s="2014"/>
      <c r="AY309" s="2014"/>
      <c r="AZ309" s="2014"/>
      <c r="BA309" s="2014"/>
      <c r="BB309" s="2014"/>
      <c r="BC309" s="2014"/>
      <c r="BD309" s="2014"/>
      <c r="BE309" s="2014"/>
      <c r="BF309" s="2014"/>
      <c r="BG309" s="2014"/>
      <c r="BH309" s="2014"/>
      <c r="BI309" s="2014"/>
      <c r="BJ309" s="2014"/>
      <c r="BK309" s="2014"/>
      <c r="BL309" s="2014"/>
      <c r="BM309" s="2014"/>
      <c r="BN309" s="2014"/>
      <c r="BO309" s="2014"/>
      <c r="BP309" s="1862"/>
    </row>
    <row r="310" spans="1:68" ht="20.100000000000001" customHeight="1">
      <c r="A310" s="2134">
        <v>64</v>
      </c>
      <c r="B310" s="1854"/>
      <c r="C310" s="1847"/>
      <c r="D310" s="1864" t="s">
        <v>956</v>
      </c>
      <c r="E310" s="1858" t="str">
        <f ca="1">E61</f>
        <v/>
      </c>
      <c r="F310" s="1860"/>
      <c r="G310" s="2010" t="s">
        <v>0</v>
      </c>
      <c r="H310" s="2011">
        <f t="shared" ca="1" si="138"/>
        <v>0</v>
      </c>
      <c r="I310" s="2011">
        <f t="shared" ca="1" si="138"/>
        <v>0</v>
      </c>
      <c r="J310" s="2011">
        <f t="shared" ca="1" si="138"/>
        <v>0</v>
      </c>
      <c r="K310" s="2011">
        <f t="shared" ca="1" si="138"/>
        <v>0</v>
      </c>
      <c r="L310" s="2012">
        <f t="shared" ca="1" si="126"/>
        <v>0</v>
      </c>
      <c r="M310" s="2012">
        <f t="shared" ca="1" si="127"/>
        <v>0</v>
      </c>
      <c r="N310" s="2012">
        <f t="shared" ca="1" si="128"/>
        <v>0</v>
      </c>
      <c r="O310" s="2012">
        <f t="shared" ca="1" si="129"/>
        <v>0</v>
      </c>
      <c r="P310" s="2013">
        <f ca="1">SUM(SUMIFS(OFFSET(貼付け_2024実績,$A310,11,1,199),OFFSET(貼付け_2024実績,4,9,1,199),{"横浜*","川崎*"}))</f>
        <v>0</v>
      </c>
      <c r="Q310" s="2013">
        <f ca="1">SUM(SUMIFS(OFFSET(貼付け_2025実績,$A310,11,1,199),OFFSET(貼付け_2025実績,4,9,1,199),{"横浜*","川崎*"}))</f>
        <v>0</v>
      </c>
      <c r="R310" s="2013">
        <f ca="1">SUM(SUMIFS(OFFSET(貼付け_2026実績,$A310,11,1,199),OFFSET(貼付け_2026実績,4,9,1,199),{"横浜*","川崎*"}))</f>
        <v>0</v>
      </c>
      <c r="S310" s="2013">
        <f ca="1">SUM(SUMIFS(OFFSET(貼付け_2027実績,$A310,11,1,199),OFFSET(貼付け_2027実績,4,9,1,199),{"横浜*","川崎*"}))</f>
        <v>0</v>
      </c>
      <c r="T310" s="2012">
        <f t="shared" ca="1" si="130"/>
        <v>0</v>
      </c>
      <c r="U310" s="2012">
        <f t="shared" ca="1" si="131"/>
        <v>0</v>
      </c>
      <c r="V310" s="2012">
        <f t="shared" ca="1" si="132"/>
        <v>0</v>
      </c>
      <c r="W310" s="2012">
        <f t="shared" ca="1" si="133"/>
        <v>0</v>
      </c>
      <c r="X310" s="2014">
        <f t="shared" ca="1" si="134"/>
        <v>0</v>
      </c>
      <c r="Y310" s="2014">
        <f t="shared" ca="1" si="135"/>
        <v>0</v>
      </c>
      <c r="Z310" s="2014">
        <f t="shared" ca="1" si="136"/>
        <v>0</v>
      </c>
      <c r="AA310" s="2014">
        <f t="shared" ca="1" si="137"/>
        <v>0</v>
      </c>
      <c r="AB310" s="2014"/>
      <c r="AC310" s="2014"/>
      <c r="AD310" s="2014"/>
      <c r="AE310" s="2014"/>
      <c r="AF310" s="2014"/>
      <c r="AG310" s="2014"/>
      <c r="AH310" s="2014"/>
      <c r="AI310" s="2014"/>
      <c r="AJ310" s="2014"/>
      <c r="AK310" s="2014"/>
      <c r="AL310" s="2014"/>
      <c r="AM310" s="2014"/>
      <c r="AN310" s="2014"/>
      <c r="AO310" s="2014"/>
      <c r="AP310" s="2014"/>
      <c r="AQ310" s="2014"/>
      <c r="AR310" s="2014"/>
      <c r="AS310" s="2014"/>
      <c r="AT310" s="2014"/>
      <c r="AU310" s="2014"/>
      <c r="AV310" s="2014"/>
      <c r="AW310" s="2014"/>
      <c r="AX310" s="2014"/>
      <c r="AY310" s="2014"/>
      <c r="AZ310" s="2014"/>
      <c r="BA310" s="2014"/>
      <c r="BB310" s="2014"/>
      <c r="BC310" s="2014"/>
      <c r="BD310" s="2014"/>
      <c r="BE310" s="2014"/>
      <c r="BF310" s="2014"/>
      <c r="BG310" s="2014"/>
      <c r="BH310" s="2014"/>
      <c r="BI310" s="2014"/>
      <c r="BJ310" s="2014"/>
      <c r="BK310" s="2014"/>
      <c r="BL310" s="2014"/>
      <c r="BM310" s="2014"/>
      <c r="BN310" s="2014"/>
      <c r="BO310" s="2014"/>
      <c r="BP310" s="1862"/>
    </row>
    <row r="311" spans="1:68" ht="20.100000000000001" customHeight="1">
      <c r="A311" s="2134">
        <v>66</v>
      </c>
      <c r="B311" s="1854"/>
      <c r="C311" s="1847" t="s">
        <v>957</v>
      </c>
      <c r="D311" s="1975" t="s">
        <v>958</v>
      </c>
      <c r="E311" s="1848"/>
      <c r="F311" s="1863"/>
      <c r="G311" s="2010" t="s">
        <v>0</v>
      </c>
      <c r="H311" s="2085">
        <f t="shared" ca="1" si="138"/>
        <v>0</v>
      </c>
      <c r="I311" s="2085">
        <f t="shared" ca="1" si="138"/>
        <v>0</v>
      </c>
      <c r="J311" s="2085">
        <f t="shared" ca="1" si="138"/>
        <v>0</v>
      </c>
      <c r="K311" s="2085">
        <f t="shared" ca="1" si="138"/>
        <v>0</v>
      </c>
      <c r="L311" s="2012">
        <f t="shared" ca="1" si="126"/>
        <v>0</v>
      </c>
      <c r="M311" s="2012">
        <f t="shared" ca="1" si="127"/>
        <v>0</v>
      </c>
      <c r="N311" s="2012">
        <f t="shared" ca="1" si="128"/>
        <v>0</v>
      </c>
      <c r="O311" s="2012">
        <f t="shared" ca="1" si="129"/>
        <v>0</v>
      </c>
      <c r="P311" s="2013">
        <f ca="1">SUM(SUMIFS(OFFSET(貼付け_2024実績,$A311,11,1,199),OFFSET(貼付け_2024実績,4,9,1,199),{"横浜*","川崎*"}))</f>
        <v>0</v>
      </c>
      <c r="Q311" s="2013">
        <f ca="1">SUM(SUMIFS(OFFSET(貼付け_2025実績,$A311,11,1,199),OFFSET(貼付け_2025実績,4,9,1,199),{"横浜*","川崎*"}))</f>
        <v>0</v>
      </c>
      <c r="R311" s="2013">
        <f ca="1">SUM(SUMIFS(OFFSET(貼付け_2026実績,$A311,11,1,199),OFFSET(貼付け_2026実績,4,9,1,199),{"横浜*","川崎*"}))</f>
        <v>0</v>
      </c>
      <c r="S311" s="2013">
        <f ca="1">SUM(SUMIFS(OFFSET(貼付け_2027実績,$A311,11,1,199),OFFSET(貼付け_2027実績,4,9,1,199),{"横浜*","川崎*"}))</f>
        <v>0</v>
      </c>
      <c r="T311" s="2012">
        <f t="shared" ca="1" si="130"/>
        <v>0</v>
      </c>
      <c r="U311" s="2012">
        <f t="shared" ca="1" si="131"/>
        <v>0</v>
      </c>
      <c r="V311" s="2012">
        <f t="shared" ca="1" si="132"/>
        <v>0</v>
      </c>
      <c r="W311" s="2012">
        <f t="shared" ca="1" si="133"/>
        <v>0</v>
      </c>
      <c r="X311" s="2014">
        <f t="shared" ca="1" si="134"/>
        <v>0</v>
      </c>
      <c r="Y311" s="2014">
        <f t="shared" ca="1" si="135"/>
        <v>0</v>
      </c>
      <c r="Z311" s="2014">
        <f t="shared" ca="1" si="136"/>
        <v>0</v>
      </c>
      <c r="AA311" s="2014">
        <f t="shared" ca="1" si="137"/>
        <v>0</v>
      </c>
      <c r="AB311" s="2014"/>
      <c r="AC311" s="2014"/>
      <c r="AD311" s="2014"/>
      <c r="AE311" s="2014"/>
      <c r="AF311" s="2014"/>
      <c r="AG311" s="2014"/>
      <c r="AH311" s="2014"/>
      <c r="AI311" s="2014"/>
      <c r="AJ311" s="2014"/>
      <c r="AK311" s="2014"/>
      <c r="AL311" s="2014"/>
      <c r="AM311" s="2014"/>
      <c r="AN311" s="2014"/>
      <c r="AO311" s="2014"/>
      <c r="AP311" s="2014"/>
      <c r="AQ311" s="2014"/>
      <c r="AR311" s="2014"/>
      <c r="AS311" s="2014"/>
      <c r="AT311" s="2014"/>
      <c r="AU311" s="2014"/>
      <c r="AV311" s="2014"/>
      <c r="AW311" s="2014"/>
      <c r="AX311" s="2014"/>
      <c r="AY311" s="2014"/>
      <c r="AZ311" s="2014"/>
      <c r="BA311" s="2014"/>
      <c r="BB311" s="2014"/>
      <c r="BC311" s="2014"/>
      <c r="BD311" s="2014"/>
      <c r="BE311" s="2014"/>
      <c r="BF311" s="2014"/>
      <c r="BG311" s="2014"/>
      <c r="BH311" s="2014"/>
      <c r="BI311" s="2014"/>
      <c r="BJ311" s="2014"/>
      <c r="BK311" s="2014"/>
      <c r="BL311" s="2014"/>
      <c r="BM311" s="2014"/>
      <c r="BN311" s="2014"/>
      <c r="BO311" s="2014"/>
      <c r="BP311" s="1862"/>
    </row>
    <row r="312" spans="1:68" ht="20.100000000000001" customHeight="1">
      <c r="A312" s="2134">
        <v>67</v>
      </c>
      <c r="B312" s="1854"/>
      <c r="C312" s="1847"/>
      <c r="D312" s="1975" t="s">
        <v>959</v>
      </c>
      <c r="E312" s="1848"/>
      <c r="F312" s="1863"/>
      <c r="G312" s="2010" t="s">
        <v>0</v>
      </c>
      <c r="H312" s="2011">
        <f t="shared" ca="1" si="138"/>
        <v>0</v>
      </c>
      <c r="I312" s="2011">
        <f t="shared" ca="1" si="138"/>
        <v>0</v>
      </c>
      <c r="J312" s="2011">
        <f t="shared" ca="1" si="138"/>
        <v>0</v>
      </c>
      <c r="K312" s="2011">
        <f t="shared" ca="1" si="138"/>
        <v>0</v>
      </c>
      <c r="L312" s="2012">
        <f t="shared" ca="1" si="126"/>
        <v>0</v>
      </c>
      <c r="M312" s="2012">
        <f t="shared" ca="1" si="127"/>
        <v>0</v>
      </c>
      <c r="N312" s="2012">
        <f t="shared" ca="1" si="128"/>
        <v>0</v>
      </c>
      <c r="O312" s="2012">
        <f t="shared" ca="1" si="129"/>
        <v>0</v>
      </c>
      <c r="P312" s="2013">
        <f ca="1">SUM(SUMIFS(OFFSET(貼付け_2024実績,$A312,11,1,199),OFFSET(貼付け_2024実績,4,9,1,199),{"横浜*","川崎*"}))</f>
        <v>0</v>
      </c>
      <c r="Q312" s="2013">
        <f ca="1">SUM(SUMIFS(OFFSET(貼付け_2025実績,$A312,11,1,199),OFFSET(貼付け_2025実績,4,9,1,199),{"横浜*","川崎*"}))</f>
        <v>0</v>
      </c>
      <c r="R312" s="2013">
        <f ca="1">SUM(SUMIFS(OFFSET(貼付け_2026実績,$A312,11,1,199),OFFSET(貼付け_2026実績,4,9,1,199),{"横浜*","川崎*"}))</f>
        <v>0</v>
      </c>
      <c r="S312" s="2013">
        <f ca="1">SUM(SUMIFS(OFFSET(貼付け_2027実績,$A312,11,1,199),OFFSET(貼付け_2027実績,4,9,1,199),{"横浜*","川崎*"}))</f>
        <v>0</v>
      </c>
      <c r="T312" s="2012">
        <f t="shared" ca="1" si="130"/>
        <v>0</v>
      </c>
      <c r="U312" s="2012">
        <f t="shared" ca="1" si="131"/>
        <v>0</v>
      </c>
      <c r="V312" s="2012">
        <f t="shared" ca="1" si="132"/>
        <v>0</v>
      </c>
      <c r="W312" s="2012">
        <f t="shared" ca="1" si="133"/>
        <v>0</v>
      </c>
      <c r="X312" s="2014">
        <f t="shared" ca="1" si="134"/>
        <v>0</v>
      </c>
      <c r="Y312" s="2014">
        <f t="shared" ca="1" si="135"/>
        <v>0</v>
      </c>
      <c r="Z312" s="2014">
        <f t="shared" ca="1" si="136"/>
        <v>0</v>
      </c>
      <c r="AA312" s="2014">
        <f t="shared" ca="1" si="137"/>
        <v>0</v>
      </c>
      <c r="AB312" s="2014"/>
      <c r="AC312" s="2014"/>
      <c r="AD312" s="2014"/>
      <c r="AE312" s="2014"/>
      <c r="AF312" s="2014"/>
      <c r="AG312" s="2014"/>
      <c r="AH312" s="2014"/>
      <c r="AI312" s="2014"/>
      <c r="AJ312" s="2014"/>
      <c r="AK312" s="2014"/>
      <c r="AL312" s="2014"/>
      <c r="AM312" s="2014"/>
      <c r="AN312" s="2014"/>
      <c r="AO312" s="2014"/>
      <c r="AP312" s="2014"/>
      <c r="AQ312" s="2014"/>
      <c r="AR312" s="2014"/>
      <c r="AS312" s="2014"/>
      <c r="AT312" s="2014"/>
      <c r="AU312" s="2014"/>
      <c r="AV312" s="2014"/>
      <c r="AW312" s="2014"/>
      <c r="AX312" s="2014"/>
      <c r="AY312" s="2014"/>
      <c r="AZ312" s="2014"/>
      <c r="BA312" s="2014"/>
      <c r="BB312" s="2014"/>
      <c r="BC312" s="2014"/>
      <c r="BD312" s="2014"/>
      <c r="BE312" s="2014"/>
      <c r="BF312" s="2014"/>
      <c r="BG312" s="2014"/>
      <c r="BH312" s="2014"/>
      <c r="BI312" s="2014"/>
      <c r="BJ312" s="2014"/>
      <c r="BK312" s="2014"/>
      <c r="BL312" s="2014"/>
      <c r="BM312" s="2014"/>
      <c r="BN312" s="2014"/>
      <c r="BO312" s="2014"/>
      <c r="BP312" s="1862"/>
    </row>
    <row r="313" spans="1:68" ht="20.100000000000001" customHeight="1">
      <c r="A313" s="2134">
        <v>68</v>
      </c>
      <c r="B313" s="1854"/>
      <c r="C313" s="1847"/>
      <c r="D313" s="1975" t="s">
        <v>960</v>
      </c>
      <c r="E313" s="1848"/>
      <c r="F313" s="1863"/>
      <c r="G313" s="2010" t="s">
        <v>0</v>
      </c>
      <c r="H313" s="2085">
        <f t="shared" ca="1" si="138"/>
        <v>0</v>
      </c>
      <c r="I313" s="2085">
        <f t="shared" ca="1" si="138"/>
        <v>0</v>
      </c>
      <c r="J313" s="2085">
        <f t="shared" ca="1" si="138"/>
        <v>0</v>
      </c>
      <c r="K313" s="2085">
        <f t="shared" ca="1" si="138"/>
        <v>0</v>
      </c>
      <c r="L313" s="2012">
        <f t="shared" ca="1" si="126"/>
        <v>0</v>
      </c>
      <c r="M313" s="2012">
        <f t="shared" ca="1" si="127"/>
        <v>0</v>
      </c>
      <c r="N313" s="2012">
        <f t="shared" ca="1" si="128"/>
        <v>0</v>
      </c>
      <c r="O313" s="2012">
        <f t="shared" ca="1" si="129"/>
        <v>0</v>
      </c>
      <c r="P313" s="2013">
        <f ca="1">SUM(SUMIFS(OFFSET(貼付け_2024実績,$A313,11,1,199),OFFSET(貼付け_2024実績,4,9,1,199),{"横浜*","川崎*"}))</f>
        <v>0</v>
      </c>
      <c r="Q313" s="2013">
        <f ca="1">SUM(SUMIFS(OFFSET(貼付け_2025実績,$A313,11,1,199),OFFSET(貼付け_2025実績,4,9,1,199),{"横浜*","川崎*"}))</f>
        <v>0</v>
      </c>
      <c r="R313" s="2013">
        <f ca="1">SUM(SUMIFS(OFFSET(貼付け_2026実績,$A313,11,1,199),OFFSET(貼付け_2026実績,4,9,1,199),{"横浜*","川崎*"}))</f>
        <v>0</v>
      </c>
      <c r="S313" s="2013">
        <f ca="1">SUM(SUMIFS(OFFSET(貼付け_2027実績,$A313,11,1,199),OFFSET(貼付け_2027実績,4,9,1,199),{"横浜*","川崎*"}))</f>
        <v>0</v>
      </c>
      <c r="T313" s="2012">
        <f t="shared" ca="1" si="130"/>
        <v>0</v>
      </c>
      <c r="U313" s="2012">
        <f t="shared" ca="1" si="131"/>
        <v>0</v>
      </c>
      <c r="V313" s="2012">
        <f t="shared" ca="1" si="132"/>
        <v>0</v>
      </c>
      <c r="W313" s="2012">
        <f t="shared" ca="1" si="133"/>
        <v>0</v>
      </c>
      <c r="X313" s="2014">
        <f t="shared" ca="1" si="134"/>
        <v>0</v>
      </c>
      <c r="Y313" s="2014">
        <f t="shared" ca="1" si="135"/>
        <v>0</v>
      </c>
      <c r="Z313" s="2014">
        <f t="shared" ca="1" si="136"/>
        <v>0</v>
      </c>
      <c r="AA313" s="2014">
        <f t="shared" ca="1" si="137"/>
        <v>0</v>
      </c>
      <c r="AB313" s="2014"/>
      <c r="AC313" s="2014"/>
      <c r="AD313" s="2014"/>
      <c r="AE313" s="2014"/>
      <c r="AF313" s="2014"/>
      <c r="AG313" s="2014"/>
      <c r="AH313" s="2014"/>
      <c r="AI313" s="2014"/>
      <c r="AJ313" s="2014"/>
      <c r="AK313" s="2014"/>
      <c r="AL313" s="2014"/>
      <c r="AM313" s="2014"/>
      <c r="AN313" s="2014"/>
      <c r="AO313" s="2014"/>
      <c r="AP313" s="2014"/>
      <c r="AQ313" s="2014"/>
      <c r="AR313" s="2014"/>
      <c r="AS313" s="2014"/>
      <c r="AT313" s="2014"/>
      <c r="AU313" s="2014"/>
      <c r="AV313" s="2014"/>
      <c r="AW313" s="2014"/>
      <c r="AX313" s="2014"/>
      <c r="AY313" s="2014"/>
      <c r="AZ313" s="2014"/>
      <c r="BA313" s="2014"/>
      <c r="BB313" s="2014"/>
      <c r="BC313" s="2014"/>
      <c r="BD313" s="2014"/>
      <c r="BE313" s="2014"/>
      <c r="BF313" s="2014"/>
      <c r="BG313" s="2014"/>
      <c r="BH313" s="2014"/>
      <c r="BI313" s="2014"/>
      <c r="BJ313" s="2014"/>
      <c r="BK313" s="2014"/>
      <c r="BL313" s="2014"/>
      <c r="BM313" s="2014"/>
      <c r="BN313" s="2014"/>
      <c r="BO313" s="2014"/>
      <c r="BP313" s="1862"/>
    </row>
    <row r="314" spans="1:68" ht="20.100000000000001" customHeight="1">
      <c r="A314" s="2134">
        <v>69</v>
      </c>
      <c r="B314" s="1854"/>
      <c r="C314" s="1847"/>
      <c r="D314" s="1975" t="s">
        <v>961</v>
      </c>
      <c r="E314" s="1848"/>
      <c r="F314" s="1863"/>
      <c r="G314" s="2010" t="s">
        <v>0</v>
      </c>
      <c r="H314" s="2011">
        <f t="shared" ca="1" si="138"/>
        <v>0</v>
      </c>
      <c r="I314" s="2011">
        <f t="shared" ca="1" si="138"/>
        <v>0</v>
      </c>
      <c r="J314" s="2011">
        <f t="shared" ca="1" si="138"/>
        <v>0</v>
      </c>
      <c r="K314" s="2011">
        <f t="shared" ca="1" si="138"/>
        <v>0</v>
      </c>
      <c r="L314" s="2012">
        <f t="shared" ca="1" si="126"/>
        <v>0</v>
      </c>
      <c r="M314" s="2012">
        <f t="shared" ca="1" si="127"/>
        <v>0</v>
      </c>
      <c r="N314" s="2012">
        <f t="shared" ca="1" si="128"/>
        <v>0</v>
      </c>
      <c r="O314" s="2012">
        <f t="shared" ca="1" si="129"/>
        <v>0</v>
      </c>
      <c r="P314" s="2013">
        <f ca="1">SUM(SUMIFS(OFFSET(貼付け_2024実績,$A314,11,1,199),OFFSET(貼付け_2024実績,4,9,1,199),{"横浜*","川崎*"}))</f>
        <v>0</v>
      </c>
      <c r="Q314" s="2013">
        <f ca="1">SUM(SUMIFS(OFFSET(貼付け_2025実績,$A314,11,1,199),OFFSET(貼付け_2025実績,4,9,1,199),{"横浜*","川崎*"}))</f>
        <v>0</v>
      </c>
      <c r="R314" s="2013">
        <f ca="1">SUM(SUMIFS(OFFSET(貼付け_2026実績,$A314,11,1,199),OFFSET(貼付け_2026実績,4,9,1,199),{"横浜*","川崎*"}))</f>
        <v>0</v>
      </c>
      <c r="S314" s="2013">
        <f ca="1">SUM(SUMIFS(OFFSET(貼付け_2027実績,$A314,11,1,199),OFFSET(貼付け_2027実績,4,9,1,199),{"横浜*","川崎*"}))</f>
        <v>0</v>
      </c>
      <c r="T314" s="2012">
        <f t="shared" ca="1" si="130"/>
        <v>0</v>
      </c>
      <c r="U314" s="2012">
        <f t="shared" ca="1" si="131"/>
        <v>0</v>
      </c>
      <c r="V314" s="2012">
        <f t="shared" ca="1" si="132"/>
        <v>0</v>
      </c>
      <c r="W314" s="2012">
        <f t="shared" ca="1" si="133"/>
        <v>0</v>
      </c>
      <c r="X314" s="2014">
        <f t="shared" ca="1" si="134"/>
        <v>0</v>
      </c>
      <c r="Y314" s="2014">
        <f t="shared" ca="1" si="135"/>
        <v>0</v>
      </c>
      <c r="Z314" s="2014">
        <f t="shared" ca="1" si="136"/>
        <v>0</v>
      </c>
      <c r="AA314" s="2014">
        <f t="shared" ca="1" si="137"/>
        <v>0</v>
      </c>
      <c r="AB314" s="2014"/>
      <c r="AC314" s="2014"/>
      <c r="AD314" s="2014"/>
      <c r="AE314" s="2014"/>
      <c r="AF314" s="2014"/>
      <c r="AG314" s="2014"/>
      <c r="AH314" s="2014"/>
      <c r="AI314" s="2014"/>
      <c r="AJ314" s="2014"/>
      <c r="AK314" s="2014"/>
      <c r="AL314" s="2014"/>
      <c r="AM314" s="2014"/>
      <c r="AN314" s="2014"/>
      <c r="AO314" s="2014"/>
      <c r="AP314" s="2014"/>
      <c r="AQ314" s="2014"/>
      <c r="AR314" s="2014"/>
      <c r="AS314" s="2014"/>
      <c r="AT314" s="2014"/>
      <c r="AU314" s="2014"/>
      <c r="AV314" s="2014"/>
      <c r="AW314" s="2014"/>
      <c r="AX314" s="2014"/>
      <c r="AY314" s="2014"/>
      <c r="AZ314" s="2014"/>
      <c r="BA314" s="2014"/>
      <c r="BB314" s="2014"/>
      <c r="BC314" s="2014"/>
      <c r="BD314" s="2014"/>
      <c r="BE314" s="2014"/>
      <c r="BF314" s="2014"/>
      <c r="BG314" s="2014"/>
      <c r="BH314" s="2014"/>
      <c r="BI314" s="2014"/>
      <c r="BJ314" s="2014"/>
      <c r="BK314" s="2014"/>
      <c r="BL314" s="2014"/>
      <c r="BM314" s="2014"/>
      <c r="BN314" s="2014"/>
      <c r="BO314" s="2014"/>
      <c r="BP314" s="1862"/>
    </row>
    <row r="315" spans="1:68" ht="20.100000000000001" customHeight="1">
      <c r="A315" s="2134">
        <v>70</v>
      </c>
      <c r="B315" s="1854"/>
      <c r="C315" s="1847"/>
      <c r="D315" s="1869" t="s">
        <v>962</v>
      </c>
      <c r="E315" s="1858" t="str">
        <f ca="1">E66</f>
        <v/>
      </c>
      <c r="F315" s="1860"/>
      <c r="G315" s="2010" t="s">
        <v>0</v>
      </c>
      <c r="H315" s="2085">
        <f t="shared" ca="1" si="138"/>
        <v>0</v>
      </c>
      <c r="I315" s="2085">
        <f t="shared" ca="1" si="138"/>
        <v>0</v>
      </c>
      <c r="J315" s="2085">
        <f t="shared" ca="1" si="138"/>
        <v>0</v>
      </c>
      <c r="K315" s="2085">
        <f t="shared" ca="1" si="138"/>
        <v>0</v>
      </c>
      <c r="L315" s="2012">
        <f t="shared" ca="1" si="126"/>
        <v>0</v>
      </c>
      <c r="M315" s="2012">
        <f t="shared" ca="1" si="127"/>
        <v>0</v>
      </c>
      <c r="N315" s="2012">
        <f t="shared" ca="1" si="128"/>
        <v>0</v>
      </c>
      <c r="O315" s="2012">
        <f t="shared" ca="1" si="129"/>
        <v>0</v>
      </c>
      <c r="P315" s="2013">
        <f ca="1">SUM(SUMIFS(OFFSET(貼付け_2024実績,$A315,11,1,199),OFFSET(貼付け_2024実績,4,9,1,199),{"横浜*","川崎*"}))</f>
        <v>0</v>
      </c>
      <c r="Q315" s="2013">
        <f ca="1">SUM(SUMIFS(OFFSET(貼付け_2025実績,$A315,11,1,199),OFFSET(貼付け_2025実績,4,9,1,199),{"横浜*","川崎*"}))</f>
        <v>0</v>
      </c>
      <c r="R315" s="2013">
        <f ca="1">SUM(SUMIFS(OFFSET(貼付け_2026実績,$A315,11,1,199),OFFSET(貼付け_2026実績,4,9,1,199),{"横浜*","川崎*"}))</f>
        <v>0</v>
      </c>
      <c r="S315" s="2013">
        <f ca="1">SUM(SUMIFS(OFFSET(貼付け_2027実績,$A315,11,1,199),OFFSET(貼付け_2027実績,4,9,1,199),{"横浜*","川崎*"}))</f>
        <v>0</v>
      </c>
      <c r="T315" s="2012">
        <f t="shared" ca="1" si="130"/>
        <v>0</v>
      </c>
      <c r="U315" s="2012">
        <f t="shared" ca="1" si="131"/>
        <v>0</v>
      </c>
      <c r="V315" s="2012">
        <f t="shared" ca="1" si="132"/>
        <v>0</v>
      </c>
      <c r="W315" s="2012">
        <f t="shared" ca="1" si="133"/>
        <v>0</v>
      </c>
      <c r="X315" s="2014">
        <f t="shared" ca="1" si="134"/>
        <v>0</v>
      </c>
      <c r="Y315" s="2014">
        <f t="shared" ca="1" si="135"/>
        <v>0</v>
      </c>
      <c r="Z315" s="2014">
        <f t="shared" ca="1" si="136"/>
        <v>0</v>
      </c>
      <c r="AA315" s="2014">
        <f t="shared" ca="1" si="137"/>
        <v>0</v>
      </c>
      <c r="AB315" s="2014"/>
      <c r="AC315" s="2014"/>
      <c r="AD315" s="2014"/>
      <c r="AE315" s="2014"/>
      <c r="AF315" s="2014"/>
      <c r="AG315" s="2014"/>
      <c r="AH315" s="2014"/>
      <c r="AI315" s="2014"/>
      <c r="AJ315" s="2014"/>
      <c r="AK315" s="2014"/>
      <c r="AL315" s="2014"/>
      <c r="AM315" s="2014"/>
      <c r="AN315" s="2014"/>
      <c r="AO315" s="2014"/>
      <c r="AP315" s="2014"/>
      <c r="AQ315" s="2014"/>
      <c r="AR315" s="2014"/>
      <c r="AS315" s="2014"/>
      <c r="AT315" s="2014"/>
      <c r="AU315" s="2014"/>
      <c r="AV315" s="2014"/>
      <c r="AW315" s="2014"/>
      <c r="AX315" s="2014"/>
      <c r="AY315" s="2014"/>
      <c r="AZ315" s="2014"/>
      <c r="BA315" s="2014"/>
      <c r="BB315" s="2014"/>
      <c r="BC315" s="2014"/>
      <c r="BD315" s="2014"/>
      <c r="BE315" s="2014"/>
      <c r="BF315" s="2014"/>
      <c r="BG315" s="2014"/>
      <c r="BH315" s="2014"/>
      <c r="BI315" s="2014"/>
      <c r="BJ315" s="2014"/>
      <c r="BK315" s="2014"/>
      <c r="BL315" s="2014"/>
      <c r="BM315" s="2014"/>
      <c r="BN315" s="2014"/>
      <c r="BO315" s="2014"/>
      <c r="BP315" s="1862"/>
    </row>
    <row r="316" spans="1:68" ht="20.100000000000001" customHeight="1">
      <c r="A316" s="2134">
        <v>71</v>
      </c>
      <c r="B316" s="1854"/>
      <c r="C316" s="1847"/>
      <c r="D316" s="1869" t="s">
        <v>963</v>
      </c>
      <c r="E316" s="1858" t="str">
        <f ca="1">E67</f>
        <v/>
      </c>
      <c r="F316" s="1860"/>
      <c r="G316" s="2010" t="s">
        <v>0</v>
      </c>
      <c r="H316" s="2011">
        <f t="shared" ca="1" si="138"/>
        <v>0</v>
      </c>
      <c r="I316" s="2011">
        <f t="shared" ca="1" si="138"/>
        <v>0</v>
      </c>
      <c r="J316" s="2011">
        <f t="shared" ca="1" si="138"/>
        <v>0</v>
      </c>
      <c r="K316" s="2011">
        <f t="shared" ca="1" si="138"/>
        <v>0</v>
      </c>
      <c r="L316" s="2012">
        <f t="shared" ca="1" si="126"/>
        <v>0</v>
      </c>
      <c r="M316" s="2012">
        <f t="shared" ca="1" si="127"/>
        <v>0</v>
      </c>
      <c r="N316" s="2012">
        <f t="shared" ca="1" si="128"/>
        <v>0</v>
      </c>
      <c r="O316" s="2012">
        <f t="shared" ca="1" si="129"/>
        <v>0</v>
      </c>
      <c r="P316" s="2013">
        <f ca="1">SUM(SUMIFS(OFFSET(貼付け_2024実績,$A316,11,1,199),OFFSET(貼付け_2024実績,4,9,1,199),{"横浜*","川崎*"}))</f>
        <v>0</v>
      </c>
      <c r="Q316" s="2013">
        <f ca="1">SUM(SUMIFS(OFFSET(貼付け_2025実績,$A316,11,1,199),OFFSET(貼付け_2025実績,4,9,1,199),{"横浜*","川崎*"}))</f>
        <v>0</v>
      </c>
      <c r="R316" s="2013">
        <f ca="1">SUM(SUMIFS(OFFSET(貼付け_2026実績,$A316,11,1,199),OFFSET(貼付け_2026実績,4,9,1,199),{"横浜*","川崎*"}))</f>
        <v>0</v>
      </c>
      <c r="S316" s="2013">
        <f ca="1">SUM(SUMIFS(OFFSET(貼付け_2027実績,$A316,11,1,199),OFFSET(貼付け_2027実績,4,9,1,199),{"横浜*","川崎*"}))</f>
        <v>0</v>
      </c>
      <c r="T316" s="2012">
        <f t="shared" ca="1" si="130"/>
        <v>0</v>
      </c>
      <c r="U316" s="2012">
        <f t="shared" ca="1" si="131"/>
        <v>0</v>
      </c>
      <c r="V316" s="2012">
        <f t="shared" ca="1" si="132"/>
        <v>0</v>
      </c>
      <c r="W316" s="2012">
        <f t="shared" ca="1" si="133"/>
        <v>0</v>
      </c>
      <c r="X316" s="2014">
        <f t="shared" ca="1" si="134"/>
        <v>0</v>
      </c>
      <c r="Y316" s="2014">
        <f t="shared" ca="1" si="135"/>
        <v>0</v>
      </c>
      <c r="Z316" s="2014">
        <f t="shared" ca="1" si="136"/>
        <v>0</v>
      </c>
      <c r="AA316" s="2014">
        <f t="shared" ca="1" si="137"/>
        <v>0</v>
      </c>
      <c r="AB316" s="2014"/>
      <c r="AC316" s="2014"/>
      <c r="AD316" s="2014"/>
      <c r="AE316" s="2014"/>
      <c r="AF316" s="2014"/>
      <c r="AG316" s="2014"/>
      <c r="AH316" s="2014"/>
      <c r="AI316" s="2014"/>
      <c r="AJ316" s="2014"/>
      <c r="AK316" s="2014"/>
      <c r="AL316" s="2014"/>
      <c r="AM316" s="2014"/>
      <c r="AN316" s="2014"/>
      <c r="AO316" s="2014"/>
      <c r="AP316" s="2014"/>
      <c r="AQ316" s="2014"/>
      <c r="AR316" s="2014"/>
      <c r="AS316" s="2014"/>
      <c r="AT316" s="2014"/>
      <c r="AU316" s="2014"/>
      <c r="AV316" s="2014"/>
      <c r="AW316" s="2014"/>
      <c r="AX316" s="2014"/>
      <c r="AY316" s="2014"/>
      <c r="AZ316" s="2014"/>
      <c r="BA316" s="2014"/>
      <c r="BB316" s="2014"/>
      <c r="BC316" s="2014"/>
      <c r="BD316" s="2014"/>
      <c r="BE316" s="2014"/>
      <c r="BF316" s="2014"/>
      <c r="BG316" s="2014"/>
      <c r="BH316" s="2014"/>
      <c r="BI316" s="2014"/>
      <c r="BJ316" s="2014"/>
      <c r="BK316" s="2014"/>
      <c r="BL316" s="2014"/>
      <c r="BM316" s="2014"/>
      <c r="BN316" s="2014"/>
      <c r="BO316" s="2014"/>
      <c r="BP316" s="1862"/>
    </row>
    <row r="317" spans="1:68" ht="20.100000000000001" customHeight="1">
      <c r="A317" s="1845"/>
      <c r="B317" s="1846" t="s">
        <v>964</v>
      </c>
      <c r="C317" s="1870" t="s">
        <v>965</v>
      </c>
      <c r="D317" s="1871"/>
      <c r="E317" s="1856"/>
      <c r="F317" s="1863"/>
      <c r="G317" s="2010" t="s">
        <v>966</v>
      </c>
      <c r="H317" s="2135"/>
      <c r="I317" s="2135"/>
      <c r="J317" s="2135"/>
      <c r="K317" s="2135"/>
      <c r="L317" s="2136"/>
      <c r="M317" s="2136"/>
      <c r="N317" s="2136"/>
      <c r="O317" s="2136"/>
      <c r="P317" s="2136"/>
      <c r="Q317" s="2136"/>
      <c r="R317" s="2136"/>
      <c r="S317" s="2136"/>
      <c r="T317" s="2136"/>
      <c r="U317" s="2136"/>
      <c r="V317" s="2136"/>
      <c r="W317" s="2136"/>
      <c r="X317" s="2137"/>
      <c r="Y317" s="2137"/>
      <c r="Z317" s="2137"/>
      <c r="AA317" s="2137"/>
      <c r="AB317" s="2137"/>
      <c r="AC317" s="2137"/>
      <c r="AD317" s="2137"/>
      <c r="AE317" s="2137"/>
      <c r="AF317" s="2137"/>
      <c r="AG317" s="2137"/>
      <c r="AH317" s="2137"/>
      <c r="AI317" s="2137"/>
      <c r="AJ317" s="2137"/>
      <c r="AK317" s="2137"/>
      <c r="AL317" s="2137"/>
      <c r="AM317" s="2137"/>
      <c r="AN317" s="2137"/>
      <c r="AO317" s="2137"/>
      <c r="AP317" s="2137"/>
      <c r="AQ317" s="2137"/>
      <c r="AR317" s="2137"/>
      <c r="AS317" s="2137"/>
      <c r="AT317" s="2137"/>
      <c r="AU317" s="2137"/>
      <c r="AV317" s="2137"/>
      <c r="AW317" s="2137"/>
      <c r="AX317" s="2137"/>
      <c r="AY317" s="2137"/>
      <c r="AZ317" s="2137"/>
      <c r="BA317" s="2137"/>
      <c r="BB317" s="2137"/>
      <c r="BC317" s="2137"/>
      <c r="BD317" s="2137"/>
      <c r="BE317" s="2137"/>
      <c r="BF317" s="2137"/>
      <c r="BG317" s="2137"/>
      <c r="BH317" s="2137"/>
      <c r="BI317" s="2137"/>
      <c r="BJ317" s="2137"/>
      <c r="BK317" s="2137"/>
      <c r="BL317" s="2137"/>
      <c r="BM317" s="2137"/>
      <c r="BN317" s="2137"/>
      <c r="BO317" s="2137"/>
      <c r="BP317" s="1862"/>
    </row>
    <row r="318" spans="1:68" ht="20.100000000000001" customHeight="1">
      <c r="A318" s="1845"/>
      <c r="B318" s="1854"/>
      <c r="C318" s="2016" t="s">
        <v>967</v>
      </c>
      <c r="D318" s="1864" t="s">
        <v>968</v>
      </c>
      <c r="E318" s="1848"/>
      <c r="F318" s="1863"/>
      <c r="G318" s="2010" t="s">
        <v>966</v>
      </c>
      <c r="H318" s="2135"/>
      <c r="I318" s="2135"/>
      <c r="J318" s="2135"/>
      <c r="K318" s="2135"/>
      <c r="L318" s="2136"/>
      <c r="M318" s="2136"/>
      <c r="N318" s="2136"/>
      <c r="O318" s="2136"/>
      <c r="P318" s="2136"/>
      <c r="Q318" s="2136"/>
      <c r="R318" s="2136"/>
      <c r="S318" s="2136"/>
      <c r="T318" s="2136"/>
      <c r="U318" s="2136"/>
      <c r="V318" s="2136"/>
      <c r="W318" s="2136"/>
      <c r="X318" s="2137"/>
      <c r="Y318" s="2137"/>
      <c r="Z318" s="2137"/>
      <c r="AA318" s="2137"/>
      <c r="AB318" s="2137"/>
      <c r="AC318" s="2137"/>
      <c r="AD318" s="2137"/>
      <c r="AE318" s="2137"/>
      <c r="AF318" s="2137"/>
      <c r="AG318" s="2137"/>
      <c r="AH318" s="2137"/>
      <c r="AI318" s="2137"/>
      <c r="AJ318" s="2137"/>
      <c r="AK318" s="2137"/>
      <c r="AL318" s="2137"/>
      <c r="AM318" s="2137"/>
      <c r="AN318" s="2137"/>
      <c r="AO318" s="2137"/>
      <c r="AP318" s="2137"/>
      <c r="AQ318" s="2137"/>
      <c r="AR318" s="2137"/>
      <c r="AS318" s="2137"/>
      <c r="AT318" s="2137"/>
      <c r="AU318" s="2137"/>
      <c r="AV318" s="2137"/>
      <c r="AW318" s="2137"/>
      <c r="AX318" s="2137"/>
      <c r="AY318" s="2137"/>
      <c r="AZ318" s="2137"/>
      <c r="BA318" s="2137"/>
      <c r="BB318" s="2137"/>
      <c r="BC318" s="2137"/>
      <c r="BD318" s="2137"/>
      <c r="BE318" s="2137"/>
      <c r="BF318" s="2137"/>
      <c r="BG318" s="2137"/>
      <c r="BH318" s="2137"/>
      <c r="BI318" s="2137"/>
      <c r="BJ318" s="2137"/>
      <c r="BK318" s="2137"/>
      <c r="BL318" s="2137"/>
      <c r="BM318" s="2137"/>
      <c r="BN318" s="2137"/>
      <c r="BO318" s="2137"/>
      <c r="BP318" s="1862"/>
    </row>
    <row r="319" spans="1:68" ht="20.100000000000001" customHeight="1">
      <c r="A319" s="1845"/>
      <c r="B319" s="1854"/>
      <c r="C319" s="2119"/>
      <c r="D319" s="1869" t="s">
        <v>969</v>
      </c>
      <c r="E319" s="1848"/>
      <c r="F319" s="1863"/>
      <c r="G319" s="2010" t="s">
        <v>966</v>
      </c>
      <c r="H319" s="2135"/>
      <c r="I319" s="2135"/>
      <c r="J319" s="2135"/>
      <c r="K319" s="2135"/>
      <c r="L319" s="2136"/>
      <c r="M319" s="2136"/>
      <c r="N319" s="2136"/>
      <c r="O319" s="2136"/>
      <c r="P319" s="2136"/>
      <c r="Q319" s="2136"/>
      <c r="R319" s="2136"/>
      <c r="S319" s="2136"/>
      <c r="T319" s="2136"/>
      <c r="U319" s="2136"/>
      <c r="V319" s="2136"/>
      <c r="W319" s="2136"/>
      <c r="X319" s="2137"/>
      <c r="Y319" s="2137"/>
      <c r="Z319" s="2137"/>
      <c r="AA319" s="2137"/>
      <c r="AB319" s="2137"/>
      <c r="AC319" s="2137"/>
      <c r="AD319" s="2137"/>
      <c r="AE319" s="2137"/>
      <c r="AF319" s="2137"/>
      <c r="AG319" s="2137"/>
      <c r="AH319" s="2137"/>
      <c r="AI319" s="2137"/>
      <c r="AJ319" s="2137"/>
      <c r="AK319" s="2137"/>
      <c r="AL319" s="2137"/>
      <c r="AM319" s="2137"/>
      <c r="AN319" s="2137"/>
      <c r="AO319" s="2137"/>
      <c r="AP319" s="2137"/>
      <c r="AQ319" s="2137"/>
      <c r="AR319" s="2137"/>
      <c r="AS319" s="2137"/>
      <c r="AT319" s="2137"/>
      <c r="AU319" s="2137"/>
      <c r="AV319" s="2137"/>
      <c r="AW319" s="2137"/>
      <c r="AX319" s="2137"/>
      <c r="AY319" s="2137"/>
      <c r="AZ319" s="2137"/>
      <c r="BA319" s="2137"/>
      <c r="BB319" s="2137"/>
      <c r="BC319" s="2137"/>
      <c r="BD319" s="2137"/>
      <c r="BE319" s="2137"/>
      <c r="BF319" s="2137"/>
      <c r="BG319" s="2137"/>
      <c r="BH319" s="2137"/>
      <c r="BI319" s="2137"/>
      <c r="BJ319" s="2137"/>
      <c r="BK319" s="2137"/>
      <c r="BL319" s="2137"/>
      <c r="BM319" s="2137"/>
      <c r="BN319" s="2137"/>
      <c r="BO319" s="2137"/>
      <c r="BP319" s="1862"/>
    </row>
    <row r="320" spans="1:68" ht="20.100000000000001" customHeight="1">
      <c r="A320" s="1845"/>
      <c r="B320" s="1854"/>
      <c r="C320" s="2119"/>
      <c r="D320" s="1869" t="s">
        <v>970</v>
      </c>
      <c r="E320" s="1858" t="str">
        <f ca="1">E71</f>
        <v/>
      </c>
      <c r="F320" s="1860"/>
      <c r="G320" s="2010" t="s">
        <v>966</v>
      </c>
      <c r="H320" s="2135"/>
      <c r="I320" s="2135"/>
      <c r="J320" s="2135"/>
      <c r="K320" s="2135"/>
      <c r="L320" s="2136"/>
      <c r="M320" s="2136"/>
      <c r="N320" s="2136"/>
      <c r="O320" s="2136"/>
      <c r="P320" s="2136"/>
      <c r="Q320" s="2136"/>
      <c r="R320" s="2136"/>
      <c r="S320" s="2136"/>
      <c r="T320" s="2136"/>
      <c r="U320" s="2136"/>
      <c r="V320" s="2136"/>
      <c r="W320" s="2136"/>
      <c r="X320" s="2137"/>
      <c r="Y320" s="2137"/>
      <c r="Z320" s="2137"/>
      <c r="AA320" s="2137"/>
      <c r="AB320" s="2137"/>
      <c r="AC320" s="2137"/>
      <c r="AD320" s="2137"/>
      <c r="AE320" s="2137"/>
      <c r="AF320" s="2137"/>
      <c r="AG320" s="2137"/>
      <c r="AH320" s="2137"/>
      <c r="AI320" s="2137"/>
      <c r="AJ320" s="2137"/>
      <c r="AK320" s="2137"/>
      <c r="AL320" s="2137"/>
      <c r="AM320" s="2137"/>
      <c r="AN320" s="2137"/>
      <c r="AO320" s="2137"/>
      <c r="AP320" s="2137"/>
      <c r="AQ320" s="2137"/>
      <c r="AR320" s="2137"/>
      <c r="AS320" s="2137"/>
      <c r="AT320" s="2137"/>
      <c r="AU320" s="2137"/>
      <c r="AV320" s="2137"/>
      <c r="AW320" s="2137"/>
      <c r="AX320" s="2137"/>
      <c r="AY320" s="2137"/>
      <c r="AZ320" s="2137"/>
      <c r="BA320" s="2137"/>
      <c r="BB320" s="2137"/>
      <c r="BC320" s="2137"/>
      <c r="BD320" s="2137"/>
      <c r="BE320" s="2137"/>
      <c r="BF320" s="2137"/>
      <c r="BG320" s="2137"/>
      <c r="BH320" s="2137"/>
      <c r="BI320" s="2137"/>
      <c r="BJ320" s="2137"/>
      <c r="BK320" s="2137"/>
      <c r="BL320" s="2137"/>
      <c r="BM320" s="2137"/>
      <c r="BN320" s="2137"/>
      <c r="BO320" s="2137"/>
      <c r="BP320" s="1862"/>
    </row>
    <row r="321" spans="1:68" ht="20.100000000000001" customHeight="1">
      <c r="A321" s="1845"/>
      <c r="B321" s="1854"/>
      <c r="C321" s="2121"/>
      <c r="D321" s="1872" t="s">
        <v>972</v>
      </c>
      <c r="E321" s="1858" t="str">
        <f ca="1">E73</f>
        <v/>
      </c>
      <c r="F321" s="1860"/>
      <c r="G321" s="2010" t="s">
        <v>966</v>
      </c>
      <c r="H321" s="2135"/>
      <c r="I321" s="2135"/>
      <c r="J321" s="2135"/>
      <c r="K321" s="2135"/>
      <c r="L321" s="2136"/>
      <c r="M321" s="2136"/>
      <c r="N321" s="2136"/>
      <c r="O321" s="2136"/>
      <c r="P321" s="2136"/>
      <c r="Q321" s="2136"/>
      <c r="R321" s="2136"/>
      <c r="S321" s="2136"/>
      <c r="T321" s="2136"/>
      <c r="U321" s="2136"/>
      <c r="V321" s="2136"/>
      <c r="W321" s="2136"/>
      <c r="X321" s="2137"/>
      <c r="Y321" s="2137"/>
      <c r="Z321" s="2137"/>
      <c r="AA321" s="2137"/>
      <c r="AB321" s="2137"/>
      <c r="AC321" s="2137"/>
      <c r="AD321" s="2137"/>
      <c r="AE321" s="2137"/>
      <c r="AF321" s="2137"/>
      <c r="AG321" s="2137"/>
      <c r="AH321" s="2137"/>
      <c r="AI321" s="2137"/>
      <c r="AJ321" s="2137"/>
      <c r="AK321" s="2137"/>
      <c r="AL321" s="2137"/>
      <c r="AM321" s="2137"/>
      <c r="AN321" s="2137"/>
      <c r="AO321" s="2137"/>
      <c r="AP321" s="2137"/>
      <c r="AQ321" s="2137"/>
      <c r="AR321" s="2137"/>
      <c r="AS321" s="2137"/>
      <c r="AT321" s="2137"/>
      <c r="AU321" s="2137"/>
      <c r="AV321" s="2137"/>
      <c r="AW321" s="2137"/>
      <c r="AX321" s="2137"/>
      <c r="AY321" s="2137"/>
      <c r="AZ321" s="2137"/>
      <c r="BA321" s="2137"/>
      <c r="BB321" s="2137"/>
      <c r="BC321" s="2137"/>
      <c r="BD321" s="2137"/>
      <c r="BE321" s="2137"/>
      <c r="BF321" s="2137"/>
      <c r="BG321" s="2137"/>
      <c r="BH321" s="2137"/>
      <c r="BI321" s="2137"/>
      <c r="BJ321" s="2137"/>
      <c r="BK321" s="2137"/>
      <c r="BL321" s="2137"/>
      <c r="BM321" s="2137"/>
      <c r="BN321" s="2137"/>
      <c r="BO321" s="2137"/>
      <c r="BP321" s="1862"/>
    </row>
    <row r="322" spans="1:68" ht="20.100000000000001" customHeight="1">
      <c r="A322" s="1845">
        <v>83</v>
      </c>
      <c r="B322" s="1854"/>
      <c r="C322" s="2016" t="s">
        <v>973</v>
      </c>
      <c r="D322" s="1869" t="s">
        <v>1556</v>
      </c>
      <c r="E322" s="1848"/>
      <c r="F322" s="1875"/>
      <c r="G322" s="2010" t="s">
        <v>966</v>
      </c>
      <c r="H322" s="2138">
        <f ca="1">H75</f>
        <v>3.6</v>
      </c>
      <c r="I322" s="2138">
        <f ca="1">I75</f>
        <v>3.6</v>
      </c>
      <c r="J322" s="2138">
        <f ca="1">J75</f>
        <v>3.6</v>
      </c>
      <c r="K322" s="2138">
        <f ca="1">K75</f>
        <v>3.6</v>
      </c>
      <c r="L322" s="2012">
        <f ca="1">P322+T322</f>
        <v>0</v>
      </c>
      <c r="M322" s="2012">
        <f ca="1">Q322+U322</f>
        <v>0</v>
      </c>
      <c r="N322" s="2012">
        <f ca="1">R322+V322</f>
        <v>0</v>
      </c>
      <c r="O322" s="2012">
        <f ca="1">S322+W322</f>
        <v>0</v>
      </c>
      <c r="P322" s="2013">
        <f ca="1">SUM(SUMIFS(OFFSET(貼付け_2024実績,$A322,11,1,199),OFFSET(貼付け_2024実績,4,9,1,199),{"横浜*","川崎*"}))</f>
        <v>0</v>
      </c>
      <c r="Q322" s="2013">
        <f ca="1">SUM(SUMIFS(OFFSET(貼付け_2025実績,$A322,11,1,199),OFFSET(貼付け_2025実績,4,9,1,199),{"横浜*","川崎*"}))</f>
        <v>0</v>
      </c>
      <c r="R322" s="2013">
        <f ca="1">SUM(SUMIFS(OFFSET(貼付け_2026実績,$A322,11,1,199),OFFSET(貼付け_2026実績,4,9,1,199),{"横浜*","川崎*"}))</f>
        <v>0</v>
      </c>
      <c r="S322" s="2013">
        <f ca="1">SUM(SUMIFS(OFFSET(貼付け_2027実績,$A322,11,1,199),OFFSET(貼付け_2027実績,4,9,1,199),{"横浜*","川崎*"}))</f>
        <v>0</v>
      </c>
      <c r="T322" s="2012">
        <f ca="1">SUM(X322,AB322,AF322,AJ322,AN322,AR322,AV322,AZ322,BD322,BH322,BL322)</f>
        <v>0</v>
      </c>
      <c r="U322" s="2012">
        <f ca="1">SUM(Y322,AC322,AG322,AK322,AO322,AS322,AW322,BA322,BE322,BI322,BM322)</f>
        <v>0</v>
      </c>
      <c r="V322" s="2012">
        <f ca="1">SUM(Z322,AD322,AH322,AL322,AP322,AT322,AX322,BB322,BF322,BJ322,BN322)</f>
        <v>0</v>
      </c>
      <c r="W322" s="2012">
        <f ca="1">SUM(AA322,AE322,AI322,AM322,AQ322,AU322,AY322,BC322,BG322,BK322,BO322)</f>
        <v>0</v>
      </c>
      <c r="X322" s="2014">
        <f ca="1">SUMIFS(OFFSET(貼付け_2024実績,$A322,11,1,199),OFFSET(貼付け_2024実績,4,9,1,199),"県域*")</f>
        <v>0</v>
      </c>
      <c r="Y322" s="2014">
        <f ca="1">SUMIFS(OFFSET(貼付け_2025実績,$A322,11,1,199),OFFSET(貼付け_2025実績,4,9,1,199),"県域*")</f>
        <v>0</v>
      </c>
      <c r="Z322" s="2014">
        <f ca="1">SUMIFS(OFFSET(貼付け_2026実績,$A322,11,1,199),OFFSET(貼付け_2026実績,4,9,1,199),"県域*")</f>
        <v>0</v>
      </c>
      <c r="AA322" s="2014">
        <f ca="1">SUMIFS(OFFSET(貼付け_2027実績,$A322,11,1,199),OFFSET(貼付け_2027実績,4,9,1,199),"県域*")</f>
        <v>0</v>
      </c>
      <c r="AB322" s="2014"/>
      <c r="AC322" s="2014"/>
      <c r="AD322" s="2014"/>
      <c r="AE322" s="2014"/>
      <c r="AF322" s="2014"/>
      <c r="AG322" s="2014"/>
      <c r="AH322" s="2014"/>
      <c r="AI322" s="2014"/>
      <c r="AJ322" s="2014"/>
      <c r="AK322" s="2014"/>
      <c r="AL322" s="2014"/>
      <c r="AM322" s="2014"/>
      <c r="AN322" s="2014"/>
      <c r="AO322" s="2014"/>
      <c r="AP322" s="2014"/>
      <c r="AQ322" s="2014"/>
      <c r="AR322" s="2014"/>
      <c r="AS322" s="2014"/>
      <c r="AT322" s="2014"/>
      <c r="AU322" s="2014"/>
      <c r="AV322" s="2014"/>
      <c r="AW322" s="2014"/>
      <c r="AX322" s="2014"/>
      <c r="AY322" s="2014"/>
      <c r="AZ322" s="2014"/>
      <c r="BA322" s="2014"/>
      <c r="BB322" s="2014"/>
      <c r="BC322" s="2014"/>
      <c r="BD322" s="2014"/>
      <c r="BE322" s="2014"/>
      <c r="BF322" s="2014"/>
      <c r="BG322" s="2014"/>
      <c r="BH322" s="2014"/>
      <c r="BI322" s="2014"/>
      <c r="BJ322" s="2014"/>
      <c r="BK322" s="2014"/>
      <c r="BL322" s="2014"/>
      <c r="BM322" s="2014"/>
      <c r="BN322" s="2014"/>
      <c r="BO322" s="2014"/>
      <c r="BP322" s="1862"/>
    </row>
    <row r="323" spans="1:68" ht="20.100000000000001" customHeight="1">
      <c r="A323" s="1845">
        <v>84</v>
      </c>
      <c r="B323" s="1854"/>
      <c r="C323" s="2119"/>
      <c r="D323" s="1869" t="s">
        <v>1556</v>
      </c>
      <c r="E323" s="1848"/>
      <c r="F323" s="1875"/>
      <c r="G323" s="2010" t="s">
        <v>571</v>
      </c>
      <c r="H323" s="2135"/>
      <c r="I323" s="2135"/>
      <c r="J323" s="2135"/>
      <c r="K323" s="2135"/>
      <c r="L323" s="2136"/>
      <c r="M323" s="2136"/>
      <c r="N323" s="2136"/>
      <c r="O323" s="2136"/>
      <c r="P323" s="2136"/>
      <c r="Q323" s="2136"/>
      <c r="R323" s="2136"/>
      <c r="S323" s="2136"/>
      <c r="T323" s="2136"/>
      <c r="U323" s="2136"/>
      <c r="V323" s="2136"/>
      <c r="W323" s="2136"/>
      <c r="X323" s="2137"/>
      <c r="Y323" s="2137"/>
      <c r="Z323" s="2137"/>
      <c r="AA323" s="2137"/>
      <c r="AB323" s="2137"/>
      <c r="AC323" s="2137"/>
      <c r="AD323" s="2137"/>
      <c r="AE323" s="2137"/>
      <c r="AF323" s="2137"/>
      <c r="AG323" s="2137"/>
      <c r="AH323" s="2137"/>
      <c r="AI323" s="2137"/>
      <c r="AJ323" s="2137"/>
      <c r="AK323" s="2137"/>
      <c r="AL323" s="2137"/>
      <c r="AM323" s="2137"/>
      <c r="AN323" s="2137"/>
      <c r="AO323" s="2137"/>
      <c r="AP323" s="2137"/>
      <c r="AQ323" s="2137"/>
      <c r="AR323" s="2137"/>
      <c r="AS323" s="2137"/>
      <c r="AT323" s="2137"/>
      <c r="AU323" s="2137"/>
      <c r="AV323" s="2137"/>
      <c r="AW323" s="2137"/>
      <c r="AX323" s="2137"/>
      <c r="AY323" s="2137"/>
      <c r="AZ323" s="2137"/>
      <c r="BA323" s="2137"/>
      <c r="BB323" s="2137"/>
      <c r="BC323" s="2137"/>
      <c r="BD323" s="2137"/>
      <c r="BE323" s="2137"/>
      <c r="BF323" s="2137"/>
      <c r="BG323" s="2137"/>
      <c r="BH323" s="2137"/>
      <c r="BI323" s="2137"/>
      <c r="BJ323" s="2137"/>
      <c r="BK323" s="2137"/>
      <c r="BL323" s="2137"/>
      <c r="BM323" s="2137"/>
      <c r="BN323" s="2137"/>
      <c r="BO323" s="2137"/>
      <c r="BP323" s="1862"/>
    </row>
    <row r="324" spans="1:68" ht="20.100000000000001" customHeight="1">
      <c r="A324" s="1845">
        <v>85</v>
      </c>
      <c r="B324" s="1854"/>
      <c r="C324" s="2119"/>
      <c r="D324" s="1869" t="s">
        <v>1557</v>
      </c>
      <c r="E324" s="1848"/>
      <c r="F324" s="1875"/>
      <c r="G324" s="2010" t="s">
        <v>966</v>
      </c>
      <c r="H324" s="2138">
        <f ca="1">H77</f>
        <v>3.6</v>
      </c>
      <c r="I324" s="2138">
        <f ca="1">I77</f>
        <v>3.6</v>
      </c>
      <c r="J324" s="2138">
        <f ca="1">J77</f>
        <v>3.6</v>
      </c>
      <c r="K324" s="2138">
        <f ca="1">K77</f>
        <v>3.6</v>
      </c>
      <c r="L324" s="2012">
        <f ca="1">P324+T324</f>
        <v>0</v>
      </c>
      <c r="M324" s="2012">
        <f ca="1">Q324+U324</f>
        <v>0</v>
      </c>
      <c r="N324" s="2012">
        <f ca="1">R324+V324</f>
        <v>0</v>
      </c>
      <c r="O324" s="2012">
        <f ca="1">S324+W324</f>
        <v>0</v>
      </c>
      <c r="P324" s="2013">
        <f ca="1">SUM(SUMIFS(OFFSET(貼付け_2024実績,$A324,11,1,199),OFFSET(貼付け_2024実績,4,9,1,199),{"横浜*","川崎*"}))</f>
        <v>0</v>
      </c>
      <c r="Q324" s="2013">
        <f ca="1">SUM(SUMIFS(OFFSET(貼付け_2025実績,$A324,11,1,199),OFFSET(貼付け_2025実績,4,9,1,199),{"横浜*","川崎*"}))</f>
        <v>0</v>
      </c>
      <c r="R324" s="2013">
        <f ca="1">SUM(SUMIFS(OFFSET(貼付け_2026実績,$A324,11,1,199),OFFSET(貼付け_2026実績,4,9,1,199),{"横浜*","川崎*"}))</f>
        <v>0</v>
      </c>
      <c r="S324" s="2013">
        <f ca="1">SUM(SUMIFS(OFFSET(貼付け_2027実績,$A324,11,1,199),OFFSET(貼付け_2027実績,4,9,1,199),{"横浜*","川崎*"}))</f>
        <v>0</v>
      </c>
      <c r="T324" s="2012">
        <f ca="1">SUM(X324,AB324,AF324,AJ324,AN324,AR324,AV324,AZ324,BD324,BH324,BL324)</f>
        <v>0</v>
      </c>
      <c r="U324" s="2012">
        <f ca="1">SUM(Y324,AC324,AG324,AK324,AO324,AS324,AW324,BA324,BE324,BI324,BM324)</f>
        <v>0</v>
      </c>
      <c r="V324" s="2012">
        <f ca="1">SUM(Z324,AD324,AH324,AL324,AP324,AT324,AX324,BB324,BF324,BJ324,BN324)</f>
        <v>0</v>
      </c>
      <c r="W324" s="2012">
        <f ca="1">SUM(AA324,AE324,AI324,AM324,AQ324,AU324,AY324,BC324,BG324,BK324,BO324)</f>
        <v>0</v>
      </c>
      <c r="X324" s="2014">
        <f ca="1">SUMIFS(OFFSET(貼付け_2024実績,$A324,11,1,199),OFFSET(貼付け_2024実績,4,9,1,199),"県域*")</f>
        <v>0</v>
      </c>
      <c r="Y324" s="2014">
        <f ca="1">SUMIFS(OFFSET(貼付け_2025実績,$A324,11,1,199),OFFSET(貼付け_2025実績,4,9,1,199),"県域*")</f>
        <v>0</v>
      </c>
      <c r="Z324" s="2014">
        <f ca="1">SUMIFS(OFFSET(貼付け_2026実績,$A324,11,1,199),OFFSET(貼付け_2026実績,4,9,1,199),"県域*")</f>
        <v>0</v>
      </c>
      <c r="AA324" s="2014">
        <f ca="1">SUMIFS(OFFSET(貼付け_2027実績,$A324,11,1,199),OFFSET(貼付け_2027実績,4,9,1,199),"県域*")</f>
        <v>0</v>
      </c>
      <c r="AB324" s="2014"/>
      <c r="AC324" s="2014"/>
      <c r="AD324" s="2014"/>
      <c r="AE324" s="2014"/>
      <c r="AF324" s="2014"/>
      <c r="AG324" s="2014"/>
      <c r="AH324" s="2014"/>
      <c r="AI324" s="2014"/>
      <c r="AJ324" s="2014"/>
      <c r="AK324" s="2014"/>
      <c r="AL324" s="2014"/>
      <c r="AM324" s="2014"/>
      <c r="AN324" s="2014"/>
      <c r="AO324" s="2014"/>
      <c r="AP324" s="2014"/>
      <c r="AQ324" s="2014"/>
      <c r="AR324" s="2014"/>
      <c r="AS324" s="2014"/>
      <c r="AT324" s="2014"/>
      <c r="AU324" s="2014"/>
      <c r="AV324" s="2014"/>
      <c r="AW324" s="2014"/>
      <c r="AX324" s="2014"/>
      <c r="AY324" s="2014"/>
      <c r="AZ324" s="2014"/>
      <c r="BA324" s="2014"/>
      <c r="BB324" s="2014"/>
      <c r="BC324" s="2014"/>
      <c r="BD324" s="2014"/>
      <c r="BE324" s="2014"/>
      <c r="BF324" s="2014"/>
      <c r="BG324" s="2014"/>
      <c r="BH324" s="2014"/>
      <c r="BI324" s="2014"/>
      <c r="BJ324" s="2014"/>
      <c r="BK324" s="2014"/>
      <c r="BL324" s="2014"/>
      <c r="BM324" s="2014"/>
      <c r="BN324" s="2014"/>
      <c r="BO324" s="2014"/>
      <c r="BP324" s="1862"/>
    </row>
    <row r="325" spans="1:68" ht="20.100000000000001" customHeight="1">
      <c r="A325" s="1845">
        <v>86</v>
      </c>
      <c r="B325" s="1854"/>
      <c r="C325" s="2119"/>
      <c r="D325" s="1869" t="s">
        <v>1557</v>
      </c>
      <c r="E325" s="1848"/>
      <c r="F325" s="1875"/>
      <c r="G325" s="2010" t="s">
        <v>571</v>
      </c>
      <c r="H325" s="2135"/>
      <c r="I325" s="2135"/>
      <c r="J325" s="2135"/>
      <c r="K325" s="2135"/>
      <c r="L325" s="2136"/>
      <c r="M325" s="2136"/>
      <c r="N325" s="2136"/>
      <c r="O325" s="2136"/>
      <c r="P325" s="2136"/>
      <c r="Q325" s="2136"/>
      <c r="R325" s="2136"/>
      <c r="S325" s="2136"/>
      <c r="T325" s="2136"/>
      <c r="U325" s="2136"/>
      <c r="V325" s="2136"/>
      <c r="W325" s="2136"/>
      <c r="X325" s="2137"/>
      <c r="Y325" s="2137"/>
      <c r="Z325" s="2137"/>
      <c r="AA325" s="2137"/>
      <c r="AB325" s="2137"/>
      <c r="AC325" s="2137"/>
      <c r="AD325" s="2137"/>
      <c r="AE325" s="2137"/>
      <c r="AF325" s="2137"/>
      <c r="AG325" s="2137"/>
      <c r="AH325" s="2137"/>
      <c r="AI325" s="2137"/>
      <c r="AJ325" s="2137"/>
      <c r="AK325" s="2137"/>
      <c r="AL325" s="2137"/>
      <c r="AM325" s="2137"/>
      <c r="AN325" s="2137"/>
      <c r="AO325" s="2137"/>
      <c r="AP325" s="2137"/>
      <c r="AQ325" s="2137"/>
      <c r="AR325" s="2137"/>
      <c r="AS325" s="2137"/>
      <c r="AT325" s="2137"/>
      <c r="AU325" s="2137"/>
      <c r="AV325" s="2137"/>
      <c r="AW325" s="2137"/>
      <c r="AX325" s="2137"/>
      <c r="AY325" s="2137"/>
      <c r="AZ325" s="2137"/>
      <c r="BA325" s="2137"/>
      <c r="BB325" s="2137"/>
      <c r="BC325" s="2137"/>
      <c r="BD325" s="2137"/>
      <c r="BE325" s="2137"/>
      <c r="BF325" s="2137"/>
      <c r="BG325" s="2137"/>
      <c r="BH325" s="2137"/>
      <c r="BI325" s="2137"/>
      <c r="BJ325" s="2137"/>
      <c r="BK325" s="2137"/>
      <c r="BL325" s="2137"/>
      <c r="BM325" s="2137"/>
      <c r="BN325" s="2137"/>
      <c r="BO325" s="2137"/>
      <c r="BP325" s="1862"/>
    </row>
    <row r="326" spans="1:68" ht="20.100000000000001" customHeight="1">
      <c r="A326" s="1845">
        <v>87</v>
      </c>
      <c r="B326" s="1854"/>
      <c r="C326" s="2119"/>
      <c r="D326" s="1869" t="s">
        <v>958</v>
      </c>
      <c r="E326" s="1848"/>
      <c r="F326" s="1875"/>
      <c r="G326" s="2010" t="s">
        <v>966</v>
      </c>
      <c r="H326" s="2138">
        <f ca="1">H79</f>
        <v>3.6</v>
      </c>
      <c r="I326" s="2138">
        <f ca="1">I79</f>
        <v>3.6</v>
      </c>
      <c r="J326" s="2138">
        <f ca="1">J79</f>
        <v>3.6</v>
      </c>
      <c r="K326" s="2138">
        <f ca="1">K79</f>
        <v>3.6</v>
      </c>
      <c r="L326" s="2012">
        <f ca="1">P326+T326</f>
        <v>0</v>
      </c>
      <c r="M326" s="2012">
        <f ca="1">Q326+U326</f>
        <v>0</v>
      </c>
      <c r="N326" s="2012">
        <f ca="1">R326+V326</f>
        <v>0</v>
      </c>
      <c r="O326" s="2012">
        <f ca="1">S326+W326</f>
        <v>0</v>
      </c>
      <c r="P326" s="2013">
        <f ca="1">SUM(SUMIFS(OFFSET(貼付け_2024実績,$A326,11,1,199),OFFSET(貼付け_2024実績,4,9,1,199),{"横浜*","川崎*"}))</f>
        <v>0</v>
      </c>
      <c r="Q326" s="2013">
        <f ca="1">SUM(SUMIFS(OFFSET(貼付け_2025実績,$A326,11,1,199),OFFSET(貼付け_2025実績,4,9,1,199),{"横浜*","川崎*"}))</f>
        <v>0</v>
      </c>
      <c r="R326" s="2013">
        <f ca="1">SUM(SUMIFS(OFFSET(貼付け_2026実績,$A326,11,1,199),OFFSET(貼付け_2026実績,4,9,1,199),{"横浜*","川崎*"}))</f>
        <v>0</v>
      </c>
      <c r="S326" s="2013">
        <f ca="1">SUM(SUMIFS(OFFSET(貼付け_2027実績,$A326,11,1,199),OFFSET(貼付け_2027実績,4,9,1,199),{"横浜*","川崎*"}))</f>
        <v>0</v>
      </c>
      <c r="T326" s="2012">
        <f ca="1">SUM(X326,AB326,AF326,AJ326,AN326,AR326,AV326,AZ326,BD326,BH326,BL326)</f>
        <v>0</v>
      </c>
      <c r="U326" s="2012">
        <f ca="1">SUM(Y326,AC326,AG326,AK326,AO326,AS326,AW326,BA326,BE326,BI326,BM326)</f>
        <v>0</v>
      </c>
      <c r="V326" s="2012">
        <f ca="1">SUM(Z326,AD326,AH326,AL326,AP326,AT326,AX326,BB326,BF326,BJ326,BN326)</f>
        <v>0</v>
      </c>
      <c r="W326" s="2012">
        <f ca="1">SUM(AA326,AE326,AI326,AM326,AQ326,AU326,AY326,BC326,BG326,BK326,BO326)</f>
        <v>0</v>
      </c>
      <c r="X326" s="2014">
        <f ca="1">SUMIFS(OFFSET(貼付け_2024実績,$A326,11,1,199),OFFSET(貼付け_2024実績,4,9,1,199),"県域*")</f>
        <v>0</v>
      </c>
      <c r="Y326" s="2014">
        <f ca="1">SUMIFS(OFFSET(貼付け_2025実績,$A326,11,1,199),OFFSET(貼付け_2025実績,4,9,1,199),"県域*")</f>
        <v>0</v>
      </c>
      <c r="Z326" s="2014">
        <f ca="1">SUMIFS(OFFSET(貼付け_2026実績,$A326,11,1,199),OFFSET(貼付け_2026実績,4,9,1,199),"県域*")</f>
        <v>0</v>
      </c>
      <c r="AA326" s="2014">
        <f ca="1">SUMIFS(OFFSET(貼付け_2027実績,$A326,11,1,199),OFFSET(貼付け_2027実績,4,9,1,199),"県域*")</f>
        <v>0</v>
      </c>
      <c r="AB326" s="2014"/>
      <c r="AC326" s="2014"/>
      <c r="AD326" s="2014"/>
      <c r="AE326" s="2014"/>
      <c r="AF326" s="2014"/>
      <c r="AG326" s="2014"/>
      <c r="AH326" s="2014"/>
      <c r="AI326" s="2014"/>
      <c r="AJ326" s="2014"/>
      <c r="AK326" s="2014"/>
      <c r="AL326" s="2014"/>
      <c r="AM326" s="2014"/>
      <c r="AN326" s="2014"/>
      <c r="AO326" s="2014"/>
      <c r="AP326" s="2014"/>
      <c r="AQ326" s="2014"/>
      <c r="AR326" s="2014"/>
      <c r="AS326" s="2014"/>
      <c r="AT326" s="2014"/>
      <c r="AU326" s="2014"/>
      <c r="AV326" s="2014"/>
      <c r="AW326" s="2014"/>
      <c r="AX326" s="2014"/>
      <c r="AY326" s="2014"/>
      <c r="AZ326" s="2014"/>
      <c r="BA326" s="2014"/>
      <c r="BB326" s="2014"/>
      <c r="BC326" s="2014"/>
      <c r="BD326" s="2014"/>
      <c r="BE326" s="2014"/>
      <c r="BF326" s="2014"/>
      <c r="BG326" s="2014"/>
      <c r="BH326" s="2014"/>
      <c r="BI326" s="2014"/>
      <c r="BJ326" s="2014"/>
      <c r="BK326" s="2014"/>
      <c r="BL326" s="2014"/>
      <c r="BM326" s="2014"/>
      <c r="BN326" s="2014"/>
      <c r="BO326" s="2014"/>
      <c r="BP326" s="1862"/>
    </row>
    <row r="327" spans="1:68" ht="20.100000000000001" customHeight="1">
      <c r="A327" s="1845">
        <v>88</v>
      </c>
      <c r="B327" s="1854"/>
      <c r="C327" s="2119"/>
      <c r="D327" s="1869" t="s">
        <v>958</v>
      </c>
      <c r="E327" s="1848"/>
      <c r="F327" s="1875"/>
      <c r="G327" s="2010" t="s">
        <v>571</v>
      </c>
      <c r="H327" s="2135"/>
      <c r="I327" s="2135"/>
      <c r="J327" s="2135"/>
      <c r="K327" s="2135"/>
      <c r="L327" s="2136"/>
      <c r="M327" s="2136"/>
      <c r="N327" s="2136"/>
      <c r="O327" s="2136"/>
      <c r="P327" s="2136"/>
      <c r="Q327" s="2136"/>
      <c r="R327" s="2136"/>
      <c r="S327" s="2136"/>
      <c r="T327" s="2136"/>
      <c r="U327" s="2136"/>
      <c r="V327" s="2136"/>
      <c r="W327" s="2136"/>
      <c r="X327" s="2137"/>
      <c r="Y327" s="2137"/>
      <c r="Z327" s="2137"/>
      <c r="AA327" s="2137"/>
      <c r="AB327" s="2137"/>
      <c r="AC327" s="2137"/>
      <c r="AD327" s="2137"/>
      <c r="AE327" s="2137"/>
      <c r="AF327" s="2137"/>
      <c r="AG327" s="2137"/>
      <c r="AH327" s="2137"/>
      <c r="AI327" s="2137"/>
      <c r="AJ327" s="2137"/>
      <c r="AK327" s="2137"/>
      <c r="AL327" s="2137"/>
      <c r="AM327" s="2137"/>
      <c r="AN327" s="2137"/>
      <c r="AO327" s="2137"/>
      <c r="AP327" s="2137"/>
      <c r="AQ327" s="2137"/>
      <c r="AR327" s="2137"/>
      <c r="AS327" s="2137"/>
      <c r="AT327" s="2137"/>
      <c r="AU327" s="2137"/>
      <c r="AV327" s="2137"/>
      <c r="AW327" s="2137"/>
      <c r="AX327" s="2137"/>
      <c r="AY327" s="2137"/>
      <c r="AZ327" s="2137"/>
      <c r="BA327" s="2137"/>
      <c r="BB327" s="2137"/>
      <c r="BC327" s="2137"/>
      <c r="BD327" s="2137"/>
      <c r="BE327" s="2137"/>
      <c r="BF327" s="2137"/>
      <c r="BG327" s="2137"/>
      <c r="BH327" s="2137"/>
      <c r="BI327" s="2137"/>
      <c r="BJ327" s="2137"/>
      <c r="BK327" s="2137"/>
      <c r="BL327" s="2137"/>
      <c r="BM327" s="2137"/>
      <c r="BN327" s="2137"/>
      <c r="BO327" s="2137"/>
      <c r="BP327" s="1862"/>
    </row>
    <row r="328" spans="1:68" ht="20.100000000000001" customHeight="1">
      <c r="A328" s="1845">
        <v>89</v>
      </c>
      <c r="B328" s="1854"/>
      <c r="C328" s="2119"/>
      <c r="D328" s="1869" t="s">
        <v>1558</v>
      </c>
      <c r="E328" s="1848"/>
      <c r="F328" s="1875"/>
      <c r="G328" s="2010" t="s">
        <v>966</v>
      </c>
      <c r="H328" s="2138">
        <f ca="1">H81</f>
        <v>3.6</v>
      </c>
      <c r="I328" s="2138">
        <f ca="1">I81</f>
        <v>3.6</v>
      </c>
      <c r="J328" s="2138">
        <f ca="1">J81</f>
        <v>3.6</v>
      </c>
      <c r="K328" s="2138">
        <f ca="1">K81</f>
        <v>3.6</v>
      </c>
      <c r="L328" s="2012">
        <f ca="1">P328+T328</f>
        <v>0</v>
      </c>
      <c r="M328" s="2012">
        <f ca="1">Q328+U328</f>
        <v>0</v>
      </c>
      <c r="N328" s="2012">
        <f ca="1">R328+V328</f>
        <v>0</v>
      </c>
      <c r="O328" s="2012">
        <f ca="1">S328+W328</f>
        <v>0</v>
      </c>
      <c r="P328" s="2013">
        <f ca="1">SUM(SUMIFS(OFFSET(貼付け_2024実績,$A328,11,1,199),OFFSET(貼付け_2024実績,4,9,1,199),{"横浜*","川崎*"}))</f>
        <v>0</v>
      </c>
      <c r="Q328" s="2013">
        <f ca="1">SUM(SUMIFS(OFFSET(貼付け_2025実績,$A328,11,1,199),OFFSET(貼付け_2025実績,4,9,1,199),{"横浜*","川崎*"}))</f>
        <v>0</v>
      </c>
      <c r="R328" s="2013">
        <f ca="1">SUM(SUMIFS(OFFSET(貼付け_2026実績,$A328,11,1,199),OFFSET(貼付け_2026実績,4,9,1,199),{"横浜*","川崎*"}))</f>
        <v>0</v>
      </c>
      <c r="S328" s="2013">
        <f ca="1">SUM(SUMIFS(OFFSET(貼付け_2027実績,$A328,11,1,199),OFFSET(貼付け_2027実績,4,9,1,199),{"横浜*","川崎*"}))</f>
        <v>0</v>
      </c>
      <c r="T328" s="2012">
        <f ca="1">SUM(X328,AB328,AF328,AJ328,AN328,AR328,AV328,AZ328,BD328,BH328,BL328)</f>
        <v>0</v>
      </c>
      <c r="U328" s="2012">
        <f ca="1">SUM(Y328,AC328,AG328,AK328,AO328,AS328,AW328,BA328,BE328,BI328,BM328)</f>
        <v>0</v>
      </c>
      <c r="V328" s="2012">
        <f ca="1">SUM(Z328,AD328,AH328,AL328,AP328,AT328,AX328,BB328,BF328,BJ328,BN328)</f>
        <v>0</v>
      </c>
      <c r="W328" s="2012">
        <f ca="1">SUM(AA328,AE328,AI328,AM328,AQ328,AU328,AY328,BC328,BG328,BK328,BO328)</f>
        <v>0</v>
      </c>
      <c r="X328" s="2014">
        <f ca="1">SUMIFS(OFFSET(貼付け_2024実績,$A328,11,1,199),OFFSET(貼付け_2024実績,4,9,1,199),"県域*")</f>
        <v>0</v>
      </c>
      <c r="Y328" s="2014">
        <f ca="1">SUMIFS(OFFSET(貼付け_2025実績,$A328,11,1,199),OFFSET(貼付け_2025実績,4,9,1,199),"県域*")</f>
        <v>0</v>
      </c>
      <c r="Z328" s="2014">
        <f ca="1">SUMIFS(OFFSET(貼付け_2026実績,$A328,11,1,199),OFFSET(貼付け_2026実績,4,9,1,199),"県域*")</f>
        <v>0</v>
      </c>
      <c r="AA328" s="2014">
        <f ca="1">SUMIFS(OFFSET(貼付け_2027実績,$A328,11,1,199),OFFSET(貼付け_2027実績,4,9,1,199),"県域*")</f>
        <v>0</v>
      </c>
      <c r="AB328" s="2014"/>
      <c r="AC328" s="2014"/>
      <c r="AD328" s="2014"/>
      <c r="AE328" s="2014"/>
      <c r="AF328" s="2014"/>
      <c r="AG328" s="2014"/>
      <c r="AH328" s="2014"/>
      <c r="AI328" s="2014"/>
      <c r="AJ328" s="2014"/>
      <c r="AK328" s="2014"/>
      <c r="AL328" s="2014"/>
      <c r="AM328" s="2014"/>
      <c r="AN328" s="2014"/>
      <c r="AO328" s="2014"/>
      <c r="AP328" s="2014"/>
      <c r="AQ328" s="2014"/>
      <c r="AR328" s="2014"/>
      <c r="AS328" s="2014"/>
      <c r="AT328" s="2014"/>
      <c r="AU328" s="2014"/>
      <c r="AV328" s="2014"/>
      <c r="AW328" s="2014"/>
      <c r="AX328" s="2014"/>
      <c r="AY328" s="2014"/>
      <c r="AZ328" s="2014"/>
      <c r="BA328" s="2014"/>
      <c r="BB328" s="2014"/>
      <c r="BC328" s="2014"/>
      <c r="BD328" s="2014"/>
      <c r="BE328" s="2014"/>
      <c r="BF328" s="2014"/>
      <c r="BG328" s="2014"/>
      <c r="BH328" s="2014"/>
      <c r="BI328" s="2014"/>
      <c r="BJ328" s="2014"/>
      <c r="BK328" s="2014"/>
      <c r="BL328" s="2014"/>
      <c r="BM328" s="2014"/>
      <c r="BN328" s="2014"/>
      <c r="BO328" s="2014"/>
      <c r="BP328" s="1862"/>
    </row>
    <row r="329" spans="1:68" ht="20.100000000000001" customHeight="1">
      <c r="A329" s="1845">
        <v>90</v>
      </c>
      <c r="B329" s="1854"/>
      <c r="C329" s="2119"/>
      <c r="D329" s="1869" t="s">
        <v>1559</v>
      </c>
      <c r="E329" s="1848"/>
      <c r="F329" s="1875"/>
      <c r="G329" s="2010" t="s">
        <v>571</v>
      </c>
      <c r="H329" s="2135"/>
      <c r="I329" s="2135"/>
      <c r="J329" s="2135"/>
      <c r="K329" s="2135"/>
      <c r="L329" s="2136"/>
      <c r="M329" s="2136"/>
      <c r="N329" s="2136"/>
      <c r="O329" s="2136"/>
      <c r="P329" s="2136"/>
      <c r="Q329" s="2136"/>
      <c r="R329" s="2136"/>
      <c r="S329" s="2136"/>
      <c r="T329" s="2136"/>
      <c r="U329" s="2136"/>
      <c r="V329" s="2136"/>
      <c r="W329" s="2136"/>
      <c r="X329" s="2137"/>
      <c r="Y329" s="2137"/>
      <c r="Z329" s="2137"/>
      <c r="AA329" s="2137"/>
      <c r="AB329" s="2137"/>
      <c r="AC329" s="2137"/>
      <c r="AD329" s="2137"/>
      <c r="AE329" s="2137"/>
      <c r="AF329" s="2137"/>
      <c r="AG329" s="2137"/>
      <c r="AH329" s="2137"/>
      <c r="AI329" s="2137"/>
      <c r="AJ329" s="2137"/>
      <c r="AK329" s="2137"/>
      <c r="AL329" s="2137"/>
      <c r="AM329" s="2137"/>
      <c r="AN329" s="2137"/>
      <c r="AO329" s="2137"/>
      <c r="AP329" s="2137"/>
      <c r="AQ329" s="2137"/>
      <c r="AR329" s="2137"/>
      <c r="AS329" s="2137"/>
      <c r="AT329" s="2137"/>
      <c r="AU329" s="2137"/>
      <c r="AV329" s="2137"/>
      <c r="AW329" s="2137"/>
      <c r="AX329" s="2137"/>
      <c r="AY329" s="2137"/>
      <c r="AZ329" s="2137"/>
      <c r="BA329" s="2137"/>
      <c r="BB329" s="2137"/>
      <c r="BC329" s="2137"/>
      <c r="BD329" s="2137"/>
      <c r="BE329" s="2137"/>
      <c r="BF329" s="2137"/>
      <c r="BG329" s="2137"/>
      <c r="BH329" s="2137"/>
      <c r="BI329" s="2137"/>
      <c r="BJ329" s="2137"/>
      <c r="BK329" s="2137"/>
      <c r="BL329" s="2137"/>
      <c r="BM329" s="2137"/>
      <c r="BN329" s="2137"/>
      <c r="BO329" s="2137"/>
      <c r="BP329" s="1862"/>
    </row>
    <row r="330" spans="1:68" ht="20.100000000000001" customHeight="1">
      <c r="A330" s="1845">
        <v>91</v>
      </c>
      <c r="B330" s="1854"/>
      <c r="C330" s="2119"/>
      <c r="D330" s="2139" t="s">
        <v>974</v>
      </c>
      <c r="E330" s="1982" t="str">
        <f ca="1">E83</f>
        <v/>
      </c>
      <c r="F330" s="1879"/>
      <c r="G330" s="2010" t="s">
        <v>966</v>
      </c>
      <c r="H330" s="2138">
        <f ca="1">H83</f>
        <v>0</v>
      </c>
      <c r="I330" s="2138">
        <f ca="1">I83</f>
        <v>0</v>
      </c>
      <c r="J330" s="2138">
        <f ca="1">J83</f>
        <v>0</v>
      </c>
      <c r="K330" s="2138">
        <f ca="1">K83</f>
        <v>0</v>
      </c>
      <c r="L330" s="2012">
        <f ca="1">P330+T330</f>
        <v>0</v>
      </c>
      <c r="M330" s="2012">
        <f ca="1">Q330+U330</f>
        <v>0</v>
      </c>
      <c r="N330" s="2012">
        <f ca="1">R330+V330</f>
        <v>0</v>
      </c>
      <c r="O330" s="2012">
        <f ca="1">S330+W330</f>
        <v>0</v>
      </c>
      <c r="P330" s="2013">
        <f ca="1">SUM(SUMIFS(OFFSET(貼付け_2024実績,$A330,11,1,199),OFFSET(貼付け_2024実績,4,9,1,199),{"横浜*","川崎*"}))</f>
        <v>0</v>
      </c>
      <c r="Q330" s="2013">
        <f ca="1">SUM(SUMIFS(OFFSET(貼付け_2025実績,$A330,11,1,199),OFFSET(貼付け_2025実績,4,9,1,199),{"横浜*","川崎*"}))</f>
        <v>0</v>
      </c>
      <c r="R330" s="2013">
        <f ca="1">SUM(SUMIFS(OFFSET(貼付け_2026実績,$A330,11,1,199),OFFSET(貼付け_2026実績,4,9,1,199),{"横浜*","川崎*"}))</f>
        <v>0</v>
      </c>
      <c r="S330" s="2013">
        <f ca="1">SUM(SUMIFS(OFFSET(貼付け_2027実績,$A330,11,1,199),OFFSET(貼付け_2027実績,4,9,1,199),{"横浜*","川崎*"}))</f>
        <v>0</v>
      </c>
      <c r="T330" s="2012">
        <f ca="1">SUM(X330,AB330,AF330,AJ330,AN330,AR330,AV330,AZ330,BD330,BH330,BL330)</f>
        <v>0</v>
      </c>
      <c r="U330" s="2012">
        <f ca="1">SUM(Y330,AC330,AG330,AK330,AO330,AS330,AW330,BA330,BE330,BI330,BM330)</f>
        <v>0</v>
      </c>
      <c r="V330" s="2012">
        <f ca="1">SUM(Z330,AD330,AH330,AL330,AP330,AT330,AX330,BB330,BF330,BJ330,BN330)</f>
        <v>0</v>
      </c>
      <c r="W330" s="2012">
        <f ca="1">SUM(AA330,AE330,AI330,AM330,AQ330,AU330,AY330,BC330,BG330,BK330,BO330)</f>
        <v>0</v>
      </c>
      <c r="X330" s="2014">
        <f ca="1">SUMIFS(OFFSET(貼付け_2024実績,$A330,11,1,199),OFFSET(貼付け_2024実績,4,9,1,199),"県域*")</f>
        <v>0</v>
      </c>
      <c r="Y330" s="2014">
        <f ca="1">SUMIFS(OFFSET(貼付け_2025実績,$A330,11,1,199),OFFSET(貼付け_2025実績,4,9,1,199),"県域*")</f>
        <v>0</v>
      </c>
      <c r="Z330" s="2014">
        <f ca="1">SUMIFS(OFFSET(貼付け_2026実績,$A330,11,1,199),OFFSET(貼付け_2026実績,4,9,1,199),"県域*")</f>
        <v>0</v>
      </c>
      <c r="AA330" s="2014">
        <f ca="1">SUMIFS(OFFSET(貼付け_2027実績,$A330,11,1,199),OFFSET(貼付け_2027実績,4,9,1,199),"県域*")</f>
        <v>0</v>
      </c>
      <c r="AB330" s="2014"/>
      <c r="AC330" s="2014"/>
      <c r="AD330" s="2014"/>
      <c r="AE330" s="2014"/>
      <c r="AF330" s="2014"/>
      <c r="AG330" s="2014"/>
      <c r="AH330" s="2014"/>
      <c r="AI330" s="2014"/>
      <c r="AJ330" s="2014"/>
      <c r="AK330" s="2014"/>
      <c r="AL330" s="2014"/>
      <c r="AM330" s="2014"/>
      <c r="AN330" s="2014"/>
      <c r="AO330" s="2014"/>
      <c r="AP330" s="2014"/>
      <c r="AQ330" s="2014"/>
      <c r="AR330" s="2014"/>
      <c r="AS330" s="2014"/>
      <c r="AT330" s="2014"/>
      <c r="AU330" s="2014"/>
      <c r="AV330" s="2014"/>
      <c r="AW330" s="2014"/>
      <c r="AX330" s="2014"/>
      <c r="AY330" s="2014"/>
      <c r="AZ330" s="2014"/>
      <c r="BA330" s="2014"/>
      <c r="BB330" s="2014"/>
      <c r="BC330" s="2014"/>
      <c r="BD330" s="2014"/>
      <c r="BE330" s="2014"/>
      <c r="BF330" s="2014"/>
      <c r="BG330" s="2014"/>
      <c r="BH330" s="2014"/>
      <c r="BI330" s="2014"/>
      <c r="BJ330" s="2014"/>
      <c r="BK330" s="2014"/>
      <c r="BL330" s="2014"/>
      <c r="BM330" s="2014"/>
      <c r="BN330" s="2014"/>
      <c r="BO330" s="2014"/>
      <c r="BP330" s="1862"/>
    </row>
    <row r="331" spans="1:68" ht="20.100000000000001" customHeight="1">
      <c r="A331" s="1845">
        <v>92</v>
      </c>
      <c r="B331" s="1854"/>
      <c r="C331" s="2119"/>
      <c r="D331" s="2140"/>
      <c r="E331" s="1983"/>
      <c r="F331" s="1882"/>
      <c r="G331" s="2010" t="s">
        <v>571</v>
      </c>
      <c r="H331" s="2135"/>
      <c r="I331" s="2135"/>
      <c r="J331" s="2135"/>
      <c r="K331" s="2135"/>
      <c r="L331" s="2136"/>
      <c r="M331" s="2136"/>
      <c r="N331" s="2136"/>
      <c r="O331" s="2136"/>
      <c r="P331" s="2136"/>
      <c r="Q331" s="2136"/>
      <c r="R331" s="2136"/>
      <c r="S331" s="2136"/>
      <c r="T331" s="2136"/>
      <c r="U331" s="2136"/>
      <c r="V331" s="2136"/>
      <c r="W331" s="2136"/>
      <c r="X331" s="2137"/>
      <c r="Y331" s="2137"/>
      <c r="Z331" s="2137"/>
      <c r="AA331" s="2137"/>
      <c r="AB331" s="2137"/>
      <c r="AC331" s="2137"/>
      <c r="AD331" s="2137"/>
      <c r="AE331" s="2137"/>
      <c r="AF331" s="2137"/>
      <c r="AG331" s="2137"/>
      <c r="AH331" s="2137"/>
      <c r="AI331" s="2137"/>
      <c r="AJ331" s="2137"/>
      <c r="AK331" s="2137"/>
      <c r="AL331" s="2137"/>
      <c r="AM331" s="2137"/>
      <c r="AN331" s="2137"/>
      <c r="AO331" s="2137"/>
      <c r="AP331" s="2137"/>
      <c r="AQ331" s="2137"/>
      <c r="AR331" s="2137"/>
      <c r="AS331" s="2137"/>
      <c r="AT331" s="2137"/>
      <c r="AU331" s="2137"/>
      <c r="AV331" s="2137"/>
      <c r="AW331" s="2137"/>
      <c r="AX331" s="2137"/>
      <c r="AY331" s="2137"/>
      <c r="AZ331" s="2137"/>
      <c r="BA331" s="2137"/>
      <c r="BB331" s="2137"/>
      <c r="BC331" s="2137"/>
      <c r="BD331" s="2137"/>
      <c r="BE331" s="2137"/>
      <c r="BF331" s="2137"/>
      <c r="BG331" s="2137"/>
      <c r="BH331" s="2137"/>
      <c r="BI331" s="2137"/>
      <c r="BJ331" s="2137"/>
      <c r="BK331" s="2137"/>
      <c r="BL331" s="2137"/>
      <c r="BM331" s="2137"/>
      <c r="BN331" s="2137"/>
      <c r="BO331" s="2137"/>
      <c r="BP331" s="1862"/>
    </row>
    <row r="332" spans="1:68" ht="20.100000000000001" customHeight="1">
      <c r="A332" s="1845">
        <v>93</v>
      </c>
      <c r="B332" s="1854"/>
      <c r="C332" s="2119"/>
      <c r="D332" s="2139" t="s">
        <v>975</v>
      </c>
      <c r="E332" s="1982" t="str">
        <f ca="1">E85</f>
        <v/>
      </c>
      <c r="F332" s="1879"/>
      <c r="G332" s="2010" t="s">
        <v>966</v>
      </c>
      <c r="H332" s="2138">
        <f ca="1">H85</f>
        <v>0</v>
      </c>
      <c r="I332" s="2138">
        <f ca="1">I85</f>
        <v>0</v>
      </c>
      <c r="J332" s="2138">
        <f ca="1">J85</f>
        <v>0</v>
      </c>
      <c r="K332" s="2138">
        <f ca="1">K85</f>
        <v>0</v>
      </c>
      <c r="L332" s="2012">
        <f ca="1">P332+T332</f>
        <v>0</v>
      </c>
      <c r="M332" s="2012">
        <f ca="1">Q332+U332</f>
        <v>0</v>
      </c>
      <c r="N332" s="2012">
        <f ca="1">R332+V332</f>
        <v>0</v>
      </c>
      <c r="O332" s="2012">
        <f ca="1">S332+W332</f>
        <v>0</v>
      </c>
      <c r="P332" s="2013">
        <f ca="1">SUM(SUMIFS(OFFSET(貼付け_2024実績,$A332,11,1,199),OFFSET(貼付け_2024実績,4,9,1,199),{"横浜*","川崎*"}))</f>
        <v>0</v>
      </c>
      <c r="Q332" s="2013">
        <f ca="1">SUM(SUMIFS(OFFSET(貼付け_2025実績,$A332,11,1,199),OFFSET(貼付け_2025実績,4,9,1,199),{"横浜*","川崎*"}))</f>
        <v>0</v>
      </c>
      <c r="R332" s="2013">
        <f ca="1">SUM(SUMIFS(OFFSET(貼付け_2026実績,$A332,11,1,199),OFFSET(貼付け_2026実績,4,9,1,199),{"横浜*","川崎*"}))</f>
        <v>0</v>
      </c>
      <c r="S332" s="2013">
        <f ca="1">SUM(SUMIFS(OFFSET(貼付け_2027実績,$A332,11,1,199),OFFSET(貼付け_2027実績,4,9,1,199),{"横浜*","川崎*"}))</f>
        <v>0</v>
      </c>
      <c r="T332" s="2012">
        <f ca="1">SUM(X332,AB332,AF332,AJ332,AN332,AR332,AV332,AZ332,BD332,BH332,BL332)</f>
        <v>0</v>
      </c>
      <c r="U332" s="2012">
        <f ca="1">SUM(Y332,AC332,AG332,AK332,AO332,AS332,AW332,BA332,BE332,BI332,BM332)</f>
        <v>0</v>
      </c>
      <c r="V332" s="2012">
        <f ca="1">SUM(Z332,AD332,AH332,AL332,AP332,AT332,AX332,BB332,BF332,BJ332,BN332)</f>
        <v>0</v>
      </c>
      <c r="W332" s="2012">
        <f ca="1">SUM(AA332,AE332,AI332,AM332,AQ332,AU332,AY332,BC332,BG332,BK332,BO332)</f>
        <v>0</v>
      </c>
      <c r="X332" s="2014">
        <f ca="1">SUMIFS(OFFSET(貼付け_2024実績,$A332,11,1,199),OFFSET(貼付け_2024実績,4,9,1,199),"県域*")</f>
        <v>0</v>
      </c>
      <c r="Y332" s="2014">
        <f ca="1">SUMIFS(OFFSET(貼付け_2025実績,$A332,11,1,199),OFFSET(貼付け_2025実績,4,9,1,199),"県域*")</f>
        <v>0</v>
      </c>
      <c r="Z332" s="2014">
        <f ca="1">SUMIFS(OFFSET(貼付け_2026実績,$A332,11,1,199),OFFSET(貼付け_2026実績,4,9,1,199),"県域*")</f>
        <v>0</v>
      </c>
      <c r="AA332" s="2014">
        <f ca="1">SUMIFS(OFFSET(貼付け_2027実績,$A332,11,1,199),OFFSET(貼付け_2027実績,4,9,1,199),"県域*")</f>
        <v>0</v>
      </c>
      <c r="AB332" s="2014"/>
      <c r="AC332" s="2014"/>
      <c r="AD332" s="2014"/>
      <c r="AE332" s="2014"/>
      <c r="AF332" s="2014"/>
      <c r="AG332" s="2014"/>
      <c r="AH332" s="2014"/>
      <c r="AI332" s="2014"/>
      <c r="AJ332" s="2014"/>
      <c r="AK332" s="2014"/>
      <c r="AL332" s="2014"/>
      <c r="AM332" s="2014"/>
      <c r="AN332" s="2014"/>
      <c r="AO332" s="2014"/>
      <c r="AP332" s="2014"/>
      <c r="AQ332" s="2014"/>
      <c r="AR332" s="2014"/>
      <c r="AS332" s="2014"/>
      <c r="AT332" s="2014"/>
      <c r="AU332" s="2014"/>
      <c r="AV332" s="2014"/>
      <c r="AW332" s="2014"/>
      <c r="AX332" s="2014"/>
      <c r="AY332" s="2014"/>
      <c r="AZ332" s="2014"/>
      <c r="BA332" s="2014"/>
      <c r="BB332" s="2014"/>
      <c r="BC332" s="2014"/>
      <c r="BD332" s="2014"/>
      <c r="BE332" s="2014"/>
      <c r="BF332" s="2014"/>
      <c r="BG332" s="2014"/>
      <c r="BH332" s="2014"/>
      <c r="BI332" s="2014"/>
      <c r="BJ332" s="2014"/>
      <c r="BK332" s="2014"/>
      <c r="BL332" s="2014"/>
      <c r="BM332" s="2014"/>
      <c r="BN332" s="2014"/>
      <c r="BO332" s="2014"/>
      <c r="BP332" s="1862"/>
    </row>
    <row r="333" spans="1:68" ht="20.100000000000001" customHeight="1">
      <c r="A333" s="1845">
        <v>94</v>
      </c>
      <c r="B333" s="1854"/>
      <c r="C333" s="2119"/>
      <c r="D333" s="2140"/>
      <c r="E333" s="1983"/>
      <c r="F333" s="1882"/>
      <c r="G333" s="2010" t="s">
        <v>571</v>
      </c>
      <c r="H333" s="2135"/>
      <c r="I333" s="2135"/>
      <c r="J333" s="2135"/>
      <c r="K333" s="2135"/>
      <c r="L333" s="2136"/>
      <c r="M333" s="2136"/>
      <c r="N333" s="2136"/>
      <c r="O333" s="2136"/>
      <c r="P333" s="2136"/>
      <c r="Q333" s="2136"/>
      <c r="R333" s="2136"/>
      <c r="S333" s="2136"/>
      <c r="T333" s="2136"/>
      <c r="U333" s="2136"/>
      <c r="V333" s="2136"/>
      <c r="W333" s="2136"/>
      <c r="X333" s="2137"/>
      <c r="Y333" s="2137"/>
      <c r="Z333" s="2137"/>
      <c r="AA333" s="2137"/>
      <c r="AB333" s="2137"/>
      <c r="AC333" s="2137"/>
      <c r="AD333" s="2137"/>
      <c r="AE333" s="2137"/>
      <c r="AF333" s="2137"/>
      <c r="AG333" s="2137"/>
      <c r="AH333" s="2137"/>
      <c r="AI333" s="2137"/>
      <c r="AJ333" s="2137"/>
      <c r="AK333" s="2137"/>
      <c r="AL333" s="2137"/>
      <c r="AM333" s="2137"/>
      <c r="AN333" s="2137"/>
      <c r="AO333" s="2137"/>
      <c r="AP333" s="2137"/>
      <c r="AQ333" s="2137"/>
      <c r="AR333" s="2137"/>
      <c r="AS333" s="2137"/>
      <c r="AT333" s="2137"/>
      <c r="AU333" s="2137"/>
      <c r="AV333" s="2137"/>
      <c r="AW333" s="2137"/>
      <c r="AX333" s="2137"/>
      <c r="AY333" s="2137"/>
      <c r="AZ333" s="2137"/>
      <c r="BA333" s="2137"/>
      <c r="BB333" s="2137"/>
      <c r="BC333" s="2137"/>
      <c r="BD333" s="2137"/>
      <c r="BE333" s="2137"/>
      <c r="BF333" s="2137"/>
      <c r="BG333" s="2137"/>
      <c r="BH333" s="2137"/>
      <c r="BI333" s="2137"/>
      <c r="BJ333" s="2137"/>
      <c r="BK333" s="2137"/>
      <c r="BL333" s="2137"/>
      <c r="BM333" s="2137"/>
      <c r="BN333" s="2137"/>
      <c r="BO333" s="2137"/>
      <c r="BP333" s="1862"/>
    </row>
    <row r="334" spans="1:68" ht="20.100000000000001" customHeight="1">
      <c r="A334" s="1845">
        <v>95</v>
      </c>
      <c r="B334" s="1854"/>
      <c r="C334" s="2119"/>
      <c r="D334" s="1869" t="s">
        <v>976</v>
      </c>
      <c r="E334" s="1858" t="str">
        <f ca="1">E87</f>
        <v/>
      </c>
      <c r="F334" s="1849" t="s">
        <v>1076</v>
      </c>
      <c r="G334" s="2010" t="s">
        <v>966</v>
      </c>
      <c r="H334" s="2138">
        <f t="shared" ref="H334:K337" ca="1" si="139">H87</f>
        <v>8.64</v>
      </c>
      <c r="I334" s="2085">
        <f t="shared" ca="1" si="139"/>
        <v>8.64</v>
      </c>
      <c r="J334" s="2085">
        <f t="shared" ca="1" si="139"/>
        <v>8.64</v>
      </c>
      <c r="K334" s="2085">
        <f t="shared" ca="1" si="139"/>
        <v>8.64</v>
      </c>
      <c r="L334" s="2012">
        <f t="shared" ref="L334:O337" ca="1" si="140">P334+T334</f>
        <v>0</v>
      </c>
      <c r="M334" s="2012">
        <f t="shared" ca="1" si="140"/>
        <v>0</v>
      </c>
      <c r="N334" s="2012">
        <f t="shared" ca="1" si="140"/>
        <v>0</v>
      </c>
      <c r="O334" s="2012">
        <f t="shared" ca="1" si="140"/>
        <v>0</v>
      </c>
      <c r="P334" s="2013">
        <f ca="1">SUM(SUMIFS(OFFSET(貼付け_2024実績,$A334,11,1,199),OFFSET(貼付け_2024実績,4,9,1,199),{"横浜*","川崎*"}))</f>
        <v>0</v>
      </c>
      <c r="Q334" s="2013">
        <f ca="1">SUM(SUMIFS(OFFSET(貼付け_2025実績,$A334,11,1,199),OFFSET(貼付け_2025実績,4,9,1,199),{"横浜*","川崎*"}))</f>
        <v>0</v>
      </c>
      <c r="R334" s="2013">
        <f ca="1">SUM(SUMIFS(OFFSET(貼付け_2026実績,$A334,11,1,199),OFFSET(貼付け_2026実績,4,9,1,199),{"横浜*","川崎*"}))</f>
        <v>0</v>
      </c>
      <c r="S334" s="2013">
        <f ca="1">SUM(SUMIFS(OFFSET(貼付け_2027実績,$A334,11,1,199),OFFSET(貼付け_2027実績,4,9,1,199),{"横浜*","川崎*"}))</f>
        <v>0</v>
      </c>
      <c r="T334" s="2012">
        <f t="shared" ref="T334:W337" ca="1" si="141">SUM(X334,AB334,AF334,AJ334,AN334,AR334,AV334,AZ334,BD334,BH334,BL334)</f>
        <v>0</v>
      </c>
      <c r="U334" s="2012">
        <f t="shared" ca="1" si="141"/>
        <v>0</v>
      </c>
      <c r="V334" s="2012">
        <f t="shared" ca="1" si="141"/>
        <v>0</v>
      </c>
      <c r="W334" s="2012">
        <f t="shared" ca="1" si="141"/>
        <v>0</v>
      </c>
      <c r="X334" s="2014">
        <f ca="1">SUMIFS(OFFSET(貼付け_2024実績,$A334,11,1,199),OFFSET(貼付け_2024実績,4,9,1,199),"県域*")</f>
        <v>0</v>
      </c>
      <c r="Y334" s="2014">
        <f ca="1">SUMIFS(OFFSET(貼付け_2025実績,$A334,11,1,199),OFFSET(貼付け_2025実績,4,9,1,199),"県域*")</f>
        <v>0</v>
      </c>
      <c r="Z334" s="2014">
        <f ca="1">SUMIFS(OFFSET(貼付け_2026実績,$A334,11,1,199),OFFSET(貼付け_2026実績,4,9,1,199),"県域*")</f>
        <v>0</v>
      </c>
      <c r="AA334" s="2014">
        <f ca="1">SUMIFS(OFFSET(貼付け_2027実績,$A334,11,1,199),OFFSET(貼付け_2027実績,4,9,1,199),"県域*")</f>
        <v>0</v>
      </c>
      <c r="AB334" s="2014"/>
      <c r="AC334" s="2014"/>
      <c r="AD334" s="2014"/>
      <c r="AE334" s="2014"/>
      <c r="AF334" s="2014"/>
      <c r="AG334" s="2014"/>
      <c r="AH334" s="2014"/>
      <c r="AI334" s="2014"/>
      <c r="AJ334" s="2014"/>
      <c r="AK334" s="2014"/>
      <c r="AL334" s="2014"/>
      <c r="AM334" s="2014"/>
      <c r="AN334" s="2014"/>
      <c r="AO334" s="2014"/>
      <c r="AP334" s="2014"/>
      <c r="AQ334" s="2014"/>
      <c r="AR334" s="2014"/>
      <c r="AS334" s="2014"/>
      <c r="AT334" s="2014"/>
      <c r="AU334" s="2014"/>
      <c r="AV334" s="2014"/>
      <c r="AW334" s="2014"/>
      <c r="AX334" s="2014"/>
      <c r="AY334" s="2014"/>
      <c r="AZ334" s="2014"/>
      <c r="BA334" s="2014"/>
      <c r="BB334" s="2014"/>
      <c r="BC334" s="2014"/>
      <c r="BD334" s="2014"/>
      <c r="BE334" s="2014"/>
      <c r="BF334" s="2014"/>
      <c r="BG334" s="2014"/>
      <c r="BH334" s="2014"/>
      <c r="BI334" s="2014"/>
      <c r="BJ334" s="2014"/>
      <c r="BK334" s="2014"/>
      <c r="BL334" s="2014"/>
      <c r="BM334" s="2014"/>
      <c r="BN334" s="2014"/>
      <c r="BO334" s="2014"/>
      <c r="BP334" s="1862"/>
    </row>
    <row r="335" spans="1:68" ht="20.100000000000001" customHeight="1">
      <c r="A335" s="1845">
        <v>96</v>
      </c>
      <c r="B335" s="1854"/>
      <c r="C335" s="2119"/>
      <c r="D335" s="1869" t="s">
        <v>977</v>
      </c>
      <c r="E335" s="1858" t="str">
        <f ca="1">E88</f>
        <v/>
      </c>
      <c r="F335" s="1883" t="s">
        <v>1077</v>
      </c>
      <c r="G335" s="2010" t="s">
        <v>966</v>
      </c>
      <c r="H335" s="2138">
        <f t="shared" ca="1" si="139"/>
        <v>8.64</v>
      </c>
      <c r="I335" s="2085">
        <f t="shared" ca="1" si="139"/>
        <v>8.64</v>
      </c>
      <c r="J335" s="2085">
        <f t="shared" ca="1" si="139"/>
        <v>8.64</v>
      </c>
      <c r="K335" s="2085">
        <f t="shared" ca="1" si="139"/>
        <v>8.64</v>
      </c>
      <c r="L335" s="2012">
        <f t="shared" ca="1" si="140"/>
        <v>0</v>
      </c>
      <c r="M335" s="2012">
        <f t="shared" ca="1" si="140"/>
        <v>0</v>
      </c>
      <c r="N335" s="2012">
        <f t="shared" ca="1" si="140"/>
        <v>0</v>
      </c>
      <c r="O335" s="2012">
        <f t="shared" ca="1" si="140"/>
        <v>0</v>
      </c>
      <c r="P335" s="2013">
        <f ca="1">SUM(SUMIFS(OFFSET(貼付け_2024実績,$A335,11,1,199),OFFSET(貼付け_2024実績,4,9,1,199),{"横浜*","川崎*"}))</f>
        <v>0</v>
      </c>
      <c r="Q335" s="2013">
        <f ca="1">SUM(SUMIFS(OFFSET(貼付け_2025実績,$A335,11,1,199),OFFSET(貼付け_2025実績,4,9,1,199),{"横浜*","川崎*"}))</f>
        <v>0</v>
      </c>
      <c r="R335" s="2013">
        <f ca="1">SUM(SUMIFS(OFFSET(貼付け_2026実績,$A335,11,1,199),OFFSET(貼付け_2026実績,4,9,1,199),{"横浜*","川崎*"}))</f>
        <v>0</v>
      </c>
      <c r="S335" s="2013">
        <f ca="1">SUM(SUMIFS(OFFSET(貼付け_2027実績,$A335,11,1,199),OFFSET(貼付け_2027実績,4,9,1,199),{"横浜*","川崎*"}))</f>
        <v>0</v>
      </c>
      <c r="T335" s="2012">
        <f t="shared" ca="1" si="141"/>
        <v>0</v>
      </c>
      <c r="U335" s="2012">
        <f t="shared" ca="1" si="141"/>
        <v>0</v>
      </c>
      <c r="V335" s="2012">
        <f t="shared" ca="1" si="141"/>
        <v>0</v>
      </c>
      <c r="W335" s="2012">
        <f t="shared" ca="1" si="141"/>
        <v>0</v>
      </c>
      <c r="X335" s="2014">
        <f ca="1">SUMIFS(OFFSET(貼付け_2024実績,$A335,11,1,199),OFFSET(貼付け_2024実績,4,9,1,199),"県域*")</f>
        <v>0</v>
      </c>
      <c r="Y335" s="2014">
        <f ca="1">SUMIFS(OFFSET(貼付け_2025実績,$A335,11,1,199),OFFSET(貼付け_2025実績,4,9,1,199),"県域*")</f>
        <v>0</v>
      </c>
      <c r="Z335" s="2014">
        <f ca="1">SUMIFS(OFFSET(貼付け_2026実績,$A335,11,1,199),OFFSET(貼付け_2026実績,4,9,1,199),"県域*")</f>
        <v>0</v>
      </c>
      <c r="AA335" s="2014">
        <f ca="1">SUMIFS(OFFSET(貼付け_2027実績,$A335,11,1,199),OFFSET(貼付け_2027実績,4,9,1,199),"県域*")</f>
        <v>0</v>
      </c>
      <c r="AB335" s="2014"/>
      <c r="AC335" s="2014"/>
      <c r="AD335" s="2014"/>
      <c r="AE335" s="2014"/>
      <c r="AF335" s="2014"/>
      <c r="AG335" s="2014"/>
      <c r="AH335" s="2014"/>
      <c r="AI335" s="2014"/>
      <c r="AJ335" s="2014"/>
      <c r="AK335" s="2014"/>
      <c r="AL335" s="2014"/>
      <c r="AM335" s="2014"/>
      <c r="AN335" s="2014"/>
      <c r="AO335" s="2014"/>
      <c r="AP335" s="2014"/>
      <c r="AQ335" s="2014"/>
      <c r="AR335" s="2014"/>
      <c r="AS335" s="2014"/>
      <c r="AT335" s="2014"/>
      <c r="AU335" s="2014"/>
      <c r="AV335" s="2014"/>
      <c r="AW335" s="2014"/>
      <c r="AX335" s="2014"/>
      <c r="AY335" s="2014"/>
      <c r="AZ335" s="2014"/>
      <c r="BA335" s="2014"/>
      <c r="BB335" s="2014"/>
      <c r="BC335" s="2014"/>
      <c r="BD335" s="2014"/>
      <c r="BE335" s="2014"/>
      <c r="BF335" s="2014"/>
      <c r="BG335" s="2014"/>
      <c r="BH335" s="2014"/>
      <c r="BI335" s="2014"/>
      <c r="BJ335" s="2014"/>
      <c r="BK335" s="2014"/>
      <c r="BL335" s="2014"/>
      <c r="BM335" s="2014"/>
      <c r="BN335" s="2014"/>
      <c r="BO335" s="2014"/>
      <c r="BP335" s="1862"/>
    </row>
    <row r="336" spans="1:68" ht="20.100000000000001" customHeight="1">
      <c r="A336" s="1845">
        <v>97</v>
      </c>
      <c r="B336" s="1854"/>
      <c r="C336" s="2119"/>
      <c r="D336" s="1869" t="s">
        <v>979</v>
      </c>
      <c r="E336" s="1858" t="str">
        <f ca="1">E89</f>
        <v/>
      </c>
      <c r="F336" s="1883" t="s">
        <v>1078</v>
      </c>
      <c r="G336" s="2010" t="s">
        <v>966</v>
      </c>
      <c r="H336" s="2138">
        <f t="shared" ca="1" si="139"/>
        <v>8.64</v>
      </c>
      <c r="I336" s="2085">
        <f t="shared" ca="1" si="139"/>
        <v>8.64</v>
      </c>
      <c r="J336" s="2085">
        <f t="shared" ca="1" si="139"/>
        <v>8.64</v>
      </c>
      <c r="K336" s="2085">
        <f t="shared" ca="1" si="139"/>
        <v>8.64</v>
      </c>
      <c r="L336" s="2012">
        <f t="shared" ca="1" si="140"/>
        <v>0</v>
      </c>
      <c r="M336" s="2012">
        <f t="shared" ca="1" si="140"/>
        <v>0</v>
      </c>
      <c r="N336" s="2012">
        <f t="shared" ca="1" si="140"/>
        <v>0</v>
      </c>
      <c r="O336" s="2012">
        <f t="shared" ca="1" si="140"/>
        <v>0</v>
      </c>
      <c r="P336" s="2013">
        <f ca="1">SUM(SUMIFS(OFFSET(貼付け_2024実績,$A336,11,1,199),OFFSET(貼付け_2024実績,4,9,1,199),{"横浜*","川崎*"}))</f>
        <v>0</v>
      </c>
      <c r="Q336" s="2013">
        <f ca="1">SUM(SUMIFS(OFFSET(貼付け_2025実績,$A336,11,1,199),OFFSET(貼付け_2025実績,4,9,1,199),{"横浜*","川崎*"}))</f>
        <v>0</v>
      </c>
      <c r="R336" s="2013">
        <f ca="1">SUM(SUMIFS(OFFSET(貼付け_2026実績,$A336,11,1,199),OFFSET(貼付け_2026実績,4,9,1,199),{"横浜*","川崎*"}))</f>
        <v>0</v>
      </c>
      <c r="S336" s="2013">
        <f ca="1">SUM(SUMIFS(OFFSET(貼付け_2027実績,$A336,11,1,199),OFFSET(貼付け_2027実績,4,9,1,199),{"横浜*","川崎*"}))</f>
        <v>0</v>
      </c>
      <c r="T336" s="2012">
        <f t="shared" ca="1" si="141"/>
        <v>0</v>
      </c>
      <c r="U336" s="2012">
        <f t="shared" ca="1" si="141"/>
        <v>0</v>
      </c>
      <c r="V336" s="2012">
        <f t="shared" ca="1" si="141"/>
        <v>0</v>
      </c>
      <c r="W336" s="2012">
        <f t="shared" ca="1" si="141"/>
        <v>0</v>
      </c>
      <c r="X336" s="2014">
        <f ca="1">SUMIFS(OFFSET(貼付け_2024実績,$A336,11,1,199),OFFSET(貼付け_2024実績,4,9,1,199),"県域*")</f>
        <v>0</v>
      </c>
      <c r="Y336" s="2014">
        <f ca="1">SUMIFS(OFFSET(貼付け_2025実績,$A336,11,1,199),OFFSET(貼付け_2025実績,4,9,1,199),"県域*")</f>
        <v>0</v>
      </c>
      <c r="Z336" s="2014">
        <f ca="1">SUMIFS(OFFSET(貼付け_2026実績,$A336,11,1,199),OFFSET(貼付け_2026実績,4,9,1,199),"県域*")</f>
        <v>0</v>
      </c>
      <c r="AA336" s="2014">
        <f ca="1">SUMIFS(OFFSET(貼付け_2027実績,$A336,11,1,199),OFFSET(貼付け_2027実績,4,9,1,199),"県域*")</f>
        <v>0</v>
      </c>
      <c r="AB336" s="2014"/>
      <c r="AC336" s="2014"/>
      <c r="AD336" s="2014"/>
      <c r="AE336" s="2014"/>
      <c r="AF336" s="2014"/>
      <c r="AG336" s="2014"/>
      <c r="AH336" s="2014"/>
      <c r="AI336" s="2014"/>
      <c r="AJ336" s="2014"/>
      <c r="AK336" s="2014"/>
      <c r="AL336" s="2014"/>
      <c r="AM336" s="2014"/>
      <c r="AN336" s="2014"/>
      <c r="AO336" s="2014"/>
      <c r="AP336" s="2014"/>
      <c r="AQ336" s="2014"/>
      <c r="AR336" s="2014"/>
      <c r="AS336" s="2014"/>
      <c r="AT336" s="2014"/>
      <c r="AU336" s="2014"/>
      <c r="AV336" s="2014"/>
      <c r="AW336" s="2014"/>
      <c r="AX336" s="2014"/>
      <c r="AY336" s="2014"/>
      <c r="AZ336" s="2014"/>
      <c r="BA336" s="2014"/>
      <c r="BB336" s="2014"/>
      <c r="BC336" s="2014"/>
      <c r="BD336" s="2014"/>
      <c r="BE336" s="2014"/>
      <c r="BF336" s="2014"/>
      <c r="BG336" s="2014"/>
      <c r="BH336" s="2014"/>
      <c r="BI336" s="2014"/>
      <c r="BJ336" s="2014"/>
      <c r="BK336" s="2014"/>
      <c r="BL336" s="2014"/>
      <c r="BM336" s="2014"/>
      <c r="BN336" s="2014"/>
      <c r="BO336" s="2014"/>
      <c r="BP336" s="1862"/>
    </row>
    <row r="337" spans="1:68" ht="20.100000000000001" customHeight="1">
      <c r="A337" s="1845">
        <v>98</v>
      </c>
      <c r="B337" s="2141"/>
      <c r="C337" s="2121"/>
      <c r="D337" s="1869" t="s">
        <v>981</v>
      </c>
      <c r="E337" s="1858" t="str">
        <f ca="1">E90</f>
        <v/>
      </c>
      <c r="F337" s="1883" t="s">
        <v>1079</v>
      </c>
      <c r="G337" s="2010" t="s">
        <v>966</v>
      </c>
      <c r="H337" s="2138">
        <f t="shared" ca="1" si="139"/>
        <v>8.64</v>
      </c>
      <c r="I337" s="2085">
        <f t="shared" ca="1" si="139"/>
        <v>8.64</v>
      </c>
      <c r="J337" s="2085">
        <f t="shared" ca="1" si="139"/>
        <v>8.64</v>
      </c>
      <c r="K337" s="2085">
        <f t="shared" ca="1" si="139"/>
        <v>8.64</v>
      </c>
      <c r="L337" s="2012">
        <f t="shared" ca="1" si="140"/>
        <v>0</v>
      </c>
      <c r="M337" s="2012">
        <f t="shared" ca="1" si="140"/>
        <v>0</v>
      </c>
      <c r="N337" s="2012">
        <f t="shared" ca="1" si="140"/>
        <v>0</v>
      </c>
      <c r="O337" s="2012">
        <f t="shared" ca="1" si="140"/>
        <v>0</v>
      </c>
      <c r="P337" s="2013">
        <f ca="1">SUM(SUMIFS(OFFSET(貼付け_2024実績,$A337,11,1,199),OFFSET(貼付け_2024実績,4,9,1,199),{"横浜*","川崎*"}))</f>
        <v>0</v>
      </c>
      <c r="Q337" s="2013">
        <f ca="1">SUM(SUMIFS(OFFSET(貼付け_2025実績,$A337,11,1,199),OFFSET(貼付け_2025実績,4,9,1,199),{"横浜*","川崎*"}))</f>
        <v>0</v>
      </c>
      <c r="R337" s="2013">
        <f ca="1">SUM(SUMIFS(OFFSET(貼付け_2026実績,$A337,11,1,199),OFFSET(貼付け_2026実績,4,9,1,199),{"横浜*","川崎*"}))</f>
        <v>0</v>
      </c>
      <c r="S337" s="2013">
        <f ca="1">SUM(SUMIFS(OFFSET(貼付け_2027実績,$A337,11,1,199),OFFSET(貼付け_2027実績,4,9,1,199),{"横浜*","川崎*"}))</f>
        <v>0</v>
      </c>
      <c r="T337" s="2012">
        <f t="shared" ca="1" si="141"/>
        <v>0</v>
      </c>
      <c r="U337" s="2012">
        <f t="shared" ca="1" si="141"/>
        <v>0</v>
      </c>
      <c r="V337" s="2012">
        <f t="shared" ca="1" si="141"/>
        <v>0</v>
      </c>
      <c r="W337" s="2012">
        <f t="shared" ca="1" si="141"/>
        <v>0</v>
      </c>
      <c r="X337" s="2014">
        <f ca="1">SUMIFS(OFFSET(貼付け_2024実績,$A337,11,1,199),OFFSET(貼付け_2024実績,4,9,1,199),"県域*")</f>
        <v>0</v>
      </c>
      <c r="Y337" s="2014">
        <f ca="1">SUMIFS(OFFSET(貼付け_2025実績,$A337,11,1,199),OFFSET(貼付け_2025実績,4,9,1,199),"県域*")</f>
        <v>0</v>
      </c>
      <c r="Z337" s="2014">
        <f ca="1">SUMIFS(OFFSET(貼付け_2026実績,$A337,11,1,199),OFFSET(貼付け_2026実績,4,9,1,199),"県域*")</f>
        <v>0</v>
      </c>
      <c r="AA337" s="2014">
        <f ca="1">SUMIFS(OFFSET(貼付け_2027実績,$A337,11,1,199),OFFSET(貼付け_2027実績,4,9,1,199),"県域*")</f>
        <v>0</v>
      </c>
      <c r="AB337" s="2014"/>
      <c r="AC337" s="2014"/>
      <c r="AD337" s="2014"/>
      <c r="AE337" s="2014"/>
      <c r="AF337" s="2014"/>
      <c r="AG337" s="2014"/>
      <c r="AH337" s="2014"/>
      <c r="AI337" s="2014"/>
      <c r="AJ337" s="2014"/>
      <c r="AK337" s="2014"/>
      <c r="AL337" s="2014"/>
      <c r="AM337" s="2014"/>
      <c r="AN337" s="2014"/>
      <c r="AO337" s="2014"/>
      <c r="AP337" s="2014"/>
      <c r="AQ337" s="2014"/>
      <c r="AR337" s="2014"/>
      <c r="AS337" s="2014"/>
      <c r="AT337" s="2014"/>
      <c r="AU337" s="2014"/>
      <c r="AV337" s="2014"/>
      <c r="AW337" s="2014"/>
      <c r="AX337" s="2014"/>
      <c r="AY337" s="2014"/>
      <c r="AZ337" s="2014"/>
      <c r="BA337" s="2014"/>
      <c r="BB337" s="2014"/>
      <c r="BC337" s="2014"/>
      <c r="BD337" s="2014"/>
      <c r="BE337" s="2014"/>
      <c r="BF337" s="2014"/>
      <c r="BG337" s="2014"/>
      <c r="BH337" s="2014"/>
      <c r="BI337" s="2014"/>
      <c r="BJ337" s="2014"/>
      <c r="BK337" s="2014"/>
      <c r="BL337" s="2014"/>
      <c r="BM337" s="2014"/>
      <c r="BN337" s="2014"/>
      <c r="BO337" s="2014"/>
      <c r="BP337" s="1862"/>
    </row>
    <row r="338" spans="1:68" ht="20.100000000000001" customHeight="1">
      <c r="A338" s="1845"/>
      <c r="B338" s="2125"/>
      <c r="C338" s="1872" t="s">
        <v>1080</v>
      </c>
      <c r="D338" s="2071"/>
      <c r="E338" s="2142"/>
      <c r="F338" s="2128"/>
      <c r="G338" s="2010" t="s">
        <v>966</v>
      </c>
      <c r="H338" s="2065"/>
      <c r="I338" s="2065"/>
      <c r="J338" s="2065"/>
      <c r="K338" s="2065"/>
      <c r="L338" s="2066">
        <f t="shared" ref="L338:W338" ca="1" si="142">SUM(L322:L332,L335,L337)</f>
        <v>0</v>
      </c>
      <c r="M338" s="2066">
        <f t="shared" ca="1" si="142"/>
        <v>0</v>
      </c>
      <c r="N338" s="2066">
        <f t="shared" ca="1" si="142"/>
        <v>0</v>
      </c>
      <c r="O338" s="2066">
        <f t="shared" ca="1" si="142"/>
        <v>0</v>
      </c>
      <c r="P338" s="2066">
        <f t="shared" ca="1" si="142"/>
        <v>0</v>
      </c>
      <c r="Q338" s="2066">
        <f t="shared" ca="1" si="142"/>
        <v>0</v>
      </c>
      <c r="R338" s="2066">
        <f t="shared" ca="1" si="142"/>
        <v>0</v>
      </c>
      <c r="S338" s="2066">
        <f t="shared" ca="1" si="142"/>
        <v>0</v>
      </c>
      <c r="T338" s="2066">
        <f t="shared" ca="1" si="142"/>
        <v>0</v>
      </c>
      <c r="U338" s="2066">
        <f t="shared" ca="1" si="142"/>
        <v>0</v>
      </c>
      <c r="V338" s="2066">
        <f t="shared" ca="1" si="142"/>
        <v>0</v>
      </c>
      <c r="W338" s="2066">
        <f t="shared" ca="1" si="142"/>
        <v>0</v>
      </c>
      <c r="X338" s="2069"/>
      <c r="Y338" s="2069"/>
      <c r="Z338" s="2069"/>
      <c r="AA338" s="2069"/>
      <c r="AB338" s="2069"/>
      <c r="AC338" s="2069"/>
      <c r="AD338" s="2069"/>
      <c r="AE338" s="2069"/>
      <c r="AF338" s="2069"/>
      <c r="AG338" s="2069"/>
      <c r="AH338" s="2069"/>
      <c r="AI338" s="2069"/>
      <c r="AJ338" s="2069"/>
      <c r="AK338" s="2069"/>
      <c r="AL338" s="2069"/>
      <c r="AM338" s="2069"/>
      <c r="AN338" s="2069"/>
      <c r="AO338" s="2069"/>
      <c r="AP338" s="2069"/>
      <c r="AQ338" s="2069"/>
      <c r="AR338" s="2069"/>
      <c r="AS338" s="2069"/>
      <c r="AT338" s="2069"/>
      <c r="AU338" s="2069"/>
      <c r="AV338" s="2069"/>
      <c r="AW338" s="2069"/>
      <c r="AX338" s="2069"/>
      <c r="AY338" s="2069"/>
      <c r="AZ338" s="2069"/>
      <c r="BA338" s="2069"/>
      <c r="BB338" s="2069"/>
      <c r="BC338" s="2069"/>
      <c r="BD338" s="2069"/>
      <c r="BE338" s="2069"/>
      <c r="BF338" s="2069"/>
      <c r="BG338" s="2069"/>
      <c r="BH338" s="2069"/>
      <c r="BI338" s="2069"/>
      <c r="BJ338" s="2069"/>
      <c r="BK338" s="2069"/>
      <c r="BL338" s="2069"/>
      <c r="BM338" s="2069"/>
      <c r="BN338" s="2069"/>
      <c r="BO338" s="2069"/>
      <c r="BP338" s="1862"/>
    </row>
    <row r="339" spans="1:68" ht="20.100000000000001" customHeight="1">
      <c r="A339" s="1845"/>
      <c r="B339" s="2125"/>
      <c r="C339" s="1872" t="s">
        <v>1081</v>
      </c>
      <c r="D339" s="2071"/>
      <c r="E339" s="2142"/>
      <c r="F339" s="2128"/>
      <c r="G339" s="2010" t="s">
        <v>966</v>
      </c>
      <c r="H339" s="2065"/>
      <c r="I339" s="2065"/>
      <c r="J339" s="2065"/>
      <c r="K339" s="2065"/>
      <c r="L339" s="2066">
        <f t="shared" ref="L339:W339" ca="1" si="143">SUM(L322:L337)</f>
        <v>0</v>
      </c>
      <c r="M339" s="2066">
        <f t="shared" ca="1" si="143"/>
        <v>0</v>
      </c>
      <c r="N339" s="2066">
        <f t="shared" ca="1" si="143"/>
        <v>0</v>
      </c>
      <c r="O339" s="2066">
        <f t="shared" ca="1" si="143"/>
        <v>0</v>
      </c>
      <c r="P339" s="2066">
        <f t="shared" ca="1" si="143"/>
        <v>0</v>
      </c>
      <c r="Q339" s="2066">
        <f t="shared" ca="1" si="143"/>
        <v>0</v>
      </c>
      <c r="R339" s="2066">
        <f t="shared" ca="1" si="143"/>
        <v>0</v>
      </c>
      <c r="S339" s="2066">
        <f t="shared" ca="1" si="143"/>
        <v>0</v>
      </c>
      <c r="T339" s="2066">
        <f t="shared" ca="1" si="143"/>
        <v>0</v>
      </c>
      <c r="U339" s="2066">
        <f t="shared" ca="1" si="143"/>
        <v>0</v>
      </c>
      <c r="V339" s="2066">
        <f t="shared" ca="1" si="143"/>
        <v>0</v>
      </c>
      <c r="W339" s="2066">
        <f t="shared" ca="1" si="143"/>
        <v>0</v>
      </c>
      <c r="X339" s="2069"/>
      <c r="Y339" s="2069"/>
      <c r="Z339" s="2069"/>
      <c r="AA339" s="2069"/>
      <c r="AB339" s="2069"/>
      <c r="AC339" s="2069"/>
      <c r="AD339" s="2069"/>
      <c r="AE339" s="2069"/>
      <c r="AF339" s="2069"/>
      <c r="AG339" s="2069"/>
      <c r="AH339" s="2069"/>
      <c r="AI339" s="2069"/>
      <c r="AJ339" s="2069"/>
      <c r="AK339" s="2069"/>
      <c r="AL339" s="2069"/>
      <c r="AM339" s="2069"/>
      <c r="AN339" s="2069"/>
      <c r="AO339" s="2069"/>
      <c r="AP339" s="2069"/>
      <c r="AQ339" s="2069"/>
      <c r="AR339" s="2069"/>
      <c r="AS339" s="2069"/>
      <c r="AT339" s="2069"/>
      <c r="AU339" s="2069"/>
      <c r="AV339" s="2069"/>
      <c r="AW339" s="2069"/>
      <c r="AX339" s="2069"/>
      <c r="AY339" s="2069"/>
      <c r="AZ339" s="2069"/>
      <c r="BA339" s="2069"/>
      <c r="BB339" s="2069"/>
      <c r="BC339" s="2069"/>
      <c r="BD339" s="2069"/>
      <c r="BE339" s="2069"/>
      <c r="BF339" s="2069"/>
      <c r="BG339" s="2069"/>
      <c r="BH339" s="2069"/>
      <c r="BI339" s="2069"/>
      <c r="BJ339" s="2069"/>
      <c r="BK339" s="2069"/>
      <c r="BL339" s="2069"/>
      <c r="BM339" s="2069"/>
      <c r="BN339" s="2069"/>
      <c r="BO339" s="2069"/>
      <c r="BP339" s="1862"/>
    </row>
    <row r="340" spans="1:68" ht="20.100000000000001" customHeight="1">
      <c r="A340" s="1842">
        <v>2</v>
      </c>
      <c r="B340" s="1847" t="s">
        <v>1082</v>
      </c>
      <c r="C340" s="1847"/>
      <c r="D340" s="1848" t="s">
        <v>984</v>
      </c>
      <c r="E340" s="1848"/>
      <c r="F340" s="1863" t="s">
        <v>1083</v>
      </c>
      <c r="G340" s="2010" t="s">
        <v>986</v>
      </c>
      <c r="H340" s="2065"/>
      <c r="I340" s="2065"/>
      <c r="J340" s="2065"/>
      <c r="K340" s="2065"/>
      <c r="L340" s="2013">
        <f ca="1">SUMPRODUCT((0&amp;L258:L305)*$H258:$H305)+SUM(SUMIFS(OFFSET(A1_集計2024,$A340,11,1,199),OFFSET(貼付け_2024実績,4,9,1,199),{"横浜*","川崎*","県域*","エネルギー管理指定工場等*"}))</f>
        <v>0</v>
      </c>
      <c r="M340" s="2013">
        <f ca="1">SUMPRODUCT((0&amp;M258:M305)*$H258:$H305)+SUM(SUMIFS(OFFSET(A1_集計2025,$A340,11,1,199),OFFSET(貼付け_2025実績,4,9,1,199),{"横浜*","川崎*","県域*","エネルギー管理指定工場等*"}))</f>
        <v>0</v>
      </c>
      <c r="N340" s="2013">
        <f ca="1">SUMPRODUCT((0&amp;N258:N305)*$H258:$H305)+SUM(SUMIFS(OFFSET(A1_集計2026,$A340,11,1,199),OFFSET(貼付け_2026実績,4,9,1,199),{"横浜*","川崎*","県域*","エネルギー管理指定工場等*"}))</f>
        <v>0</v>
      </c>
      <c r="O340" s="2013">
        <f ca="1">SUMPRODUCT((0&amp;O258:O305)*$H258:$H305)+SUM(SUMIFS(OFFSET(A1_集計2027,$A340,11,1,199),OFFSET(貼付け_2027実績,4,9,1,199),{"横浜*","川崎*","県域*","エネルギー管理指定工場等*"}))</f>
        <v>0</v>
      </c>
      <c r="P340" s="2066">
        <f ca="1">SUMPRODUCT((0&amp;P258:P305)*$H258:$H305)+SUM(SUMIFS(OFFSET(A1_集計2024,$A340,11,1,199),OFFSET(貼付け_2024実績,4,9,1,199),{"横浜*","川崎*"}))</f>
        <v>0</v>
      </c>
      <c r="Q340" s="2066">
        <f ca="1">SUMPRODUCT((0&amp;Q258:Q305)*$H258:$H305)+SUM(SUMIFS(OFFSET(A1_集計2025,$A340,11,1,199),OFFSET(貼付け_2025実績,4,9,1,199),{"横浜*","川崎*"}))</f>
        <v>0</v>
      </c>
      <c r="R340" s="2066">
        <f ca="1">SUMPRODUCT((0&amp;R258:R305)*$H258:$H305)+SUM(SUMIFS(OFFSET(A1_集計2026,$A340,11,1,199),OFFSET(貼付け_2026実績,4,9,1,199),{"横浜*","川崎*"}))</f>
        <v>0</v>
      </c>
      <c r="S340" s="2066">
        <f ca="1">SUMPRODUCT((0&amp;S258:S305)*$H258:$H305)+SUM(SUMIFS(OFFSET(A1_集計2027,$A340,11,1,199),OFFSET(貼付け_2027実績,4,9,1,199),{"横浜*","川崎*"}))</f>
        <v>0</v>
      </c>
      <c r="T340" s="2013">
        <f ca="1">SUMPRODUCT((0&amp;T258:T305)*$H258:$H305)+SUM(SUMIFS(OFFSET(A1_集計2024,$A340,11,1,199),OFFSET(貼付け_2024実績,4,9,1,199),{"県域*","エネルギー管理指定工場等*"}))</f>
        <v>0</v>
      </c>
      <c r="U340" s="2013">
        <f ca="1">SUMPRODUCT((0&amp;U258:U305)*$H258:$H305)+SUM(SUMIFS(OFFSET(A1_集計2025,$A340,11,1,199),OFFSET(貼付け_2025実績,4,9,1,199),{"県域*","エネルギー管理指定工場等*"}))</f>
        <v>0</v>
      </c>
      <c r="V340" s="2013">
        <f ca="1">SUMPRODUCT((0&amp;V258:V305)*$H258:$H305)+SUM(SUMIFS(OFFSET(A1_集計2026,$A340,11,1,199),OFFSET(貼付け_2026実績,4,9,1,199),{"県域*","エネルギー管理指定工場等*"}))</f>
        <v>0</v>
      </c>
      <c r="W340" s="2013">
        <f ca="1">SUMPRODUCT((0&amp;W258:W305)*$H258:$H305)+SUM(SUMIFS(OFFSET(A1_集計2027,$A340,11,1,199),OFFSET(貼付け_2027実績,4,9,1,199),{"県域*","エネルギー管理指定工場等*"}))</f>
        <v>0</v>
      </c>
      <c r="X340" s="2067">
        <f ca="1">SUMPRODUCT((0&amp;X258:X305)*$H258:$H305)+SUMIFS(OFFSET(A1_集計2024,$A340,11,1,199),OFFSET(貼付け_2024実績,4,9,1,199),"県域*")</f>
        <v>0</v>
      </c>
      <c r="Y340" s="2067">
        <f ca="1">SUMPRODUCT((0&amp;Y258:Y305)*$H258:$H305)+SUMIFS(OFFSET(A1_集計2025,$A340,11,1,199),OFFSET(貼付け_2025実績,4,9,1,199),"県域*")</f>
        <v>0</v>
      </c>
      <c r="Z340" s="2067">
        <f ca="1">SUMPRODUCT((0&amp;Z258:Z305)*$H258:$H305)+SUMIFS(OFFSET(A1_集計2026,$A340,11,1,199),OFFSET(貼付け_2026実績,4,9,1,199),"県域*")</f>
        <v>0</v>
      </c>
      <c r="AA340" s="2067">
        <f ca="1">SUMPRODUCT((0&amp;AA258:AA305)*$H258:$H305)+SUMIFS(OFFSET(A1_集計2027,$A340,11,1,199),OFFSET(貼付け_2027実績,4,9,1,199),"県域*")</f>
        <v>0</v>
      </c>
      <c r="AB340" s="2069"/>
      <c r="AC340" s="2069"/>
      <c r="AD340" s="2069"/>
      <c r="AE340" s="2069"/>
      <c r="AF340" s="2069"/>
      <c r="AG340" s="2069"/>
      <c r="AH340" s="2069"/>
      <c r="AI340" s="2069"/>
      <c r="AJ340" s="2069"/>
      <c r="AK340" s="2069"/>
      <c r="AL340" s="2069"/>
      <c r="AM340" s="2069"/>
      <c r="AN340" s="2069"/>
      <c r="AO340" s="2069"/>
      <c r="AP340" s="2069"/>
      <c r="AQ340" s="2069"/>
      <c r="AR340" s="2069"/>
      <c r="AS340" s="2069"/>
      <c r="AT340" s="2069"/>
      <c r="AU340" s="2069"/>
      <c r="AV340" s="2069"/>
      <c r="AW340" s="2069"/>
      <c r="AX340" s="2069"/>
      <c r="AY340" s="2069"/>
      <c r="AZ340" s="2069"/>
      <c r="BA340" s="2069"/>
      <c r="BB340" s="2069"/>
      <c r="BC340" s="2069"/>
      <c r="BD340" s="2069"/>
      <c r="BE340" s="2069"/>
      <c r="BF340" s="2069"/>
      <c r="BG340" s="2069"/>
      <c r="BH340" s="2069"/>
      <c r="BI340" s="2069"/>
      <c r="BJ340" s="2069"/>
      <c r="BK340" s="2069"/>
      <c r="BL340" s="2069"/>
      <c r="BM340" s="2069"/>
      <c r="BN340" s="2069"/>
      <c r="BO340" s="2069"/>
      <c r="BP340" s="1862"/>
    </row>
    <row r="341" spans="1:68" ht="20.100000000000001" customHeight="1">
      <c r="A341" s="1842"/>
      <c r="B341" s="1847"/>
      <c r="C341" s="1847"/>
      <c r="D341" s="1848" t="s">
        <v>987</v>
      </c>
      <c r="E341" s="1848"/>
      <c r="F341" s="1863" t="s">
        <v>1084</v>
      </c>
      <c r="G341" s="2010" t="s">
        <v>986</v>
      </c>
      <c r="H341" s="2065"/>
      <c r="I341" s="2065"/>
      <c r="J341" s="2065"/>
      <c r="K341" s="2065"/>
      <c r="L341" s="2013">
        <f ca="1">SUMPRODUCT((0&amp;L306:L316)*$H306:$H316)</f>
        <v>0</v>
      </c>
      <c r="M341" s="2013">
        <f ca="1">SUMPRODUCT((0&amp;M306:M316)*$I306:$I316)</f>
        <v>0</v>
      </c>
      <c r="N341" s="2013">
        <f ca="1">SUMPRODUCT((0&amp;N306:N316)*$J306:$J316)</f>
        <v>0</v>
      </c>
      <c r="O341" s="2013">
        <f ca="1">SUMPRODUCT((0&amp;O306:O316)*$K306:$K316)</f>
        <v>0</v>
      </c>
      <c r="P341" s="2066">
        <f ca="1">SUMPRODUCT((0&amp;P306:P316)*$H306:$H316)</f>
        <v>0</v>
      </c>
      <c r="Q341" s="2066">
        <f ca="1">SUMPRODUCT((0&amp;Q306:Q316)*$I306:$I316)</f>
        <v>0</v>
      </c>
      <c r="R341" s="2066">
        <f ca="1">SUMPRODUCT((0&amp;R306:R316)*$J306:$J316)</f>
        <v>0</v>
      </c>
      <c r="S341" s="2066">
        <f ca="1">SUMPRODUCT((0&amp;S306:S316)*$K306:$K316)</f>
        <v>0</v>
      </c>
      <c r="T341" s="2013">
        <f ca="1">SUMPRODUCT((0&amp;T306:T316)*$H306:$H316)</f>
        <v>0</v>
      </c>
      <c r="U341" s="2013">
        <f ca="1">SUMPRODUCT((0&amp;U306:U316)*$I306:$I316)</f>
        <v>0</v>
      </c>
      <c r="V341" s="2013">
        <f ca="1">SUMPRODUCT((0&amp;V306:V316)*$J306:$J316)</f>
        <v>0</v>
      </c>
      <c r="W341" s="2013">
        <f ca="1">SUMPRODUCT((0&amp;W306:W316)*$K306:$K316)</f>
        <v>0</v>
      </c>
      <c r="X341" s="2067">
        <f ca="1">SUMPRODUCT((0&amp;X306:X316)*$H306:$H316)</f>
        <v>0</v>
      </c>
      <c r="Y341" s="2067">
        <f ca="1">SUMPRODUCT((0&amp;Y306:Y316)*$I306:$I316)</f>
        <v>0</v>
      </c>
      <c r="Z341" s="2067">
        <f ca="1">SUMPRODUCT((0&amp;Z306:Z316)*$J306:$J316)</f>
        <v>0</v>
      </c>
      <c r="AA341" s="2067">
        <f ca="1">SUMPRODUCT((0&amp;AA306:AA316)*$K306:$K316)</f>
        <v>0</v>
      </c>
      <c r="AB341" s="2069"/>
      <c r="AC341" s="2069"/>
      <c r="AD341" s="2069"/>
      <c r="AE341" s="2069"/>
      <c r="AF341" s="2069"/>
      <c r="AG341" s="2069"/>
      <c r="AH341" s="2069"/>
      <c r="AI341" s="2069"/>
      <c r="AJ341" s="2069"/>
      <c r="AK341" s="2069"/>
      <c r="AL341" s="2069"/>
      <c r="AM341" s="2069"/>
      <c r="AN341" s="2069"/>
      <c r="AO341" s="2069"/>
      <c r="AP341" s="2069"/>
      <c r="AQ341" s="2069"/>
      <c r="AR341" s="2069"/>
      <c r="AS341" s="2069"/>
      <c r="AT341" s="2069"/>
      <c r="AU341" s="2069"/>
      <c r="AV341" s="2069"/>
      <c r="AW341" s="2069"/>
      <c r="AX341" s="2069"/>
      <c r="AY341" s="2069"/>
      <c r="AZ341" s="2069"/>
      <c r="BA341" s="2069"/>
      <c r="BB341" s="2069"/>
      <c r="BC341" s="2069"/>
      <c r="BD341" s="2069"/>
      <c r="BE341" s="2069"/>
      <c r="BF341" s="2069"/>
      <c r="BG341" s="2069"/>
      <c r="BH341" s="2069"/>
      <c r="BI341" s="2069"/>
      <c r="BJ341" s="2069"/>
      <c r="BK341" s="2069"/>
      <c r="BL341" s="2069"/>
      <c r="BM341" s="2069"/>
      <c r="BN341" s="2069"/>
      <c r="BO341" s="2069"/>
      <c r="BP341" s="1862"/>
    </row>
    <row r="342" spans="1:68" ht="20.100000000000001" customHeight="1">
      <c r="A342" s="1842"/>
      <c r="B342" s="1847"/>
      <c r="C342" s="1847"/>
      <c r="D342" s="1848" t="s">
        <v>989</v>
      </c>
      <c r="E342" s="1848" t="s">
        <v>1085</v>
      </c>
      <c r="F342" s="1863" t="s">
        <v>1086</v>
      </c>
      <c r="G342" s="2010" t="s">
        <v>986</v>
      </c>
      <c r="H342" s="2065"/>
      <c r="I342" s="2065"/>
      <c r="J342" s="2065"/>
      <c r="K342" s="2065"/>
      <c r="L342" s="2013">
        <f ca="1">SUMPRODUCT((0&amp;L317:L333)*$H317:$H333)</f>
        <v>0</v>
      </c>
      <c r="M342" s="2013">
        <f ca="1">SUMPRODUCT((0&amp;M317:M333)*$I317:$I333)</f>
        <v>0</v>
      </c>
      <c r="N342" s="2013">
        <f ca="1">SUMPRODUCT((0&amp;N317:N333)*$J317:$J333)</f>
        <v>0</v>
      </c>
      <c r="O342" s="2013">
        <f ca="1">SUMPRODUCT((0&amp;O317:O333)*$K317:$K333)</f>
        <v>0</v>
      </c>
      <c r="P342" s="2066">
        <f ca="1">SUMPRODUCT((0&amp;P317:P333)*$H317:$H333)</f>
        <v>0</v>
      </c>
      <c r="Q342" s="2066">
        <f ca="1">SUMPRODUCT((0&amp;Q317:Q333)*$I317:$I333)</f>
        <v>0</v>
      </c>
      <c r="R342" s="2066">
        <f ca="1">SUMPRODUCT((0&amp;R317:R333)*$J317:$J333)</f>
        <v>0</v>
      </c>
      <c r="S342" s="2066">
        <f ca="1">SUMPRODUCT((0&amp;S317:S333)*$K317:$K333)</f>
        <v>0</v>
      </c>
      <c r="T342" s="2013">
        <f ca="1">SUMPRODUCT((0&amp;T317:T333)*$H317:$H333)</f>
        <v>0</v>
      </c>
      <c r="U342" s="2013">
        <f ca="1">SUMPRODUCT((0&amp;U317:U333)*$I317:$I333)</f>
        <v>0</v>
      </c>
      <c r="V342" s="2013">
        <f ca="1">SUMPRODUCT((0&amp;V317:V333)*$J317:$J333)</f>
        <v>0</v>
      </c>
      <c r="W342" s="2013">
        <f ca="1">SUMPRODUCT((0&amp;W317:W333)*$K317:$K333)</f>
        <v>0</v>
      </c>
      <c r="X342" s="2067">
        <f ca="1">SUMPRODUCT((0&amp;X317:X333)*$H317:$H333)</f>
        <v>0</v>
      </c>
      <c r="Y342" s="2067">
        <f ca="1">SUMPRODUCT((0&amp;Y317:Y333)*$I317:$I333)</f>
        <v>0</v>
      </c>
      <c r="Z342" s="2067">
        <f ca="1">SUMPRODUCT((0&amp;Z317:Z333)*$J317:$J333)</f>
        <v>0</v>
      </c>
      <c r="AA342" s="2067">
        <f ca="1">SUMPRODUCT((0&amp;AA317:AA333)*$K317:$K333)</f>
        <v>0</v>
      </c>
      <c r="AB342" s="2069"/>
      <c r="AC342" s="2069"/>
      <c r="AD342" s="2069"/>
      <c r="AE342" s="2069"/>
      <c r="AF342" s="2069"/>
      <c r="AG342" s="2069"/>
      <c r="AH342" s="2069"/>
      <c r="AI342" s="2069"/>
      <c r="AJ342" s="2069"/>
      <c r="AK342" s="2069"/>
      <c r="AL342" s="2069"/>
      <c r="AM342" s="2069"/>
      <c r="AN342" s="2069"/>
      <c r="AO342" s="2069"/>
      <c r="AP342" s="2069"/>
      <c r="AQ342" s="2069"/>
      <c r="AR342" s="2069"/>
      <c r="AS342" s="2069"/>
      <c r="AT342" s="2069"/>
      <c r="AU342" s="2069"/>
      <c r="AV342" s="2069"/>
      <c r="AW342" s="2069"/>
      <c r="AX342" s="2069"/>
      <c r="AY342" s="2069"/>
      <c r="AZ342" s="2069"/>
      <c r="BA342" s="2069"/>
      <c r="BB342" s="2069"/>
      <c r="BC342" s="2069"/>
      <c r="BD342" s="2069"/>
      <c r="BE342" s="2069"/>
      <c r="BF342" s="2069"/>
      <c r="BG342" s="2069"/>
      <c r="BH342" s="2069"/>
      <c r="BI342" s="2069"/>
      <c r="BJ342" s="2069"/>
      <c r="BK342" s="2069"/>
      <c r="BL342" s="2069"/>
      <c r="BM342" s="2069"/>
      <c r="BN342" s="2069"/>
      <c r="BO342" s="2069"/>
      <c r="BP342" s="1862"/>
    </row>
    <row r="343" spans="1:68" ht="20.100000000000001" customHeight="1">
      <c r="A343" s="1842"/>
      <c r="B343" s="1847"/>
      <c r="C343" s="1847"/>
      <c r="D343" s="1848" t="s">
        <v>992</v>
      </c>
      <c r="E343" s="1848" t="s">
        <v>1087</v>
      </c>
      <c r="F343" s="1863" t="s">
        <v>1088</v>
      </c>
      <c r="G343" s="2010" t="s">
        <v>986</v>
      </c>
      <c r="H343" s="2065"/>
      <c r="I343" s="2065"/>
      <c r="J343" s="2065"/>
      <c r="K343" s="2065"/>
      <c r="L343" s="2013">
        <f t="shared" ref="L343:AA343" ca="1" si="144">SUM(L340:L342)</f>
        <v>0</v>
      </c>
      <c r="M343" s="2013">
        <f t="shared" ca="1" si="144"/>
        <v>0</v>
      </c>
      <c r="N343" s="2013">
        <f t="shared" ca="1" si="144"/>
        <v>0</v>
      </c>
      <c r="O343" s="2013">
        <f t="shared" ca="1" si="144"/>
        <v>0</v>
      </c>
      <c r="P343" s="2066">
        <f t="shared" ca="1" si="144"/>
        <v>0</v>
      </c>
      <c r="Q343" s="2066">
        <f t="shared" ca="1" si="144"/>
        <v>0</v>
      </c>
      <c r="R343" s="2066">
        <f t="shared" ca="1" si="144"/>
        <v>0</v>
      </c>
      <c r="S343" s="2066">
        <f t="shared" ca="1" si="144"/>
        <v>0</v>
      </c>
      <c r="T343" s="2013">
        <f t="shared" ca="1" si="144"/>
        <v>0</v>
      </c>
      <c r="U343" s="2013">
        <f t="shared" ca="1" si="144"/>
        <v>0</v>
      </c>
      <c r="V343" s="2013">
        <f t="shared" ca="1" si="144"/>
        <v>0</v>
      </c>
      <c r="W343" s="2013">
        <f t="shared" ca="1" si="144"/>
        <v>0</v>
      </c>
      <c r="X343" s="2069">
        <f t="shared" ca="1" si="144"/>
        <v>0</v>
      </c>
      <c r="Y343" s="2069">
        <f t="shared" ca="1" si="144"/>
        <v>0</v>
      </c>
      <c r="Z343" s="2069">
        <f t="shared" ca="1" si="144"/>
        <v>0</v>
      </c>
      <c r="AA343" s="2069">
        <f t="shared" ca="1" si="144"/>
        <v>0</v>
      </c>
      <c r="AB343" s="2069"/>
      <c r="AC343" s="2069"/>
      <c r="AD343" s="2069"/>
      <c r="AE343" s="2069"/>
      <c r="AF343" s="2069"/>
      <c r="AG343" s="2069"/>
      <c r="AH343" s="2069"/>
      <c r="AI343" s="2069"/>
      <c r="AJ343" s="2069"/>
      <c r="AK343" s="2069"/>
      <c r="AL343" s="2069"/>
      <c r="AM343" s="2069"/>
      <c r="AN343" s="2069"/>
      <c r="AO343" s="2069"/>
      <c r="AP343" s="2069"/>
      <c r="AQ343" s="2069"/>
      <c r="AR343" s="2069"/>
      <c r="AS343" s="2069"/>
      <c r="AT343" s="2069"/>
      <c r="AU343" s="2069"/>
      <c r="AV343" s="2069"/>
      <c r="AW343" s="2069"/>
      <c r="AX343" s="2069"/>
      <c r="AY343" s="2069"/>
      <c r="AZ343" s="2069"/>
      <c r="BA343" s="2069"/>
      <c r="BB343" s="2069"/>
      <c r="BC343" s="2069"/>
      <c r="BD343" s="2069"/>
      <c r="BE343" s="2069"/>
      <c r="BF343" s="2069"/>
      <c r="BG343" s="2069"/>
      <c r="BH343" s="2069"/>
      <c r="BI343" s="2069"/>
      <c r="BJ343" s="2069"/>
      <c r="BK343" s="2069"/>
      <c r="BL343" s="2069"/>
      <c r="BM343" s="2069"/>
      <c r="BN343" s="2069"/>
      <c r="BO343" s="2069"/>
      <c r="BP343" s="1862"/>
    </row>
    <row r="344" spans="1:68" ht="20.100000000000001" customHeight="1">
      <c r="A344" s="1842"/>
      <c r="B344" s="2070" t="s">
        <v>1089</v>
      </c>
      <c r="C344" s="2071"/>
      <c r="D344" s="1848"/>
      <c r="E344" s="1848" t="s">
        <v>1090</v>
      </c>
      <c r="F344" s="1863"/>
      <c r="G344" s="2010" t="s">
        <v>998</v>
      </c>
      <c r="H344" s="2065"/>
      <c r="I344" s="2065"/>
      <c r="J344" s="2065"/>
      <c r="K344" s="2065"/>
      <c r="L344" s="2013">
        <f t="shared" ref="L344:AA344" ca="1" si="145">L343*0.0258</f>
        <v>0</v>
      </c>
      <c r="M344" s="2013">
        <f t="shared" ca="1" si="145"/>
        <v>0</v>
      </c>
      <c r="N344" s="2013">
        <f t="shared" ca="1" si="145"/>
        <v>0</v>
      </c>
      <c r="O344" s="2013">
        <f t="shared" ca="1" si="145"/>
        <v>0</v>
      </c>
      <c r="P344" s="2013">
        <f t="shared" ca="1" si="145"/>
        <v>0</v>
      </c>
      <c r="Q344" s="2013">
        <f t="shared" ca="1" si="145"/>
        <v>0</v>
      </c>
      <c r="R344" s="2013">
        <f t="shared" ca="1" si="145"/>
        <v>0</v>
      </c>
      <c r="S344" s="2013">
        <f t="shared" ca="1" si="145"/>
        <v>0</v>
      </c>
      <c r="T344" s="2013">
        <f t="shared" ca="1" si="145"/>
        <v>0</v>
      </c>
      <c r="U344" s="2013">
        <f t="shared" ca="1" si="145"/>
        <v>0</v>
      </c>
      <c r="V344" s="2013">
        <f t="shared" ca="1" si="145"/>
        <v>0</v>
      </c>
      <c r="W344" s="2013">
        <f t="shared" ca="1" si="145"/>
        <v>0</v>
      </c>
      <c r="X344" s="2072">
        <f t="shared" ca="1" si="145"/>
        <v>0</v>
      </c>
      <c r="Y344" s="2072">
        <f t="shared" ca="1" si="145"/>
        <v>0</v>
      </c>
      <c r="Z344" s="2072">
        <f t="shared" ca="1" si="145"/>
        <v>0</v>
      </c>
      <c r="AA344" s="2072">
        <f t="shared" ca="1" si="145"/>
        <v>0</v>
      </c>
      <c r="AB344" s="2073"/>
      <c r="AC344" s="2073"/>
      <c r="AD344" s="2073"/>
      <c r="AE344" s="2073"/>
      <c r="AF344" s="2073"/>
      <c r="AG344" s="2073"/>
      <c r="AH344" s="2073"/>
      <c r="AI344" s="2073"/>
      <c r="AJ344" s="2073"/>
      <c r="AK344" s="2073"/>
      <c r="AL344" s="2073"/>
      <c r="AM344" s="2073"/>
      <c r="AN344" s="2073"/>
      <c r="AO344" s="2073"/>
      <c r="AP344" s="2073"/>
      <c r="AQ344" s="2073"/>
      <c r="AR344" s="2073"/>
      <c r="AS344" s="2073"/>
      <c r="AT344" s="2073"/>
      <c r="AU344" s="2073"/>
      <c r="AV344" s="2073"/>
      <c r="AW344" s="2073"/>
      <c r="AX344" s="2073"/>
      <c r="AY344" s="2073"/>
      <c r="AZ344" s="2073"/>
      <c r="BA344" s="2073"/>
      <c r="BB344" s="2073"/>
      <c r="BC344" s="2073"/>
      <c r="BD344" s="2073"/>
      <c r="BE344" s="2073"/>
      <c r="BF344" s="2073"/>
      <c r="BG344" s="2073"/>
      <c r="BH344" s="2073"/>
      <c r="BI344" s="2073"/>
      <c r="BJ344" s="2073"/>
      <c r="BK344" s="2073"/>
      <c r="BL344" s="2073"/>
      <c r="BM344" s="2073"/>
      <c r="BN344" s="2073"/>
      <c r="BO344" s="2073"/>
      <c r="BP344" s="1862"/>
    </row>
    <row r="345" spans="1:68" ht="20.100000000000001" customHeight="1">
      <c r="A345" s="1838">
        <v>4</v>
      </c>
      <c r="B345" s="1838" t="s">
        <v>1091</v>
      </c>
      <c r="C345" s="1839"/>
      <c r="D345" s="1839"/>
      <c r="E345" s="1839"/>
      <c r="F345" s="1839"/>
      <c r="G345" s="1840"/>
      <c r="H345" s="2008"/>
      <c r="I345" s="2008"/>
      <c r="J345" s="2008"/>
      <c r="K345" s="2008"/>
      <c r="L345" s="2008"/>
      <c r="M345" s="2008"/>
      <c r="N345" s="2008"/>
      <c r="O345" s="2008"/>
      <c r="P345" s="2008"/>
      <c r="Q345" s="2008"/>
      <c r="R345" s="2008"/>
      <c r="S345" s="2008"/>
      <c r="T345" s="2008"/>
      <c r="U345" s="2008"/>
      <c r="V345" s="2008"/>
      <c r="W345" s="2008"/>
      <c r="X345" s="1841"/>
      <c r="Y345" s="1841"/>
      <c r="Z345" s="1841"/>
      <c r="AA345" s="1841"/>
      <c r="AB345" s="1841"/>
      <c r="AC345" s="1841"/>
      <c r="AD345" s="1841"/>
      <c r="AE345" s="1841"/>
      <c r="AF345" s="1841"/>
      <c r="AG345" s="1841"/>
      <c r="AH345" s="1841"/>
      <c r="AI345" s="1841"/>
      <c r="AJ345" s="1841"/>
      <c r="AK345" s="1841"/>
      <c r="AL345" s="1841"/>
      <c r="AM345" s="1841"/>
      <c r="AN345" s="1841"/>
      <c r="AO345" s="1841"/>
      <c r="AP345" s="1841"/>
      <c r="AQ345" s="1841"/>
      <c r="AR345" s="1841"/>
      <c r="AS345" s="1841"/>
      <c r="AT345" s="1841"/>
      <c r="AU345" s="1841"/>
      <c r="AV345" s="1841"/>
      <c r="AW345" s="1841"/>
      <c r="AX345" s="1841"/>
      <c r="AY345" s="1841"/>
      <c r="AZ345" s="1841"/>
      <c r="BA345" s="1841"/>
      <c r="BB345" s="1841"/>
      <c r="BC345" s="1841"/>
      <c r="BD345" s="1841"/>
      <c r="BE345" s="1841"/>
      <c r="BF345" s="1841"/>
      <c r="BG345" s="1841"/>
      <c r="BH345" s="1841"/>
      <c r="BI345" s="1841"/>
      <c r="BJ345" s="1841"/>
      <c r="BK345" s="1841"/>
      <c r="BL345" s="1841"/>
      <c r="BM345" s="1841"/>
      <c r="BN345" s="1841"/>
      <c r="BO345" s="1841"/>
    </row>
    <row r="346" spans="1:68" ht="20.100000000000001" customHeight="1">
      <c r="A346" s="1842"/>
      <c r="B346" s="1838" t="str">
        <f>B257</f>
        <v>工場等に関する削減計画策定者</v>
      </c>
      <c r="C346" s="1839"/>
      <c r="D346" s="1839"/>
      <c r="E346" s="1839"/>
      <c r="F346" s="1839"/>
      <c r="G346" s="1840"/>
      <c r="H346" s="2008"/>
      <c r="I346" s="2008"/>
      <c r="J346" s="2008"/>
      <c r="K346" s="2008"/>
      <c r="L346" s="2008"/>
      <c r="M346" s="2008"/>
      <c r="N346" s="2008"/>
      <c r="O346" s="2008"/>
      <c r="P346" s="2008"/>
      <c r="Q346" s="2008"/>
      <c r="R346" s="2008"/>
      <c r="S346" s="2008"/>
      <c r="T346" s="2008"/>
      <c r="U346" s="2008"/>
      <c r="V346" s="2008"/>
      <c r="W346" s="2008"/>
      <c r="X346" s="1841"/>
      <c r="Y346" s="1841"/>
      <c r="Z346" s="1841"/>
      <c r="AA346" s="1841"/>
      <c r="AB346" s="1841"/>
      <c r="AC346" s="1841"/>
      <c r="AD346" s="1841"/>
      <c r="AE346" s="1841"/>
      <c r="AF346" s="1841"/>
      <c r="AG346" s="1841"/>
      <c r="AH346" s="1841"/>
      <c r="AI346" s="1841"/>
      <c r="AJ346" s="1841"/>
      <c r="AK346" s="1841"/>
      <c r="AL346" s="1841"/>
      <c r="AM346" s="1841"/>
      <c r="AN346" s="1841"/>
      <c r="AO346" s="1841"/>
      <c r="AP346" s="1841"/>
      <c r="AQ346" s="1841"/>
      <c r="AR346" s="1841"/>
      <c r="AS346" s="1841"/>
      <c r="AT346" s="1841"/>
      <c r="AU346" s="1841"/>
      <c r="AV346" s="1841"/>
      <c r="AW346" s="1841"/>
      <c r="AX346" s="1841"/>
      <c r="AY346" s="1841"/>
      <c r="AZ346" s="1841"/>
      <c r="BA346" s="1841"/>
      <c r="BB346" s="1841"/>
      <c r="BC346" s="1841"/>
      <c r="BD346" s="1841"/>
      <c r="BE346" s="1841"/>
      <c r="BF346" s="1841"/>
      <c r="BG346" s="1841"/>
      <c r="BH346" s="1841"/>
      <c r="BI346" s="1841"/>
      <c r="BJ346" s="1841"/>
      <c r="BK346" s="1841"/>
      <c r="BL346" s="1841"/>
      <c r="BM346" s="1841"/>
      <c r="BN346" s="1841"/>
      <c r="BO346" s="1841"/>
    </row>
    <row r="347" spans="1:68" ht="20.100000000000001" hidden="1" customHeight="1" outlineLevel="1">
      <c r="A347" s="1845"/>
      <c r="B347" s="1846" t="s">
        <v>918</v>
      </c>
      <c r="C347" s="1847" t="s">
        <v>919</v>
      </c>
      <c r="D347" s="1848" t="s">
        <v>539</v>
      </c>
      <c r="E347" s="1848"/>
      <c r="F347" s="1849"/>
      <c r="G347" s="2010" t="s">
        <v>540</v>
      </c>
      <c r="H347" s="2065"/>
      <c r="I347" s="2065"/>
      <c r="J347" s="2065"/>
      <c r="K347" s="2065"/>
      <c r="L347" s="2131"/>
      <c r="M347" s="2131"/>
      <c r="N347" s="2131"/>
      <c r="O347" s="2131"/>
      <c r="P347" s="2131"/>
      <c r="Q347" s="2131"/>
      <c r="R347" s="2131"/>
      <c r="S347" s="2131"/>
      <c r="T347" s="2131"/>
      <c r="U347" s="2131"/>
      <c r="V347" s="2131"/>
      <c r="W347" s="2131"/>
      <c r="X347" s="2132"/>
      <c r="Y347" s="2132"/>
      <c r="Z347" s="2132"/>
      <c r="AA347" s="2132"/>
      <c r="AB347" s="2132"/>
      <c r="AC347" s="2132"/>
      <c r="AD347" s="2132"/>
      <c r="AE347" s="2132"/>
      <c r="AF347" s="2132"/>
      <c r="AG347" s="2132"/>
      <c r="AH347" s="2132"/>
      <c r="AI347" s="2132"/>
      <c r="AJ347" s="2132"/>
      <c r="AK347" s="2132"/>
      <c r="AL347" s="2132"/>
      <c r="AM347" s="2132"/>
      <c r="AN347" s="2132"/>
      <c r="AO347" s="2132"/>
      <c r="AP347" s="2132"/>
      <c r="AQ347" s="2132"/>
      <c r="AR347" s="2132"/>
      <c r="AS347" s="2132"/>
      <c r="AT347" s="2132"/>
      <c r="AU347" s="2132"/>
      <c r="AV347" s="2132"/>
      <c r="AW347" s="2132"/>
      <c r="AX347" s="2132"/>
      <c r="AY347" s="2132"/>
      <c r="AZ347" s="2132"/>
      <c r="BA347" s="2132"/>
      <c r="BB347" s="2132"/>
      <c r="BC347" s="2132"/>
      <c r="BD347" s="2132"/>
      <c r="BE347" s="2132"/>
      <c r="BF347" s="2132"/>
      <c r="BG347" s="2132"/>
      <c r="BH347" s="2132"/>
      <c r="BI347" s="2132"/>
      <c r="BJ347" s="2132"/>
      <c r="BK347" s="2132"/>
      <c r="BL347" s="2132"/>
      <c r="BM347" s="2132"/>
      <c r="BN347" s="2132"/>
      <c r="BO347" s="2132"/>
    </row>
    <row r="348" spans="1:68" ht="20.100000000000001" hidden="1" customHeight="1" outlineLevel="1">
      <c r="A348" s="1845"/>
      <c r="B348" s="1854"/>
      <c r="C348" s="1847"/>
      <c r="D348" s="1848" t="s">
        <v>920</v>
      </c>
      <c r="E348" s="1848"/>
      <c r="F348" s="1849"/>
      <c r="G348" s="2010" t="s">
        <v>540</v>
      </c>
      <c r="H348" s="2065"/>
      <c r="I348" s="2065"/>
      <c r="J348" s="2065"/>
      <c r="K348" s="2065"/>
      <c r="L348" s="2131"/>
      <c r="M348" s="2131"/>
      <c r="N348" s="2131"/>
      <c r="O348" s="2131"/>
      <c r="P348" s="2131"/>
      <c r="Q348" s="2131"/>
      <c r="R348" s="2131"/>
      <c r="S348" s="2131"/>
      <c r="T348" s="2131"/>
      <c r="U348" s="2131"/>
      <c r="V348" s="2131"/>
      <c r="W348" s="2131"/>
      <c r="X348" s="2132"/>
      <c r="Y348" s="2132"/>
      <c r="Z348" s="2132"/>
      <c r="AA348" s="2132"/>
      <c r="AB348" s="2132"/>
      <c r="AC348" s="2132"/>
      <c r="AD348" s="2132"/>
      <c r="AE348" s="2132"/>
      <c r="AF348" s="2132"/>
      <c r="AG348" s="2132"/>
      <c r="AH348" s="2132"/>
      <c r="AI348" s="2132"/>
      <c r="AJ348" s="2132"/>
      <c r="AK348" s="2132"/>
      <c r="AL348" s="2132"/>
      <c r="AM348" s="2132"/>
      <c r="AN348" s="2132"/>
      <c r="AO348" s="2132"/>
      <c r="AP348" s="2132"/>
      <c r="AQ348" s="2132"/>
      <c r="AR348" s="2132"/>
      <c r="AS348" s="2132"/>
      <c r="AT348" s="2132"/>
      <c r="AU348" s="2132"/>
      <c r="AV348" s="2132"/>
      <c r="AW348" s="2132"/>
      <c r="AX348" s="2132"/>
      <c r="AY348" s="2132"/>
      <c r="AZ348" s="2132"/>
      <c r="BA348" s="2132"/>
      <c r="BB348" s="2132"/>
      <c r="BC348" s="2132"/>
      <c r="BD348" s="2132"/>
      <c r="BE348" s="2132"/>
      <c r="BF348" s="2132"/>
      <c r="BG348" s="2132"/>
      <c r="BH348" s="2132"/>
      <c r="BI348" s="2132"/>
      <c r="BJ348" s="2132"/>
      <c r="BK348" s="2132"/>
      <c r="BL348" s="2132"/>
      <c r="BM348" s="2132"/>
      <c r="BN348" s="2132"/>
      <c r="BO348" s="2132"/>
    </row>
    <row r="349" spans="1:68" ht="20.100000000000001" hidden="1" customHeight="1" outlineLevel="1">
      <c r="A349" s="1845"/>
      <c r="B349" s="1855"/>
      <c r="C349" s="1847"/>
      <c r="D349" s="1848" t="s">
        <v>921</v>
      </c>
      <c r="E349" s="1848"/>
      <c r="F349" s="1849"/>
      <c r="G349" s="2010" t="s">
        <v>540</v>
      </c>
      <c r="H349" s="2065"/>
      <c r="I349" s="2065"/>
      <c r="J349" s="2065"/>
      <c r="K349" s="2065"/>
      <c r="L349" s="2131"/>
      <c r="M349" s="2131"/>
      <c r="N349" s="2131"/>
      <c r="O349" s="2131"/>
      <c r="P349" s="2131"/>
      <c r="Q349" s="2131"/>
      <c r="R349" s="2131"/>
      <c r="S349" s="2131"/>
      <c r="T349" s="2131"/>
      <c r="U349" s="2131"/>
      <c r="V349" s="2131"/>
      <c r="W349" s="2131"/>
      <c r="X349" s="2132"/>
      <c r="Y349" s="2132"/>
      <c r="Z349" s="2132"/>
      <c r="AA349" s="2132"/>
      <c r="AB349" s="2132"/>
      <c r="AC349" s="2132"/>
      <c r="AD349" s="2132"/>
      <c r="AE349" s="2132"/>
      <c r="AF349" s="2132"/>
      <c r="AG349" s="2132"/>
      <c r="AH349" s="2132"/>
      <c r="AI349" s="2132"/>
      <c r="AJ349" s="2132"/>
      <c r="AK349" s="2132"/>
      <c r="AL349" s="2132"/>
      <c r="AM349" s="2132"/>
      <c r="AN349" s="2132"/>
      <c r="AO349" s="2132"/>
      <c r="AP349" s="2132"/>
      <c r="AQ349" s="2132"/>
      <c r="AR349" s="2132"/>
      <c r="AS349" s="2132"/>
      <c r="AT349" s="2132"/>
      <c r="AU349" s="2132"/>
      <c r="AV349" s="2132"/>
      <c r="AW349" s="2132"/>
      <c r="AX349" s="2132"/>
      <c r="AY349" s="2132"/>
      <c r="AZ349" s="2132"/>
      <c r="BA349" s="2132"/>
      <c r="BB349" s="2132"/>
      <c r="BC349" s="2132"/>
      <c r="BD349" s="2132"/>
      <c r="BE349" s="2132"/>
      <c r="BF349" s="2132"/>
      <c r="BG349" s="2132"/>
      <c r="BH349" s="2132"/>
      <c r="BI349" s="2132"/>
      <c r="BJ349" s="2132"/>
      <c r="BK349" s="2132"/>
      <c r="BL349" s="2132"/>
      <c r="BM349" s="2132"/>
      <c r="BN349" s="2132"/>
      <c r="BO349" s="2132"/>
    </row>
    <row r="350" spans="1:68" ht="20.100000000000001" hidden="1" customHeight="1" outlineLevel="1">
      <c r="A350" s="1845"/>
      <c r="B350" s="1854"/>
      <c r="C350" s="1847"/>
      <c r="D350" s="1848" t="s">
        <v>542</v>
      </c>
      <c r="E350" s="1848"/>
      <c r="F350" s="1849"/>
      <c r="G350" s="2010" t="s">
        <v>540</v>
      </c>
      <c r="H350" s="2065"/>
      <c r="I350" s="2065"/>
      <c r="J350" s="2065"/>
      <c r="K350" s="2065"/>
      <c r="L350" s="2131"/>
      <c r="M350" s="2131"/>
      <c r="N350" s="2131"/>
      <c r="O350" s="2131"/>
      <c r="P350" s="2131"/>
      <c r="Q350" s="2131"/>
      <c r="R350" s="2131"/>
      <c r="S350" s="2131"/>
      <c r="T350" s="2131"/>
      <c r="U350" s="2131"/>
      <c r="V350" s="2131"/>
      <c r="W350" s="2131"/>
      <c r="X350" s="2132"/>
      <c r="Y350" s="2132"/>
      <c r="Z350" s="2132"/>
      <c r="AA350" s="2132"/>
      <c r="AB350" s="2132"/>
      <c r="AC350" s="2132"/>
      <c r="AD350" s="2132"/>
      <c r="AE350" s="2132"/>
      <c r="AF350" s="2132"/>
      <c r="AG350" s="2132"/>
      <c r="AH350" s="2132"/>
      <c r="AI350" s="2132"/>
      <c r="AJ350" s="2132"/>
      <c r="AK350" s="2132"/>
      <c r="AL350" s="2132"/>
      <c r="AM350" s="2132"/>
      <c r="AN350" s="2132"/>
      <c r="AO350" s="2132"/>
      <c r="AP350" s="2132"/>
      <c r="AQ350" s="2132"/>
      <c r="AR350" s="2132"/>
      <c r="AS350" s="2132"/>
      <c r="AT350" s="2132"/>
      <c r="AU350" s="2132"/>
      <c r="AV350" s="2132"/>
      <c r="AW350" s="2132"/>
      <c r="AX350" s="2132"/>
      <c r="AY350" s="2132"/>
      <c r="AZ350" s="2132"/>
      <c r="BA350" s="2132"/>
      <c r="BB350" s="2132"/>
      <c r="BC350" s="2132"/>
      <c r="BD350" s="2132"/>
      <c r="BE350" s="2132"/>
      <c r="BF350" s="2132"/>
      <c r="BG350" s="2132"/>
      <c r="BH350" s="2132"/>
      <c r="BI350" s="2132"/>
      <c r="BJ350" s="2132"/>
      <c r="BK350" s="2132"/>
      <c r="BL350" s="2132"/>
      <c r="BM350" s="2132"/>
      <c r="BN350" s="2132"/>
      <c r="BO350" s="2132"/>
    </row>
    <row r="351" spans="1:68" ht="20.100000000000001" hidden="1" customHeight="1" outlineLevel="1">
      <c r="A351" s="1845"/>
      <c r="B351" s="1854"/>
      <c r="C351" s="1847"/>
      <c r="D351" s="1848" t="s">
        <v>922</v>
      </c>
      <c r="E351" s="1848"/>
      <c r="F351" s="1849"/>
      <c r="G351" s="2010" t="s">
        <v>540</v>
      </c>
      <c r="H351" s="2065"/>
      <c r="I351" s="2065"/>
      <c r="J351" s="2065"/>
      <c r="K351" s="2065"/>
      <c r="L351" s="2131"/>
      <c r="M351" s="2131"/>
      <c r="N351" s="2131"/>
      <c r="O351" s="2131"/>
      <c r="P351" s="2131"/>
      <c r="Q351" s="2131"/>
      <c r="R351" s="2131"/>
      <c r="S351" s="2131"/>
      <c r="T351" s="2131"/>
      <c r="U351" s="2131"/>
      <c r="V351" s="2131"/>
      <c r="W351" s="2131"/>
      <c r="X351" s="2132"/>
      <c r="Y351" s="2132"/>
      <c r="Z351" s="2132"/>
      <c r="AA351" s="2132"/>
      <c r="AB351" s="2132"/>
      <c r="AC351" s="2132"/>
      <c r="AD351" s="2132"/>
      <c r="AE351" s="2132"/>
      <c r="AF351" s="2132"/>
      <c r="AG351" s="2132"/>
      <c r="AH351" s="2132"/>
      <c r="AI351" s="2132"/>
      <c r="AJ351" s="2132"/>
      <c r="AK351" s="2132"/>
      <c r="AL351" s="2132"/>
      <c r="AM351" s="2132"/>
      <c r="AN351" s="2132"/>
      <c r="AO351" s="2132"/>
      <c r="AP351" s="2132"/>
      <c r="AQ351" s="2132"/>
      <c r="AR351" s="2132"/>
      <c r="AS351" s="2132"/>
      <c r="AT351" s="2132"/>
      <c r="AU351" s="2132"/>
      <c r="AV351" s="2132"/>
      <c r="AW351" s="2132"/>
      <c r="AX351" s="2132"/>
      <c r="AY351" s="2132"/>
      <c r="AZ351" s="2132"/>
      <c r="BA351" s="2132"/>
      <c r="BB351" s="2132"/>
      <c r="BC351" s="2132"/>
      <c r="BD351" s="2132"/>
      <c r="BE351" s="2132"/>
      <c r="BF351" s="2132"/>
      <c r="BG351" s="2132"/>
      <c r="BH351" s="2132"/>
      <c r="BI351" s="2132"/>
      <c r="BJ351" s="2132"/>
      <c r="BK351" s="2132"/>
      <c r="BL351" s="2132"/>
      <c r="BM351" s="2132"/>
      <c r="BN351" s="2132"/>
      <c r="BO351" s="2132"/>
    </row>
    <row r="352" spans="1:68" ht="20.100000000000001" hidden="1" customHeight="1" outlineLevel="1">
      <c r="A352" s="1845"/>
      <c r="B352" s="1855"/>
      <c r="C352" s="1847"/>
      <c r="D352" s="1848" t="s">
        <v>543</v>
      </c>
      <c r="E352" s="1848"/>
      <c r="F352" s="1849"/>
      <c r="G352" s="2010" t="s">
        <v>540</v>
      </c>
      <c r="H352" s="2065"/>
      <c r="I352" s="2065"/>
      <c r="J352" s="2065"/>
      <c r="K352" s="2065"/>
      <c r="L352" s="2131"/>
      <c r="M352" s="2131"/>
      <c r="N352" s="2131"/>
      <c r="O352" s="2131"/>
      <c r="P352" s="2131"/>
      <c r="Q352" s="2131"/>
      <c r="R352" s="2131"/>
      <c r="S352" s="2131"/>
      <c r="T352" s="2131"/>
      <c r="U352" s="2131"/>
      <c r="V352" s="2131"/>
      <c r="W352" s="2131"/>
      <c r="X352" s="2132"/>
      <c r="Y352" s="2132"/>
      <c r="Z352" s="2132"/>
      <c r="AA352" s="2132"/>
      <c r="AB352" s="2132"/>
      <c r="AC352" s="2132"/>
      <c r="AD352" s="2132"/>
      <c r="AE352" s="2132"/>
      <c r="AF352" s="2132"/>
      <c r="AG352" s="2132"/>
      <c r="AH352" s="2132"/>
      <c r="AI352" s="2132"/>
      <c r="AJ352" s="2132"/>
      <c r="AK352" s="2132"/>
      <c r="AL352" s="2132"/>
      <c r="AM352" s="2132"/>
      <c r="AN352" s="2132"/>
      <c r="AO352" s="2132"/>
      <c r="AP352" s="2132"/>
      <c r="AQ352" s="2132"/>
      <c r="AR352" s="2132"/>
      <c r="AS352" s="2132"/>
      <c r="AT352" s="2132"/>
      <c r="AU352" s="2132"/>
      <c r="AV352" s="2132"/>
      <c r="AW352" s="2132"/>
      <c r="AX352" s="2132"/>
      <c r="AY352" s="2132"/>
      <c r="AZ352" s="2132"/>
      <c r="BA352" s="2132"/>
      <c r="BB352" s="2132"/>
      <c r="BC352" s="2132"/>
      <c r="BD352" s="2132"/>
      <c r="BE352" s="2132"/>
      <c r="BF352" s="2132"/>
      <c r="BG352" s="2132"/>
      <c r="BH352" s="2132"/>
      <c r="BI352" s="2132"/>
      <c r="BJ352" s="2132"/>
      <c r="BK352" s="2132"/>
      <c r="BL352" s="2132"/>
      <c r="BM352" s="2132"/>
      <c r="BN352" s="2132"/>
      <c r="BO352" s="2132"/>
    </row>
    <row r="353" spans="1:67" ht="20.100000000000001" hidden="1" customHeight="1" outlineLevel="1">
      <c r="A353" s="1845"/>
      <c r="B353" s="1855"/>
      <c r="C353" s="1847"/>
      <c r="D353" s="1848" t="s">
        <v>544</v>
      </c>
      <c r="E353" s="1848"/>
      <c r="F353" s="1849"/>
      <c r="G353" s="2010" t="s">
        <v>540</v>
      </c>
      <c r="H353" s="2065"/>
      <c r="I353" s="2065"/>
      <c r="J353" s="2065"/>
      <c r="K353" s="2065"/>
      <c r="L353" s="2131"/>
      <c r="M353" s="2131"/>
      <c r="N353" s="2131"/>
      <c r="O353" s="2131"/>
      <c r="P353" s="2131"/>
      <c r="Q353" s="2131"/>
      <c r="R353" s="2131"/>
      <c r="S353" s="2131"/>
      <c r="T353" s="2131"/>
      <c r="U353" s="2131"/>
      <c r="V353" s="2131"/>
      <c r="W353" s="2131"/>
      <c r="X353" s="2132"/>
      <c r="Y353" s="2132"/>
      <c r="Z353" s="2132"/>
      <c r="AA353" s="2132"/>
      <c r="AB353" s="2132"/>
      <c r="AC353" s="2132"/>
      <c r="AD353" s="2132"/>
      <c r="AE353" s="2132"/>
      <c r="AF353" s="2132"/>
      <c r="AG353" s="2132"/>
      <c r="AH353" s="2132"/>
      <c r="AI353" s="2132"/>
      <c r="AJ353" s="2132"/>
      <c r="AK353" s="2132"/>
      <c r="AL353" s="2132"/>
      <c r="AM353" s="2132"/>
      <c r="AN353" s="2132"/>
      <c r="AO353" s="2132"/>
      <c r="AP353" s="2132"/>
      <c r="AQ353" s="2132"/>
      <c r="AR353" s="2132"/>
      <c r="AS353" s="2132"/>
      <c r="AT353" s="2132"/>
      <c r="AU353" s="2132"/>
      <c r="AV353" s="2132"/>
      <c r="AW353" s="2132"/>
      <c r="AX353" s="2132"/>
      <c r="AY353" s="2132"/>
      <c r="AZ353" s="2132"/>
      <c r="BA353" s="2132"/>
      <c r="BB353" s="2132"/>
      <c r="BC353" s="2132"/>
      <c r="BD353" s="2132"/>
      <c r="BE353" s="2132"/>
      <c r="BF353" s="2132"/>
      <c r="BG353" s="2132"/>
      <c r="BH353" s="2132"/>
      <c r="BI353" s="2132"/>
      <c r="BJ353" s="2132"/>
      <c r="BK353" s="2132"/>
      <c r="BL353" s="2132"/>
      <c r="BM353" s="2132"/>
      <c r="BN353" s="2132"/>
      <c r="BO353" s="2132"/>
    </row>
    <row r="354" spans="1:67" ht="20.100000000000001" hidden="1" customHeight="1" outlineLevel="1">
      <c r="A354" s="1845"/>
      <c r="B354" s="1854"/>
      <c r="C354" s="1847"/>
      <c r="D354" s="1848" t="s">
        <v>545</v>
      </c>
      <c r="E354" s="1848"/>
      <c r="F354" s="1849"/>
      <c r="G354" s="2010" t="s">
        <v>540</v>
      </c>
      <c r="H354" s="2065"/>
      <c r="I354" s="2065"/>
      <c r="J354" s="2065"/>
      <c r="K354" s="2065"/>
      <c r="L354" s="2131"/>
      <c r="M354" s="2131"/>
      <c r="N354" s="2131"/>
      <c r="O354" s="2131"/>
      <c r="P354" s="2131"/>
      <c r="Q354" s="2131"/>
      <c r="R354" s="2131"/>
      <c r="S354" s="2131"/>
      <c r="T354" s="2131"/>
      <c r="U354" s="2131"/>
      <c r="V354" s="2131"/>
      <c r="W354" s="2131"/>
      <c r="X354" s="2132"/>
      <c r="Y354" s="2132"/>
      <c r="Z354" s="2132"/>
      <c r="AA354" s="2132"/>
      <c r="AB354" s="2132"/>
      <c r="AC354" s="2132"/>
      <c r="AD354" s="2132"/>
      <c r="AE354" s="2132"/>
      <c r="AF354" s="2132"/>
      <c r="AG354" s="2132"/>
      <c r="AH354" s="2132"/>
      <c r="AI354" s="2132"/>
      <c r="AJ354" s="2132"/>
      <c r="AK354" s="2132"/>
      <c r="AL354" s="2132"/>
      <c r="AM354" s="2132"/>
      <c r="AN354" s="2132"/>
      <c r="AO354" s="2132"/>
      <c r="AP354" s="2132"/>
      <c r="AQ354" s="2132"/>
      <c r="AR354" s="2132"/>
      <c r="AS354" s="2132"/>
      <c r="AT354" s="2132"/>
      <c r="AU354" s="2132"/>
      <c r="AV354" s="2132"/>
      <c r="AW354" s="2132"/>
      <c r="AX354" s="2132"/>
      <c r="AY354" s="2132"/>
      <c r="AZ354" s="2132"/>
      <c r="BA354" s="2132"/>
      <c r="BB354" s="2132"/>
      <c r="BC354" s="2132"/>
      <c r="BD354" s="2132"/>
      <c r="BE354" s="2132"/>
      <c r="BF354" s="2132"/>
      <c r="BG354" s="2132"/>
      <c r="BH354" s="2132"/>
      <c r="BI354" s="2132"/>
      <c r="BJ354" s="2132"/>
      <c r="BK354" s="2132"/>
      <c r="BL354" s="2132"/>
      <c r="BM354" s="2132"/>
      <c r="BN354" s="2132"/>
      <c r="BO354" s="2132"/>
    </row>
    <row r="355" spans="1:67" ht="20.100000000000001" hidden="1" customHeight="1" outlineLevel="1">
      <c r="A355" s="1845"/>
      <c r="B355" s="1854"/>
      <c r="C355" s="1847"/>
      <c r="D355" s="1848" t="s">
        <v>546</v>
      </c>
      <c r="E355" s="1837"/>
      <c r="F355" s="1849"/>
      <c r="G355" s="2010" t="s">
        <v>540</v>
      </c>
      <c r="H355" s="2065"/>
      <c r="I355" s="2065"/>
      <c r="J355" s="2065"/>
      <c r="K355" s="2065"/>
      <c r="L355" s="2131"/>
      <c r="M355" s="2131"/>
      <c r="N355" s="2131"/>
      <c r="O355" s="2131"/>
      <c r="P355" s="2131"/>
      <c r="Q355" s="2131"/>
      <c r="R355" s="2131"/>
      <c r="S355" s="2131"/>
      <c r="T355" s="2131"/>
      <c r="U355" s="2131"/>
      <c r="V355" s="2131"/>
      <c r="W355" s="2131"/>
      <c r="X355" s="2132"/>
      <c r="Y355" s="2132"/>
      <c r="Z355" s="2132"/>
      <c r="AA355" s="2132"/>
      <c r="AB355" s="2132"/>
      <c r="AC355" s="2132"/>
      <c r="AD355" s="2132"/>
      <c r="AE355" s="2132"/>
      <c r="AF355" s="2132"/>
      <c r="AG355" s="2132"/>
      <c r="AH355" s="2132"/>
      <c r="AI355" s="2132"/>
      <c r="AJ355" s="2132"/>
      <c r="AK355" s="2132"/>
      <c r="AL355" s="2132"/>
      <c r="AM355" s="2132"/>
      <c r="AN355" s="2132"/>
      <c r="AO355" s="2132"/>
      <c r="AP355" s="2132"/>
      <c r="AQ355" s="2132"/>
      <c r="AR355" s="2132"/>
      <c r="AS355" s="2132"/>
      <c r="AT355" s="2132"/>
      <c r="AU355" s="2132"/>
      <c r="AV355" s="2132"/>
      <c r="AW355" s="2132"/>
      <c r="AX355" s="2132"/>
      <c r="AY355" s="2132"/>
      <c r="AZ355" s="2132"/>
      <c r="BA355" s="2132"/>
      <c r="BB355" s="2132"/>
      <c r="BC355" s="2132"/>
      <c r="BD355" s="2132"/>
      <c r="BE355" s="2132"/>
      <c r="BF355" s="2132"/>
      <c r="BG355" s="2132"/>
      <c r="BH355" s="2132"/>
      <c r="BI355" s="2132"/>
      <c r="BJ355" s="2132"/>
      <c r="BK355" s="2132"/>
      <c r="BL355" s="2132"/>
      <c r="BM355" s="2132"/>
      <c r="BN355" s="2132"/>
      <c r="BO355" s="2132"/>
    </row>
    <row r="356" spans="1:67" ht="20.100000000000001" hidden="1" customHeight="1" outlineLevel="1">
      <c r="A356" s="1845"/>
      <c r="B356" s="1854"/>
      <c r="C356" s="1847"/>
      <c r="D356" s="1848" t="s">
        <v>547</v>
      </c>
      <c r="E356" s="1848"/>
      <c r="F356" s="1849"/>
      <c r="G356" s="2010" t="s">
        <v>548</v>
      </c>
      <c r="H356" s="2065"/>
      <c r="I356" s="2065"/>
      <c r="J356" s="2065"/>
      <c r="K356" s="2065"/>
      <c r="L356" s="2131"/>
      <c r="M356" s="2131"/>
      <c r="N356" s="2131"/>
      <c r="O356" s="2131"/>
      <c r="P356" s="2131"/>
      <c r="Q356" s="2131"/>
      <c r="R356" s="2131"/>
      <c r="S356" s="2131"/>
      <c r="T356" s="2131"/>
      <c r="U356" s="2131"/>
      <c r="V356" s="2131"/>
      <c r="W356" s="2131"/>
      <c r="X356" s="2132"/>
      <c r="Y356" s="2132"/>
      <c r="Z356" s="2132"/>
      <c r="AA356" s="2132"/>
      <c r="AB356" s="2132"/>
      <c r="AC356" s="2132"/>
      <c r="AD356" s="2132"/>
      <c r="AE356" s="2132"/>
      <c r="AF356" s="2132"/>
      <c r="AG356" s="2132"/>
      <c r="AH356" s="2132"/>
      <c r="AI356" s="2132"/>
      <c r="AJ356" s="2132"/>
      <c r="AK356" s="2132"/>
      <c r="AL356" s="2132"/>
      <c r="AM356" s="2132"/>
      <c r="AN356" s="2132"/>
      <c r="AO356" s="2132"/>
      <c r="AP356" s="2132"/>
      <c r="AQ356" s="2132"/>
      <c r="AR356" s="2132"/>
      <c r="AS356" s="2132"/>
      <c r="AT356" s="2132"/>
      <c r="AU356" s="2132"/>
      <c r="AV356" s="2132"/>
      <c r="AW356" s="2132"/>
      <c r="AX356" s="2132"/>
      <c r="AY356" s="2132"/>
      <c r="AZ356" s="2132"/>
      <c r="BA356" s="2132"/>
      <c r="BB356" s="2132"/>
      <c r="BC356" s="2132"/>
      <c r="BD356" s="2132"/>
      <c r="BE356" s="2132"/>
      <c r="BF356" s="2132"/>
      <c r="BG356" s="2132"/>
      <c r="BH356" s="2132"/>
      <c r="BI356" s="2132"/>
      <c r="BJ356" s="2132"/>
      <c r="BK356" s="2132"/>
      <c r="BL356" s="2132"/>
      <c r="BM356" s="2132"/>
      <c r="BN356" s="2132"/>
      <c r="BO356" s="2132"/>
    </row>
    <row r="357" spans="1:67" ht="20.100000000000001" hidden="1" customHeight="1" outlineLevel="1">
      <c r="A357" s="1845"/>
      <c r="B357" s="1854"/>
      <c r="C357" s="1847"/>
      <c r="D357" s="1848" t="s">
        <v>549</v>
      </c>
      <c r="E357" s="1848"/>
      <c r="F357" s="1849"/>
      <c r="G357" s="2010" t="s">
        <v>548</v>
      </c>
      <c r="H357" s="2065"/>
      <c r="I357" s="2065"/>
      <c r="J357" s="2065"/>
      <c r="K357" s="2065"/>
      <c r="L357" s="2131"/>
      <c r="M357" s="2131"/>
      <c r="N357" s="2131"/>
      <c r="O357" s="2131"/>
      <c r="P357" s="2131"/>
      <c r="Q357" s="2131"/>
      <c r="R357" s="2131"/>
      <c r="S357" s="2131"/>
      <c r="T357" s="2131"/>
      <c r="U357" s="2131"/>
      <c r="V357" s="2131"/>
      <c r="W357" s="2131"/>
      <c r="X357" s="2132"/>
      <c r="Y357" s="2132"/>
      <c r="Z357" s="2132"/>
      <c r="AA357" s="2132"/>
      <c r="AB357" s="2132"/>
      <c r="AC357" s="2132"/>
      <c r="AD357" s="2132"/>
      <c r="AE357" s="2132"/>
      <c r="AF357" s="2132"/>
      <c r="AG357" s="2132"/>
      <c r="AH357" s="2132"/>
      <c r="AI357" s="2132"/>
      <c r="AJ357" s="2132"/>
      <c r="AK357" s="2132"/>
      <c r="AL357" s="2132"/>
      <c r="AM357" s="2132"/>
      <c r="AN357" s="2132"/>
      <c r="AO357" s="2132"/>
      <c r="AP357" s="2132"/>
      <c r="AQ357" s="2132"/>
      <c r="AR357" s="2132"/>
      <c r="AS357" s="2132"/>
      <c r="AT357" s="2132"/>
      <c r="AU357" s="2132"/>
      <c r="AV357" s="2132"/>
      <c r="AW357" s="2132"/>
      <c r="AX357" s="2132"/>
      <c r="AY357" s="2132"/>
      <c r="AZ357" s="2132"/>
      <c r="BA357" s="2132"/>
      <c r="BB357" s="2132"/>
      <c r="BC357" s="2132"/>
      <c r="BD357" s="2132"/>
      <c r="BE357" s="2132"/>
      <c r="BF357" s="2132"/>
      <c r="BG357" s="2132"/>
      <c r="BH357" s="2132"/>
      <c r="BI357" s="2132"/>
      <c r="BJ357" s="2132"/>
      <c r="BK357" s="2132"/>
      <c r="BL357" s="2132"/>
      <c r="BM357" s="2132"/>
      <c r="BN357" s="2132"/>
      <c r="BO357" s="2132"/>
    </row>
    <row r="358" spans="1:67" ht="20.100000000000001" hidden="1" customHeight="1" outlineLevel="1">
      <c r="A358" s="1845"/>
      <c r="B358" s="1855"/>
      <c r="C358" s="1847"/>
      <c r="D358" s="1848" t="s">
        <v>923</v>
      </c>
      <c r="E358" s="1848"/>
      <c r="F358" s="1849"/>
      <c r="G358" s="2010" t="s">
        <v>548</v>
      </c>
      <c r="H358" s="2065"/>
      <c r="I358" s="2065"/>
      <c r="J358" s="2065"/>
      <c r="K358" s="2065"/>
      <c r="L358" s="2131"/>
      <c r="M358" s="2131"/>
      <c r="N358" s="2131"/>
      <c r="O358" s="2131"/>
      <c r="P358" s="2131"/>
      <c r="Q358" s="2131"/>
      <c r="R358" s="2131"/>
      <c r="S358" s="2131"/>
      <c r="T358" s="2131"/>
      <c r="U358" s="2131"/>
      <c r="V358" s="2131"/>
      <c r="W358" s="2131"/>
      <c r="X358" s="2132"/>
      <c r="Y358" s="2132"/>
      <c r="Z358" s="2132"/>
      <c r="AA358" s="2132"/>
      <c r="AB358" s="2132"/>
      <c r="AC358" s="2132"/>
      <c r="AD358" s="2132"/>
      <c r="AE358" s="2132"/>
      <c r="AF358" s="2132"/>
      <c r="AG358" s="2132"/>
      <c r="AH358" s="2132"/>
      <c r="AI358" s="2132"/>
      <c r="AJ358" s="2132"/>
      <c r="AK358" s="2132"/>
      <c r="AL358" s="2132"/>
      <c r="AM358" s="2132"/>
      <c r="AN358" s="2132"/>
      <c r="AO358" s="2132"/>
      <c r="AP358" s="2132"/>
      <c r="AQ358" s="2132"/>
      <c r="AR358" s="2132"/>
      <c r="AS358" s="2132"/>
      <c r="AT358" s="2132"/>
      <c r="AU358" s="2132"/>
      <c r="AV358" s="2132"/>
      <c r="AW358" s="2132"/>
      <c r="AX358" s="2132"/>
      <c r="AY358" s="2132"/>
      <c r="AZ358" s="2132"/>
      <c r="BA358" s="2132"/>
      <c r="BB358" s="2132"/>
      <c r="BC358" s="2132"/>
      <c r="BD358" s="2132"/>
      <c r="BE358" s="2132"/>
      <c r="BF358" s="2132"/>
      <c r="BG358" s="2132"/>
      <c r="BH358" s="2132"/>
      <c r="BI358" s="2132"/>
      <c r="BJ358" s="2132"/>
      <c r="BK358" s="2132"/>
      <c r="BL358" s="2132"/>
      <c r="BM358" s="2132"/>
      <c r="BN358" s="2132"/>
      <c r="BO358" s="2132"/>
    </row>
    <row r="359" spans="1:67" ht="20.100000000000001" hidden="1" customHeight="1" outlineLevel="1">
      <c r="A359" s="1845"/>
      <c r="B359" s="1854"/>
      <c r="C359" s="1847"/>
      <c r="D359" s="1848" t="s">
        <v>924</v>
      </c>
      <c r="E359" s="1848"/>
      <c r="F359" s="1849"/>
      <c r="G359" s="2010" t="s">
        <v>553</v>
      </c>
      <c r="H359" s="2065"/>
      <c r="I359" s="2065"/>
      <c r="J359" s="2065"/>
      <c r="K359" s="2065"/>
      <c r="L359" s="2131"/>
      <c r="M359" s="2131"/>
      <c r="N359" s="2131"/>
      <c r="O359" s="2131"/>
      <c r="P359" s="2131"/>
      <c r="Q359" s="2131"/>
      <c r="R359" s="2131"/>
      <c r="S359" s="2131"/>
      <c r="T359" s="2131"/>
      <c r="U359" s="2131"/>
      <c r="V359" s="2131"/>
      <c r="W359" s="2131"/>
      <c r="X359" s="2132"/>
      <c r="Y359" s="2132"/>
      <c r="Z359" s="2132"/>
      <c r="AA359" s="2132"/>
      <c r="AB359" s="2132"/>
      <c r="AC359" s="2132"/>
      <c r="AD359" s="2132"/>
      <c r="AE359" s="2132"/>
      <c r="AF359" s="2132"/>
      <c r="AG359" s="2132"/>
      <c r="AH359" s="2132"/>
      <c r="AI359" s="2132"/>
      <c r="AJ359" s="2132"/>
      <c r="AK359" s="2132"/>
      <c r="AL359" s="2132"/>
      <c r="AM359" s="2132"/>
      <c r="AN359" s="2132"/>
      <c r="AO359" s="2132"/>
      <c r="AP359" s="2132"/>
      <c r="AQ359" s="2132"/>
      <c r="AR359" s="2132"/>
      <c r="AS359" s="2132"/>
      <c r="AT359" s="2132"/>
      <c r="AU359" s="2132"/>
      <c r="AV359" s="2132"/>
      <c r="AW359" s="2132"/>
      <c r="AX359" s="2132"/>
      <c r="AY359" s="2132"/>
      <c r="AZ359" s="2132"/>
      <c r="BA359" s="2132"/>
      <c r="BB359" s="2132"/>
      <c r="BC359" s="2132"/>
      <c r="BD359" s="2132"/>
      <c r="BE359" s="2132"/>
      <c r="BF359" s="2132"/>
      <c r="BG359" s="2132"/>
      <c r="BH359" s="2132"/>
      <c r="BI359" s="2132"/>
      <c r="BJ359" s="2132"/>
      <c r="BK359" s="2132"/>
      <c r="BL359" s="2132"/>
      <c r="BM359" s="2132"/>
      <c r="BN359" s="2132"/>
      <c r="BO359" s="2132"/>
    </row>
    <row r="360" spans="1:67" ht="20.100000000000001" hidden="1" customHeight="1" outlineLevel="1">
      <c r="A360" s="1845"/>
      <c r="B360" s="1855"/>
      <c r="C360" s="1847"/>
      <c r="D360" s="1848" t="s">
        <v>925</v>
      </c>
      <c r="E360" s="1837"/>
      <c r="F360" s="1849"/>
      <c r="G360" s="2010" t="s">
        <v>548</v>
      </c>
      <c r="H360" s="2065"/>
      <c r="I360" s="2065"/>
      <c r="J360" s="2065"/>
      <c r="K360" s="2065"/>
      <c r="L360" s="2131"/>
      <c r="M360" s="2131"/>
      <c r="N360" s="2131"/>
      <c r="O360" s="2131"/>
      <c r="P360" s="2131"/>
      <c r="Q360" s="2131"/>
      <c r="R360" s="2131"/>
      <c r="S360" s="2131"/>
      <c r="T360" s="2131"/>
      <c r="U360" s="2131"/>
      <c r="V360" s="2131"/>
      <c r="W360" s="2131"/>
      <c r="X360" s="2132"/>
      <c r="Y360" s="2132"/>
      <c r="Z360" s="2132"/>
      <c r="AA360" s="2132"/>
      <c r="AB360" s="2132"/>
      <c r="AC360" s="2132"/>
      <c r="AD360" s="2132"/>
      <c r="AE360" s="2132"/>
      <c r="AF360" s="2132"/>
      <c r="AG360" s="2132"/>
      <c r="AH360" s="2132"/>
      <c r="AI360" s="2132"/>
      <c r="AJ360" s="2132"/>
      <c r="AK360" s="2132"/>
      <c r="AL360" s="2132"/>
      <c r="AM360" s="2132"/>
      <c r="AN360" s="2132"/>
      <c r="AO360" s="2132"/>
      <c r="AP360" s="2132"/>
      <c r="AQ360" s="2132"/>
      <c r="AR360" s="2132"/>
      <c r="AS360" s="2132"/>
      <c r="AT360" s="2132"/>
      <c r="AU360" s="2132"/>
      <c r="AV360" s="2132"/>
      <c r="AW360" s="2132"/>
      <c r="AX360" s="2132"/>
      <c r="AY360" s="2132"/>
      <c r="AZ360" s="2132"/>
      <c r="BA360" s="2132"/>
      <c r="BB360" s="2132"/>
      <c r="BC360" s="2132"/>
      <c r="BD360" s="2132"/>
      <c r="BE360" s="2132"/>
      <c r="BF360" s="2132"/>
      <c r="BG360" s="2132"/>
      <c r="BH360" s="2132"/>
      <c r="BI360" s="2132"/>
      <c r="BJ360" s="2132"/>
      <c r="BK360" s="2132"/>
      <c r="BL360" s="2132"/>
      <c r="BM360" s="2132"/>
      <c r="BN360" s="2132"/>
      <c r="BO360" s="2132"/>
    </row>
    <row r="361" spans="1:67" ht="20.100000000000001" hidden="1" customHeight="1" outlineLevel="1">
      <c r="A361" s="1845"/>
      <c r="B361" s="1854"/>
      <c r="C361" s="1847"/>
      <c r="D361" s="1848" t="s">
        <v>926</v>
      </c>
      <c r="E361" s="1848"/>
      <c r="F361" s="1849"/>
      <c r="G361" s="2010" t="s">
        <v>553</v>
      </c>
      <c r="H361" s="2065"/>
      <c r="I361" s="2065"/>
      <c r="J361" s="2065"/>
      <c r="K361" s="2065"/>
      <c r="L361" s="2131"/>
      <c r="M361" s="2131"/>
      <c r="N361" s="2131"/>
      <c r="O361" s="2131"/>
      <c r="P361" s="2131"/>
      <c r="Q361" s="2131"/>
      <c r="R361" s="2131"/>
      <c r="S361" s="2131"/>
      <c r="T361" s="2131"/>
      <c r="U361" s="2131"/>
      <c r="V361" s="2131"/>
      <c r="W361" s="2131"/>
      <c r="X361" s="2132"/>
      <c r="Y361" s="2132"/>
      <c r="Z361" s="2132"/>
      <c r="AA361" s="2132"/>
      <c r="AB361" s="2132"/>
      <c r="AC361" s="2132"/>
      <c r="AD361" s="2132"/>
      <c r="AE361" s="2132"/>
      <c r="AF361" s="2132"/>
      <c r="AG361" s="2132"/>
      <c r="AH361" s="2132"/>
      <c r="AI361" s="2132"/>
      <c r="AJ361" s="2132"/>
      <c r="AK361" s="2132"/>
      <c r="AL361" s="2132"/>
      <c r="AM361" s="2132"/>
      <c r="AN361" s="2132"/>
      <c r="AO361" s="2132"/>
      <c r="AP361" s="2132"/>
      <c r="AQ361" s="2132"/>
      <c r="AR361" s="2132"/>
      <c r="AS361" s="2132"/>
      <c r="AT361" s="2132"/>
      <c r="AU361" s="2132"/>
      <c r="AV361" s="2132"/>
      <c r="AW361" s="2132"/>
      <c r="AX361" s="2132"/>
      <c r="AY361" s="2132"/>
      <c r="AZ361" s="2132"/>
      <c r="BA361" s="2132"/>
      <c r="BB361" s="2132"/>
      <c r="BC361" s="2132"/>
      <c r="BD361" s="2132"/>
      <c r="BE361" s="2132"/>
      <c r="BF361" s="2132"/>
      <c r="BG361" s="2132"/>
      <c r="BH361" s="2132"/>
      <c r="BI361" s="2132"/>
      <c r="BJ361" s="2132"/>
      <c r="BK361" s="2132"/>
      <c r="BL361" s="2132"/>
      <c r="BM361" s="2132"/>
      <c r="BN361" s="2132"/>
      <c r="BO361" s="2132"/>
    </row>
    <row r="362" spans="1:67" ht="20.100000000000001" hidden="1" customHeight="1" outlineLevel="1">
      <c r="A362" s="1845"/>
      <c r="B362" s="1854"/>
      <c r="C362" s="1847"/>
      <c r="D362" s="1848" t="s">
        <v>927</v>
      </c>
      <c r="E362" s="1848"/>
      <c r="F362" s="1849"/>
      <c r="G362" s="2010" t="s">
        <v>548</v>
      </c>
      <c r="H362" s="2065"/>
      <c r="I362" s="2065"/>
      <c r="J362" s="2065"/>
      <c r="K362" s="2065"/>
      <c r="L362" s="2131"/>
      <c r="M362" s="2131"/>
      <c r="N362" s="2131"/>
      <c r="O362" s="2131"/>
      <c r="P362" s="2131"/>
      <c r="Q362" s="2131"/>
      <c r="R362" s="2131"/>
      <c r="S362" s="2131"/>
      <c r="T362" s="2131"/>
      <c r="U362" s="2131"/>
      <c r="V362" s="2131"/>
      <c r="W362" s="2131"/>
      <c r="X362" s="2132"/>
      <c r="Y362" s="2132"/>
      <c r="Z362" s="2132"/>
      <c r="AA362" s="2132"/>
      <c r="AB362" s="2132"/>
      <c r="AC362" s="2132"/>
      <c r="AD362" s="2132"/>
      <c r="AE362" s="2132"/>
      <c r="AF362" s="2132"/>
      <c r="AG362" s="2132"/>
      <c r="AH362" s="2132"/>
      <c r="AI362" s="2132"/>
      <c r="AJ362" s="2132"/>
      <c r="AK362" s="2132"/>
      <c r="AL362" s="2132"/>
      <c r="AM362" s="2132"/>
      <c r="AN362" s="2132"/>
      <c r="AO362" s="2132"/>
      <c r="AP362" s="2132"/>
      <c r="AQ362" s="2132"/>
      <c r="AR362" s="2132"/>
      <c r="AS362" s="2132"/>
      <c r="AT362" s="2132"/>
      <c r="AU362" s="2132"/>
      <c r="AV362" s="2132"/>
      <c r="AW362" s="2132"/>
      <c r="AX362" s="2132"/>
      <c r="AY362" s="2132"/>
      <c r="AZ362" s="2132"/>
      <c r="BA362" s="2132"/>
      <c r="BB362" s="2132"/>
      <c r="BC362" s="2132"/>
      <c r="BD362" s="2132"/>
      <c r="BE362" s="2132"/>
      <c r="BF362" s="2132"/>
      <c r="BG362" s="2132"/>
      <c r="BH362" s="2132"/>
      <c r="BI362" s="2132"/>
      <c r="BJ362" s="2132"/>
      <c r="BK362" s="2132"/>
      <c r="BL362" s="2132"/>
      <c r="BM362" s="2132"/>
      <c r="BN362" s="2132"/>
      <c r="BO362" s="2132"/>
    </row>
    <row r="363" spans="1:67" ht="20.100000000000001" hidden="1" customHeight="1" outlineLevel="1">
      <c r="A363" s="1845"/>
      <c r="B363" s="1854"/>
      <c r="C363" s="1847"/>
      <c r="D363" s="1848" t="s">
        <v>928</v>
      </c>
      <c r="E363" s="1837"/>
      <c r="F363" s="1849"/>
      <c r="G363" s="2010" t="s">
        <v>548</v>
      </c>
      <c r="H363" s="2065"/>
      <c r="I363" s="2065"/>
      <c r="J363" s="2065"/>
      <c r="K363" s="2065"/>
      <c r="L363" s="2131"/>
      <c r="M363" s="2131"/>
      <c r="N363" s="2131"/>
      <c r="O363" s="2131"/>
      <c r="P363" s="2131"/>
      <c r="Q363" s="2131"/>
      <c r="R363" s="2131"/>
      <c r="S363" s="2131"/>
      <c r="T363" s="2131"/>
      <c r="U363" s="2131"/>
      <c r="V363" s="2131"/>
      <c r="W363" s="2131"/>
      <c r="X363" s="2132"/>
      <c r="Y363" s="2132"/>
      <c r="Z363" s="2132"/>
      <c r="AA363" s="2132"/>
      <c r="AB363" s="2132"/>
      <c r="AC363" s="2132"/>
      <c r="AD363" s="2132"/>
      <c r="AE363" s="2132"/>
      <c r="AF363" s="2132"/>
      <c r="AG363" s="2132"/>
      <c r="AH363" s="2132"/>
      <c r="AI363" s="2132"/>
      <c r="AJ363" s="2132"/>
      <c r="AK363" s="2132"/>
      <c r="AL363" s="2132"/>
      <c r="AM363" s="2132"/>
      <c r="AN363" s="2132"/>
      <c r="AO363" s="2132"/>
      <c r="AP363" s="2132"/>
      <c r="AQ363" s="2132"/>
      <c r="AR363" s="2132"/>
      <c r="AS363" s="2132"/>
      <c r="AT363" s="2132"/>
      <c r="AU363" s="2132"/>
      <c r="AV363" s="2132"/>
      <c r="AW363" s="2132"/>
      <c r="AX363" s="2132"/>
      <c r="AY363" s="2132"/>
      <c r="AZ363" s="2132"/>
      <c r="BA363" s="2132"/>
      <c r="BB363" s="2132"/>
      <c r="BC363" s="2132"/>
      <c r="BD363" s="2132"/>
      <c r="BE363" s="2132"/>
      <c r="BF363" s="2132"/>
      <c r="BG363" s="2132"/>
      <c r="BH363" s="2132"/>
      <c r="BI363" s="2132"/>
      <c r="BJ363" s="2132"/>
      <c r="BK363" s="2132"/>
      <c r="BL363" s="2132"/>
      <c r="BM363" s="2132"/>
      <c r="BN363" s="2132"/>
      <c r="BO363" s="2132"/>
    </row>
    <row r="364" spans="1:67" ht="20.100000000000001" hidden="1" customHeight="1" outlineLevel="1">
      <c r="A364" s="1845"/>
      <c r="B364" s="1854"/>
      <c r="C364" s="1847"/>
      <c r="D364" s="1848" t="s">
        <v>929</v>
      </c>
      <c r="E364" s="1848"/>
      <c r="F364" s="1849"/>
      <c r="G364" s="2010" t="s">
        <v>548</v>
      </c>
      <c r="H364" s="2065"/>
      <c r="I364" s="2065"/>
      <c r="J364" s="2065"/>
      <c r="K364" s="2065"/>
      <c r="L364" s="2131"/>
      <c r="M364" s="2131"/>
      <c r="N364" s="2131"/>
      <c r="O364" s="2131"/>
      <c r="P364" s="2131"/>
      <c r="Q364" s="2131"/>
      <c r="R364" s="2131"/>
      <c r="S364" s="2131"/>
      <c r="T364" s="2131"/>
      <c r="U364" s="2131"/>
      <c r="V364" s="2131"/>
      <c r="W364" s="2131"/>
      <c r="X364" s="2132"/>
      <c r="Y364" s="2132"/>
      <c r="Z364" s="2132"/>
      <c r="AA364" s="2132"/>
      <c r="AB364" s="2132"/>
      <c r="AC364" s="2132"/>
      <c r="AD364" s="2132"/>
      <c r="AE364" s="2132"/>
      <c r="AF364" s="2132"/>
      <c r="AG364" s="2132"/>
      <c r="AH364" s="2132"/>
      <c r="AI364" s="2132"/>
      <c r="AJ364" s="2132"/>
      <c r="AK364" s="2132"/>
      <c r="AL364" s="2132"/>
      <c r="AM364" s="2132"/>
      <c r="AN364" s="2132"/>
      <c r="AO364" s="2132"/>
      <c r="AP364" s="2132"/>
      <c r="AQ364" s="2132"/>
      <c r="AR364" s="2132"/>
      <c r="AS364" s="2132"/>
      <c r="AT364" s="2132"/>
      <c r="AU364" s="2132"/>
      <c r="AV364" s="2132"/>
      <c r="AW364" s="2132"/>
      <c r="AX364" s="2132"/>
      <c r="AY364" s="2132"/>
      <c r="AZ364" s="2132"/>
      <c r="BA364" s="2132"/>
      <c r="BB364" s="2132"/>
      <c r="BC364" s="2132"/>
      <c r="BD364" s="2132"/>
      <c r="BE364" s="2132"/>
      <c r="BF364" s="2132"/>
      <c r="BG364" s="2132"/>
      <c r="BH364" s="2132"/>
      <c r="BI364" s="2132"/>
      <c r="BJ364" s="2132"/>
      <c r="BK364" s="2132"/>
      <c r="BL364" s="2132"/>
      <c r="BM364" s="2132"/>
      <c r="BN364" s="2132"/>
      <c r="BO364" s="2132"/>
    </row>
    <row r="365" spans="1:67" ht="20.100000000000001" hidden="1" customHeight="1" outlineLevel="1">
      <c r="A365" s="1845"/>
      <c r="B365" s="1854"/>
      <c r="C365" s="1847"/>
      <c r="D365" s="1848" t="s">
        <v>930</v>
      </c>
      <c r="E365" s="1848"/>
      <c r="F365" s="1849"/>
      <c r="G365" s="2010" t="s">
        <v>548</v>
      </c>
      <c r="H365" s="2065"/>
      <c r="I365" s="2065"/>
      <c r="J365" s="2065"/>
      <c r="K365" s="2065"/>
      <c r="L365" s="2131"/>
      <c r="M365" s="2131"/>
      <c r="N365" s="2131"/>
      <c r="O365" s="2131"/>
      <c r="P365" s="2131"/>
      <c r="Q365" s="2131"/>
      <c r="R365" s="2131"/>
      <c r="S365" s="2131"/>
      <c r="T365" s="2131"/>
      <c r="U365" s="2131"/>
      <c r="V365" s="2131"/>
      <c r="W365" s="2131"/>
      <c r="X365" s="2132"/>
      <c r="Y365" s="2132"/>
      <c r="Z365" s="2132"/>
      <c r="AA365" s="2132"/>
      <c r="AB365" s="2132"/>
      <c r="AC365" s="2132"/>
      <c r="AD365" s="2132"/>
      <c r="AE365" s="2132"/>
      <c r="AF365" s="2132"/>
      <c r="AG365" s="2132"/>
      <c r="AH365" s="2132"/>
      <c r="AI365" s="2132"/>
      <c r="AJ365" s="2132"/>
      <c r="AK365" s="2132"/>
      <c r="AL365" s="2132"/>
      <c r="AM365" s="2132"/>
      <c r="AN365" s="2132"/>
      <c r="AO365" s="2132"/>
      <c r="AP365" s="2132"/>
      <c r="AQ365" s="2132"/>
      <c r="AR365" s="2132"/>
      <c r="AS365" s="2132"/>
      <c r="AT365" s="2132"/>
      <c r="AU365" s="2132"/>
      <c r="AV365" s="2132"/>
      <c r="AW365" s="2132"/>
      <c r="AX365" s="2132"/>
      <c r="AY365" s="2132"/>
      <c r="AZ365" s="2132"/>
      <c r="BA365" s="2132"/>
      <c r="BB365" s="2132"/>
      <c r="BC365" s="2132"/>
      <c r="BD365" s="2132"/>
      <c r="BE365" s="2132"/>
      <c r="BF365" s="2132"/>
      <c r="BG365" s="2132"/>
      <c r="BH365" s="2132"/>
      <c r="BI365" s="2132"/>
      <c r="BJ365" s="2132"/>
      <c r="BK365" s="2132"/>
      <c r="BL365" s="2132"/>
      <c r="BM365" s="2132"/>
      <c r="BN365" s="2132"/>
      <c r="BO365" s="2132"/>
    </row>
    <row r="366" spans="1:67" ht="20.100000000000001" hidden="1" customHeight="1" outlineLevel="1">
      <c r="A366" s="1845"/>
      <c r="B366" s="1854"/>
      <c r="C366" s="1847"/>
      <c r="D366" s="1848" t="s">
        <v>931</v>
      </c>
      <c r="E366" s="1848"/>
      <c r="F366" s="1849"/>
      <c r="G366" s="2010" t="s">
        <v>548</v>
      </c>
      <c r="H366" s="2065"/>
      <c r="I366" s="2065"/>
      <c r="J366" s="2065"/>
      <c r="K366" s="2065"/>
      <c r="L366" s="2131"/>
      <c r="M366" s="2131"/>
      <c r="N366" s="2131"/>
      <c r="O366" s="2131"/>
      <c r="P366" s="2131"/>
      <c r="Q366" s="2131"/>
      <c r="R366" s="2131"/>
      <c r="S366" s="2131"/>
      <c r="T366" s="2131"/>
      <c r="U366" s="2131"/>
      <c r="V366" s="2131"/>
      <c r="W366" s="2131"/>
      <c r="X366" s="2132"/>
      <c r="Y366" s="2132"/>
      <c r="Z366" s="2132"/>
      <c r="AA366" s="2132"/>
      <c r="AB366" s="2132"/>
      <c r="AC366" s="2132"/>
      <c r="AD366" s="2132"/>
      <c r="AE366" s="2132"/>
      <c r="AF366" s="2132"/>
      <c r="AG366" s="2132"/>
      <c r="AH366" s="2132"/>
      <c r="AI366" s="2132"/>
      <c r="AJ366" s="2132"/>
      <c r="AK366" s="2132"/>
      <c r="AL366" s="2132"/>
      <c r="AM366" s="2132"/>
      <c r="AN366" s="2132"/>
      <c r="AO366" s="2132"/>
      <c r="AP366" s="2132"/>
      <c r="AQ366" s="2132"/>
      <c r="AR366" s="2132"/>
      <c r="AS366" s="2132"/>
      <c r="AT366" s="2132"/>
      <c r="AU366" s="2132"/>
      <c r="AV366" s="2132"/>
      <c r="AW366" s="2132"/>
      <c r="AX366" s="2132"/>
      <c r="AY366" s="2132"/>
      <c r="AZ366" s="2132"/>
      <c r="BA366" s="2132"/>
      <c r="BB366" s="2132"/>
      <c r="BC366" s="2132"/>
      <c r="BD366" s="2132"/>
      <c r="BE366" s="2132"/>
      <c r="BF366" s="2132"/>
      <c r="BG366" s="2132"/>
      <c r="BH366" s="2132"/>
      <c r="BI366" s="2132"/>
      <c r="BJ366" s="2132"/>
      <c r="BK366" s="2132"/>
      <c r="BL366" s="2132"/>
      <c r="BM366" s="2132"/>
      <c r="BN366" s="2132"/>
      <c r="BO366" s="2132"/>
    </row>
    <row r="367" spans="1:67" ht="20.100000000000001" hidden="1" customHeight="1" outlineLevel="1">
      <c r="A367" s="1845"/>
      <c r="B367" s="1854"/>
      <c r="C367" s="1847"/>
      <c r="D367" s="1848" t="s">
        <v>932</v>
      </c>
      <c r="E367" s="1848"/>
      <c r="F367" s="1849"/>
      <c r="G367" s="2010" t="s">
        <v>548</v>
      </c>
      <c r="H367" s="2065"/>
      <c r="I367" s="2065"/>
      <c r="J367" s="2065"/>
      <c r="K367" s="2065"/>
      <c r="L367" s="2131"/>
      <c r="M367" s="2131"/>
      <c r="N367" s="2131"/>
      <c r="O367" s="2131"/>
      <c r="P367" s="2131"/>
      <c r="Q367" s="2131"/>
      <c r="R367" s="2131"/>
      <c r="S367" s="2131"/>
      <c r="T367" s="2131"/>
      <c r="U367" s="2131"/>
      <c r="V367" s="2131"/>
      <c r="W367" s="2131"/>
      <c r="X367" s="2132"/>
      <c r="Y367" s="2132"/>
      <c r="Z367" s="2132"/>
      <c r="AA367" s="2132"/>
      <c r="AB367" s="2132"/>
      <c r="AC367" s="2132"/>
      <c r="AD367" s="2132"/>
      <c r="AE367" s="2132"/>
      <c r="AF367" s="2132"/>
      <c r="AG367" s="2132"/>
      <c r="AH367" s="2132"/>
      <c r="AI367" s="2132"/>
      <c r="AJ367" s="2132"/>
      <c r="AK367" s="2132"/>
      <c r="AL367" s="2132"/>
      <c r="AM367" s="2132"/>
      <c r="AN367" s="2132"/>
      <c r="AO367" s="2132"/>
      <c r="AP367" s="2132"/>
      <c r="AQ367" s="2132"/>
      <c r="AR367" s="2132"/>
      <c r="AS367" s="2132"/>
      <c r="AT367" s="2132"/>
      <c r="AU367" s="2132"/>
      <c r="AV367" s="2132"/>
      <c r="AW367" s="2132"/>
      <c r="AX367" s="2132"/>
      <c r="AY367" s="2132"/>
      <c r="AZ367" s="2132"/>
      <c r="BA367" s="2132"/>
      <c r="BB367" s="2132"/>
      <c r="BC367" s="2132"/>
      <c r="BD367" s="2132"/>
      <c r="BE367" s="2132"/>
      <c r="BF367" s="2132"/>
      <c r="BG367" s="2132"/>
      <c r="BH367" s="2132"/>
      <c r="BI367" s="2132"/>
      <c r="BJ367" s="2132"/>
      <c r="BK367" s="2132"/>
      <c r="BL367" s="2132"/>
      <c r="BM367" s="2132"/>
      <c r="BN367" s="2132"/>
      <c r="BO367" s="2132"/>
    </row>
    <row r="368" spans="1:67" ht="20.100000000000001" hidden="1" customHeight="1" outlineLevel="1">
      <c r="A368" s="1845"/>
      <c r="B368" s="1854"/>
      <c r="C368" s="1847"/>
      <c r="D368" s="1848" t="s">
        <v>558</v>
      </c>
      <c r="E368" s="1848"/>
      <c r="F368" s="1849"/>
      <c r="G368" s="2010" t="s">
        <v>548</v>
      </c>
      <c r="H368" s="2065"/>
      <c r="I368" s="2065"/>
      <c r="J368" s="2065"/>
      <c r="K368" s="2065"/>
      <c r="L368" s="2131"/>
      <c r="M368" s="2131"/>
      <c r="N368" s="2131"/>
      <c r="O368" s="2131"/>
      <c r="P368" s="2131"/>
      <c r="Q368" s="2131"/>
      <c r="R368" s="2131"/>
      <c r="S368" s="2131"/>
      <c r="T368" s="2131"/>
      <c r="U368" s="2131"/>
      <c r="V368" s="2131"/>
      <c r="W368" s="2131"/>
      <c r="X368" s="2132"/>
      <c r="Y368" s="2132"/>
      <c r="Z368" s="2132"/>
      <c r="AA368" s="2132"/>
      <c r="AB368" s="2132"/>
      <c r="AC368" s="2132"/>
      <c r="AD368" s="2132"/>
      <c r="AE368" s="2132"/>
      <c r="AF368" s="2132"/>
      <c r="AG368" s="2132"/>
      <c r="AH368" s="2132"/>
      <c r="AI368" s="2132"/>
      <c r="AJ368" s="2132"/>
      <c r="AK368" s="2132"/>
      <c r="AL368" s="2132"/>
      <c r="AM368" s="2132"/>
      <c r="AN368" s="2132"/>
      <c r="AO368" s="2132"/>
      <c r="AP368" s="2132"/>
      <c r="AQ368" s="2132"/>
      <c r="AR368" s="2132"/>
      <c r="AS368" s="2132"/>
      <c r="AT368" s="2132"/>
      <c r="AU368" s="2132"/>
      <c r="AV368" s="2132"/>
      <c r="AW368" s="2132"/>
      <c r="AX368" s="2132"/>
      <c r="AY368" s="2132"/>
      <c r="AZ368" s="2132"/>
      <c r="BA368" s="2132"/>
      <c r="BB368" s="2132"/>
      <c r="BC368" s="2132"/>
      <c r="BD368" s="2132"/>
      <c r="BE368" s="2132"/>
      <c r="BF368" s="2132"/>
      <c r="BG368" s="2132"/>
      <c r="BH368" s="2132"/>
      <c r="BI368" s="2132"/>
      <c r="BJ368" s="2132"/>
      <c r="BK368" s="2132"/>
      <c r="BL368" s="2132"/>
      <c r="BM368" s="2132"/>
      <c r="BN368" s="2132"/>
      <c r="BO368" s="2132"/>
    </row>
    <row r="369" spans="1:67" ht="20.100000000000001" hidden="1" customHeight="1" outlineLevel="1">
      <c r="A369" s="1845"/>
      <c r="B369" s="1854"/>
      <c r="C369" s="1847"/>
      <c r="D369" s="1848" t="s">
        <v>559</v>
      </c>
      <c r="E369" s="1837"/>
      <c r="F369" s="1849"/>
      <c r="G369" s="2010" t="s">
        <v>548</v>
      </c>
      <c r="H369" s="2065"/>
      <c r="I369" s="2065"/>
      <c r="J369" s="2065"/>
      <c r="K369" s="2065"/>
      <c r="L369" s="2131"/>
      <c r="M369" s="2131"/>
      <c r="N369" s="2131"/>
      <c r="O369" s="2131"/>
      <c r="P369" s="2131"/>
      <c r="Q369" s="2131"/>
      <c r="R369" s="2131"/>
      <c r="S369" s="2131"/>
      <c r="T369" s="2131"/>
      <c r="U369" s="2131"/>
      <c r="V369" s="2131"/>
      <c r="W369" s="2131"/>
      <c r="X369" s="2132"/>
      <c r="Y369" s="2132"/>
      <c r="Z369" s="2132"/>
      <c r="AA369" s="2132"/>
      <c r="AB369" s="2132"/>
      <c r="AC369" s="2132"/>
      <c r="AD369" s="2132"/>
      <c r="AE369" s="2132"/>
      <c r="AF369" s="2132"/>
      <c r="AG369" s="2132"/>
      <c r="AH369" s="2132"/>
      <c r="AI369" s="2132"/>
      <c r="AJ369" s="2132"/>
      <c r="AK369" s="2132"/>
      <c r="AL369" s="2132"/>
      <c r="AM369" s="2132"/>
      <c r="AN369" s="2132"/>
      <c r="AO369" s="2132"/>
      <c r="AP369" s="2132"/>
      <c r="AQ369" s="2132"/>
      <c r="AR369" s="2132"/>
      <c r="AS369" s="2132"/>
      <c r="AT369" s="2132"/>
      <c r="AU369" s="2132"/>
      <c r="AV369" s="2132"/>
      <c r="AW369" s="2132"/>
      <c r="AX369" s="2132"/>
      <c r="AY369" s="2132"/>
      <c r="AZ369" s="2132"/>
      <c r="BA369" s="2132"/>
      <c r="BB369" s="2132"/>
      <c r="BC369" s="2132"/>
      <c r="BD369" s="2132"/>
      <c r="BE369" s="2132"/>
      <c r="BF369" s="2132"/>
      <c r="BG369" s="2132"/>
      <c r="BH369" s="2132"/>
      <c r="BI369" s="2132"/>
      <c r="BJ369" s="2132"/>
      <c r="BK369" s="2132"/>
      <c r="BL369" s="2132"/>
      <c r="BM369" s="2132"/>
      <c r="BN369" s="2132"/>
      <c r="BO369" s="2132"/>
    </row>
    <row r="370" spans="1:67" ht="20.100000000000001" hidden="1" customHeight="1" outlineLevel="1">
      <c r="A370" s="1845"/>
      <c r="B370" s="1854"/>
      <c r="C370" s="1847"/>
      <c r="D370" s="1848" t="s">
        <v>560</v>
      </c>
      <c r="E370" s="1848"/>
      <c r="F370" s="1849"/>
      <c r="G370" s="2010" t="s">
        <v>553</v>
      </c>
      <c r="H370" s="2065"/>
      <c r="I370" s="2065"/>
      <c r="J370" s="2065"/>
      <c r="K370" s="2065"/>
      <c r="L370" s="2131"/>
      <c r="M370" s="2131"/>
      <c r="N370" s="2131"/>
      <c r="O370" s="2131"/>
      <c r="P370" s="2131"/>
      <c r="Q370" s="2131"/>
      <c r="R370" s="2131"/>
      <c r="S370" s="2131"/>
      <c r="T370" s="2131"/>
      <c r="U370" s="2131"/>
      <c r="V370" s="2131"/>
      <c r="W370" s="2131"/>
      <c r="X370" s="2132"/>
      <c r="Y370" s="2132"/>
      <c r="Z370" s="2132"/>
      <c r="AA370" s="2132"/>
      <c r="AB370" s="2132"/>
      <c r="AC370" s="2132"/>
      <c r="AD370" s="2132"/>
      <c r="AE370" s="2132"/>
      <c r="AF370" s="2132"/>
      <c r="AG370" s="2132"/>
      <c r="AH370" s="2132"/>
      <c r="AI370" s="2132"/>
      <c r="AJ370" s="2132"/>
      <c r="AK370" s="2132"/>
      <c r="AL370" s="2132"/>
      <c r="AM370" s="2132"/>
      <c r="AN370" s="2132"/>
      <c r="AO370" s="2132"/>
      <c r="AP370" s="2132"/>
      <c r="AQ370" s="2132"/>
      <c r="AR370" s="2132"/>
      <c r="AS370" s="2132"/>
      <c r="AT370" s="2132"/>
      <c r="AU370" s="2132"/>
      <c r="AV370" s="2132"/>
      <c r="AW370" s="2132"/>
      <c r="AX370" s="2132"/>
      <c r="AY370" s="2132"/>
      <c r="AZ370" s="2132"/>
      <c r="BA370" s="2132"/>
      <c r="BB370" s="2132"/>
      <c r="BC370" s="2132"/>
      <c r="BD370" s="2132"/>
      <c r="BE370" s="2132"/>
      <c r="BF370" s="2132"/>
      <c r="BG370" s="2132"/>
      <c r="BH370" s="2132"/>
      <c r="BI370" s="2132"/>
      <c r="BJ370" s="2132"/>
      <c r="BK370" s="2132"/>
      <c r="BL370" s="2132"/>
      <c r="BM370" s="2132"/>
      <c r="BN370" s="2132"/>
      <c r="BO370" s="2132"/>
    </row>
    <row r="371" spans="1:67" ht="20.100000000000001" hidden="1" customHeight="1" outlineLevel="1">
      <c r="A371" s="1845"/>
      <c r="B371" s="1854"/>
      <c r="C371" s="1847"/>
      <c r="D371" s="1848" t="s">
        <v>561</v>
      </c>
      <c r="E371" s="1848"/>
      <c r="F371" s="1849"/>
      <c r="G371" s="2010" t="s">
        <v>553</v>
      </c>
      <c r="H371" s="2065"/>
      <c r="I371" s="2065"/>
      <c r="J371" s="2065"/>
      <c r="K371" s="2065"/>
      <c r="L371" s="2131"/>
      <c r="M371" s="2131"/>
      <c r="N371" s="2131"/>
      <c r="O371" s="2131"/>
      <c r="P371" s="2131"/>
      <c r="Q371" s="2131"/>
      <c r="R371" s="2131"/>
      <c r="S371" s="2131"/>
      <c r="T371" s="2131"/>
      <c r="U371" s="2131"/>
      <c r="V371" s="2131"/>
      <c r="W371" s="2131"/>
      <c r="X371" s="2132"/>
      <c r="Y371" s="2132"/>
      <c r="Z371" s="2132"/>
      <c r="AA371" s="2132"/>
      <c r="AB371" s="2132"/>
      <c r="AC371" s="2132"/>
      <c r="AD371" s="2132"/>
      <c r="AE371" s="2132"/>
      <c r="AF371" s="2132"/>
      <c r="AG371" s="2132"/>
      <c r="AH371" s="2132"/>
      <c r="AI371" s="2132"/>
      <c r="AJ371" s="2132"/>
      <c r="AK371" s="2132"/>
      <c r="AL371" s="2132"/>
      <c r="AM371" s="2132"/>
      <c r="AN371" s="2132"/>
      <c r="AO371" s="2132"/>
      <c r="AP371" s="2132"/>
      <c r="AQ371" s="2132"/>
      <c r="AR371" s="2132"/>
      <c r="AS371" s="2132"/>
      <c r="AT371" s="2132"/>
      <c r="AU371" s="2132"/>
      <c r="AV371" s="2132"/>
      <c r="AW371" s="2132"/>
      <c r="AX371" s="2132"/>
      <c r="AY371" s="2132"/>
      <c r="AZ371" s="2132"/>
      <c r="BA371" s="2132"/>
      <c r="BB371" s="2132"/>
      <c r="BC371" s="2132"/>
      <c r="BD371" s="2132"/>
      <c r="BE371" s="2132"/>
      <c r="BF371" s="2132"/>
      <c r="BG371" s="2132"/>
      <c r="BH371" s="2132"/>
      <c r="BI371" s="2132"/>
      <c r="BJ371" s="2132"/>
      <c r="BK371" s="2132"/>
      <c r="BL371" s="2132"/>
      <c r="BM371" s="2132"/>
      <c r="BN371" s="2132"/>
      <c r="BO371" s="2132"/>
    </row>
    <row r="372" spans="1:67" ht="20.100000000000001" hidden="1" customHeight="1" outlineLevel="1">
      <c r="A372" s="1845"/>
      <c r="B372" s="1854"/>
      <c r="C372" s="1847"/>
      <c r="D372" s="1848" t="s">
        <v>933</v>
      </c>
      <c r="E372" s="1848"/>
      <c r="F372" s="1849"/>
      <c r="G372" s="2010" t="s">
        <v>553</v>
      </c>
      <c r="H372" s="2065"/>
      <c r="I372" s="2065"/>
      <c r="J372" s="2065"/>
      <c r="K372" s="2065"/>
      <c r="L372" s="2131"/>
      <c r="M372" s="2131"/>
      <c r="N372" s="2131"/>
      <c r="O372" s="2131"/>
      <c r="P372" s="2131"/>
      <c r="Q372" s="2131"/>
      <c r="R372" s="2131"/>
      <c r="S372" s="2131"/>
      <c r="T372" s="2131"/>
      <c r="U372" s="2131"/>
      <c r="V372" s="2131"/>
      <c r="W372" s="2131"/>
      <c r="X372" s="2132"/>
      <c r="Y372" s="2132"/>
      <c r="Z372" s="2132"/>
      <c r="AA372" s="2132"/>
      <c r="AB372" s="2132"/>
      <c r="AC372" s="2132"/>
      <c r="AD372" s="2132"/>
      <c r="AE372" s="2132"/>
      <c r="AF372" s="2132"/>
      <c r="AG372" s="2132"/>
      <c r="AH372" s="2132"/>
      <c r="AI372" s="2132"/>
      <c r="AJ372" s="2132"/>
      <c r="AK372" s="2132"/>
      <c r="AL372" s="2132"/>
      <c r="AM372" s="2132"/>
      <c r="AN372" s="2132"/>
      <c r="AO372" s="2132"/>
      <c r="AP372" s="2132"/>
      <c r="AQ372" s="2132"/>
      <c r="AR372" s="2132"/>
      <c r="AS372" s="2132"/>
      <c r="AT372" s="2132"/>
      <c r="AU372" s="2132"/>
      <c r="AV372" s="2132"/>
      <c r="AW372" s="2132"/>
      <c r="AX372" s="2132"/>
      <c r="AY372" s="2132"/>
      <c r="AZ372" s="2132"/>
      <c r="BA372" s="2132"/>
      <c r="BB372" s="2132"/>
      <c r="BC372" s="2132"/>
      <c r="BD372" s="2132"/>
      <c r="BE372" s="2132"/>
      <c r="BF372" s="2132"/>
      <c r="BG372" s="2132"/>
      <c r="BH372" s="2132"/>
      <c r="BI372" s="2132"/>
      <c r="BJ372" s="2132"/>
      <c r="BK372" s="2132"/>
      <c r="BL372" s="2132"/>
      <c r="BM372" s="2132"/>
      <c r="BN372" s="2132"/>
      <c r="BO372" s="2132"/>
    </row>
    <row r="373" spans="1:67" ht="20.100000000000001" hidden="1" customHeight="1" outlineLevel="1">
      <c r="A373" s="1845"/>
      <c r="B373" s="1854"/>
      <c r="C373" s="1847"/>
      <c r="D373" s="1848" t="s">
        <v>562</v>
      </c>
      <c r="E373" s="1848"/>
      <c r="F373" s="1849"/>
      <c r="G373" s="2010" t="s">
        <v>553</v>
      </c>
      <c r="H373" s="2065"/>
      <c r="I373" s="2065"/>
      <c r="J373" s="2065"/>
      <c r="K373" s="2065"/>
      <c r="L373" s="2131"/>
      <c r="M373" s="2131"/>
      <c r="N373" s="2131"/>
      <c r="O373" s="2131"/>
      <c r="P373" s="2131"/>
      <c r="Q373" s="2131"/>
      <c r="R373" s="2131"/>
      <c r="S373" s="2131"/>
      <c r="T373" s="2131"/>
      <c r="U373" s="2131"/>
      <c r="V373" s="2131"/>
      <c r="W373" s="2131"/>
      <c r="X373" s="2132"/>
      <c r="Y373" s="2132"/>
      <c r="Z373" s="2132"/>
      <c r="AA373" s="2132"/>
      <c r="AB373" s="2132"/>
      <c r="AC373" s="2132"/>
      <c r="AD373" s="2132"/>
      <c r="AE373" s="2132"/>
      <c r="AF373" s="2132"/>
      <c r="AG373" s="2132"/>
      <c r="AH373" s="2132"/>
      <c r="AI373" s="2132"/>
      <c r="AJ373" s="2132"/>
      <c r="AK373" s="2132"/>
      <c r="AL373" s="2132"/>
      <c r="AM373" s="2132"/>
      <c r="AN373" s="2132"/>
      <c r="AO373" s="2132"/>
      <c r="AP373" s="2132"/>
      <c r="AQ373" s="2132"/>
      <c r="AR373" s="2132"/>
      <c r="AS373" s="2132"/>
      <c r="AT373" s="2132"/>
      <c r="AU373" s="2132"/>
      <c r="AV373" s="2132"/>
      <c r="AW373" s="2132"/>
      <c r="AX373" s="2132"/>
      <c r="AY373" s="2132"/>
      <c r="AZ373" s="2132"/>
      <c r="BA373" s="2132"/>
      <c r="BB373" s="2132"/>
      <c r="BC373" s="2132"/>
      <c r="BD373" s="2132"/>
      <c r="BE373" s="2132"/>
      <c r="BF373" s="2132"/>
      <c r="BG373" s="2132"/>
      <c r="BH373" s="2132"/>
      <c r="BI373" s="2132"/>
      <c r="BJ373" s="2132"/>
      <c r="BK373" s="2132"/>
      <c r="BL373" s="2132"/>
      <c r="BM373" s="2132"/>
      <c r="BN373" s="2132"/>
      <c r="BO373" s="2132"/>
    </row>
    <row r="374" spans="1:67" ht="20.100000000000001" hidden="1" customHeight="1" outlineLevel="1">
      <c r="A374" s="1845"/>
      <c r="B374" s="1855"/>
      <c r="C374" s="1847"/>
      <c r="D374" s="1848" t="s">
        <v>934</v>
      </c>
      <c r="E374" s="1856"/>
      <c r="F374" s="1849"/>
      <c r="G374" s="2010" t="s">
        <v>553</v>
      </c>
      <c r="H374" s="2065"/>
      <c r="I374" s="2065"/>
      <c r="J374" s="2065"/>
      <c r="K374" s="2065"/>
      <c r="L374" s="2131"/>
      <c r="M374" s="2131"/>
      <c r="N374" s="2131"/>
      <c r="O374" s="2131"/>
      <c r="P374" s="2131"/>
      <c r="Q374" s="2131"/>
      <c r="R374" s="2131"/>
      <c r="S374" s="2131"/>
      <c r="T374" s="2131"/>
      <c r="U374" s="2131"/>
      <c r="V374" s="2131"/>
      <c r="W374" s="2131"/>
      <c r="X374" s="2132"/>
      <c r="Y374" s="2132"/>
      <c r="Z374" s="2132"/>
      <c r="AA374" s="2132"/>
      <c r="AB374" s="2132"/>
      <c r="AC374" s="2132"/>
      <c r="AD374" s="2132"/>
      <c r="AE374" s="2132"/>
      <c r="AF374" s="2132"/>
      <c r="AG374" s="2132"/>
      <c r="AH374" s="2132"/>
      <c r="AI374" s="2132"/>
      <c r="AJ374" s="2132"/>
      <c r="AK374" s="2132"/>
      <c r="AL374" s="2132"/>
      <c r="AM374" s="2132"/>
      <c r="AN374" s="2132"/>
      <c r="AO374" s="2132"/>
      <c r="AP374" s="2132"/>
      <c r="AQ374" s="2132"/>
      <c r="AR374" s="2132"/>
      <c r="AS374" s="2132"/>
      <c r="AT374" s="2132"/>
      <c r="AU374" s="2132"/>
      <c r="AV374" s="2132"/>
      <c r="AW374" s="2132"/>
      <c r="AX374" s="2132"/>
      <c r="AY374" s="2132"/>
      <c r="AZ374" s="2132"/>
      <c r="BA374" s="2132"/>
      <c r="BB374" s="2132"/>
      <c r="BC374" s="2132"/>
      <c r="BD374" s="2132"/>
      <c r="BE374" s="2132"/>
      <c r="BF374" s="2132"/>
      <c r="BG374" s="2132"/>
      <c r="BH374" s="2132"/>
      <c r="BI374" s="2132"/>
      <c r="BJ374" s="2132"/>
      <c r="BK374" s="2132"/>
      <c r="BL374" s="2132"/>
      <c r="BM374" s="2132"/>
      <c r="BN374" s="2132"/>
      <c r="BO374" s="2132"/>
    </row>
    <row r="375" spans="1:67" ht="20.100000000000001" hidden="1" customHeight="1" outlineLevel="1">
      <c r="A375" s="1845"/>
      <c r="B375" s="1854"/>
      <c r="C375" s="1847"/>
      <c r="D375" s="1848" t="s">
        <v>935</v>
      </c>
      <c r="E375" s="1858" t="str">
        <f ca="1">E37</f>
        <v/>
      </c>
      <c r="F375" s="1849"/>
      <c r="G375" s="1858" t="str">
        <f ca="1">G37</f>
        <v/>
      </c>
      <c r="H375" s="2065"/>
      <c r="I375" s="2065"/>
      <c r="J375" s="2065"/>
      <c r="K375" s="2065"/>
      <c r="L375" s="2131"/>
      <c r="M375" s="2131"/>
      <c r="N375" s="2131"/>
      <c r="O375" s="2131"/>
      <c r="P375" s="2131"/>
      <c r="Q375" s="2131"/>
      <c r="R375" s="2131"/>
      <c r="S375" s="2131"/>
      <c r="T375" s="2131"/>
      <c r="U375" s="2131"/>
      <c r="V375" s="2131"/>
      <c r="W375" s="2131"/>
      <c r="X375" s="2132"/>
      <c r="Y375" s="2132"/>
      <c r="Z375" s="2132"/>
      <c r="AA375" s="2132"/>
      <c r="AB375" s="2132"/>
      <c r="AC375" s="2132"/>
      <c r="AD375" s="2132"/>
      <c r="AE375" s="2132"/>
      <c r="AF375" s="2132"/>
      <c r="AG375" s="2132"/>
      <c r="AH375" s="2132"/>
      <c r="AI375" s="2132"/>
      <c r="AJ375" s="2132"/>
      <c r="AK375" s="2132"/>
      <c r="AL375" s="2132"/>
      <c r="AM375" s="2132"/>
      <c r="AN375" s="2132"/>
      <c r="AO375" s="2132"/>
      <c r="AP375" s="2132"/>
      <c r="AQ375" s="2132"/>
      <c r="AR375" s="2132"/>
      <c r="AS375" s="2132"/>
      <c r="AT375" s="2132"/>
      <c r="AU375" s="2132"/>
      <c r="AV375" s="2132"/>
      <c r="AW375" s="2132"/>
      <c r="AX375" s="2132"/>
      <c r="AY375" s="2132"/>
      <c r="AZ375" s="2132"/>
      <c r="BA375" s="2132"/>
      <c r="BB375" s="2132"/>
      <c r="BC375" s="2132"/>
      <c r="BD375" s="2132"/>
      <c r="BE375" s="2132"/>
      <c r="BF375" s="2132"/>
      <c r="BG375" s="2132"/>
      <c r="BH375" s="2132"/>
      <c r="BI375" s="2132"/>
      <c r="BJ375" s="2132"/>
      <c r="BK375" s="2132"/>
      <c r="BL375" s="2132"/>
      <c r="BM375" s="2132"/>
      <c r="BN375" s="2132"/>
      <c r="BO375" s="2132"/>
    </row>
    <row r="376" spans="1:67" ht="20.100000000000001" hidden="1" customHeight="1" outlineLevel="1">
      <c r="A376" s="1845"/>
      <c r="B376" s="1854"/>
      <c r="C376" s="1847" t="s">
        <v>936</v>
      </c>
      <c r="D376" s="1859" t="s">
        <v>937</v>
      </c>
      <c r="E376" s="1848"/>
      <c r="F376" s="1849"/>
      <c r="G376" s="2010" t="s">
        <v>548</v>
      </c>
      <c r="H376" s="2065"/>
      <c r="I376" s="2065"/>
      <c r="J376" s="2065"/>
      <c r="K376" s="2065"/>
      <c r="L376" s="2131"/>
      <c r="M376" s="2131"/>
      <c r="N376" s="2131"/>
      <c r="O376" s="2131"/>
      <c r="P376" s="2131"/>
      <c r="Q376" s="2131"/>
      <c r="R376" s="2131"/>
      <c r="S376" s="2131"/>
      <c r="T376" s="2131"/>
      <c r="U376" s="2131"/>
      <c r="V376" s="2131"/>
      <c r="W376" s="2131"/>
      <c r="X376" s="2132"/>
      <c r="Y376" s="2132"/>
      <c r="Z376" s="2132"/>
      <c r="AA376" s="2132"/>
      <c r="AB376" s="2132"/>
      <c r="AC376" s="2132"/>
      <c r="AD376" s="2132"/>
      <c r="AE376" s="2132"/>
      <c r="AF376" s="2132"/>
      <c r="AG376" s="2132"/>
      <c r="AH376" s="2132"/>
      <c r="AI376" s="2132"/>
      <c r="AJ376" s="2132"/>
      <c r="AK376" s="2132"/>
      <c r="AL376" s="2132"/>
      <c r="AM376" s="2132"/>
      <c r="AN376" s="2132"/>
      <c r="AO376" s="2132"/>
      <c r="AP376" s="2132"/>
      <c r="AQ376" s="2132"/>
      <c r="AR376" s="2132"/>
      <c r="AS376" s="2132"/>
      <c r="AT376" s="2132"/>
      <c r="AU376" s="2132"/>
      <c r="AV376" s="2132"/>
      <c r="AW376" s="2132"/>
      <c r="AX376" s="2132"/>
      <c r="AY376" s="2132"/>
      <c r="AZ376" s="2132"/>
      <c r="BA376" s="2132"/>
      <c r="BB376" s="2132"/>
      <c r="BC376" s="2132"/>
      <c r="BD376" s="2132"/>
      <c r="BE376" s="2132"/>
      <c r="BF376" s="2132"/>
      <c r="BG376" s="2132"/>
      <c r="BH376" s="2132"/>
      <c r="BI376" s="2132"/>
      <c r="BJ376" s="2132"/>
      <c r="BK376" s="2132"/>
      <c r="BL376" s="2132"/>
      <c r="BM376" s="2132"/>
      <c r="BN376" s="2132"/>
      <c r="BO376" s="2132"/>
    </row>
    <row r="377" spans="1:67" ht="20.100000000000001" hidden="1" customHeight="1" outlineLevel="1">
      <c r="A377" s="1845"/>
      <c r="B377" s="1854"/>
      <c r="C377" s="1847"/>
      <c r="D377" s="1859" t="s">
        <v>938</v>
      </c>
      <c r="E377" s="1848"/>
      <c r="F377" s="1849"/>
      <c r="G377" s="2010" t="s">
        <v>548</v>
      </c>
      <c r="H377" s="2065"/>
      <c r="I377" s="2065"/>
      <c r="J377" s="2065"/>
      <c r="K377" s="2065"/>
      <c r="L377" s="2131"/>
      <c r="M377" s="2131"/>
      <c r="N377" s="2131"/>
      <c r="O377" s="2131"/>
      <c r="P377" s="2131"/>
      <c r="Q377" s="2131"/>
      <c r="R377" s="2131"/>
      <c r="S377" s="2131"/>
      <c r="T377" s="2131"/>
      <c r="U377" s="2131"/>
      <c r="V377" s="2131"/>
      <c r="W377" s="2131"/>
      <c r="X377" s="2132"/>
      <c r="Y377" s="2132"/>
      <c r="Z377" s="2132"/>
      <c r="AA377" s="2132"/>
      <c r="AB377" s="2132"/>
      <c r="AC377" s="2132"/>
      <c r="AD377" s="2132"/>
      <c r="AE377" s="2132"/>
      <c r="AF377" s="2132"/>
      <c r="AG377" s="2132"/>
      <c r="AH377" s="2132"/>
      <c r="AI377" s="2132"/>
      <c r="AJ377" s="2132"/>
      <c r="AK377" s="2132"/>
      <c r="AL377" s="2132"/>
      <c r="AM377" s="2132"/>
      <c r="AN377" s="2132"/>
      <c r="AO377" s="2132"/>
      <c r="AP377" s="2132"/>
      <c r="AQ377" s="2132"/>
      <c r="AR377" s="2132"/>
      <c r="AS377" s="2132"/>
      <c r="AT377" s="2132"/>
      <c r="AU377" s="2132"/>
      <c r="AV377" s="2132"/>
      <c r="AW377" s="2132"/>
      <c r="AX377" s="2132"/>
      <c r="AY377" s="2132"/>
      <c r="AZ377" s="2132"/>
      <c r="BA377" s="2132"/>
      <c r="BB377" s="2132"/>
      <c r="BC377" s="2132"/>
      <c r="BD377" s="2132"/>
      <c r="BE377" s="2132"/>
      <c r="BF377" s="2132"/>
      <c r="BG377" s="2132"/>
      <c r="BH377" s="2132"/>
      <c r="BI377" s="2132"/>
      <c r="BJ377" s="2132"/>
      <c r="BK377" s="2132"/>
      <c r="BL377" s="2132"/>
      <c r="BM377" s="2132"/>
      <c r="BN377" s="2132"/>
      <c r="BO377" s="2132"/>
    </row>
    <row r="378" spans="1:67" ht="20.100000000000001" hidden="1" customHeight="1" outlineLevel="1">
      <c r="A378" s="1845"/>
      <c r="B378" s="1854"/>
      <c r="C378" s="1847"/>
      <c r="D378" s="1859" t="s">
        <v>939</v>
      </c>
      <c r="E378" s="1837"/>
      <c r="F378" s="1849"/>
      <c r="G378" s="2010" t="s">
        <v>548</v>
      </c>
      <c r="H378" s="2065"/>
      <c r="I378" s="2065"/>
      <c r="J378" s="2065"/>
      <c r="K378" s="2065"/>
      <c r="L378" s="2131"/>
      <c r="M378" s="2131"/>
      <c r="N378" s="2131"/>
      <c r="O378" s="2131"/>
      <c r="P378" s="2131"/>
      <c r="Q378" s="2131"/>
      <c r="R378" s="2131"/>
      <c r="S378" s="2131"/>
      <c r="T378" s="2131"/>
      <c r="U378" s="2131"/>
      <c r="V378" s="2131"/>
      <c r="W378" s="2131"/>
      <c r="X378" s="2132"/>
      <c r="Y378" s="2132"/>
      <c r="Z378" s="2132"/>
      <c r="AA378" s="2132"/>
      <c r="AB378" s="2132"/>
      <c r="AC378" s="2132"/>
      <c r="AD378" s="2132"/>
      <c r="AE378" s="2132"/>
      <c r="AF378" s="2132"/>
      <c r="AG378" s="2132"/>
      <c r="AH378" s="2132"/>
      <c r="AI378" s="2132"/>
      <c r="AJ378" s="2132"/>
      <c r="AK378" s="2132"/>
      <c r="AL378" s="2132"/>
      <c r="AM378" s="2132"/>
      <c r="AN378" s="2132"/>
      <c r="AO378" s="2132"/>
      <c r="AP378" s="2132"/>
      <c r="AQ378" s="2132"/>
      <c r="AR378" s="2132"/>
      <c r="AS378" s="2132"/>
      <c r="AT378" s="2132"/>
      <c r="AU378" s="2132"/>
      <c r="AV378" s="2132"/>
      <c r="AW378" s="2132"/>
      <c r="AX378" s="2132"/>
      <c r="AY378" s="2132"/>
      <c r="AZ378" s="2132"/>
      <c r="BA378" s="2132"/>
      <c r="BB378" s="2132"/>
      <c r="BC378" s="2132"/>
      <c r="BD378" s="2132"/>
      <c r="BE378" s="2132"/>
      <c r="BF378" s="2132"/>
      <c r="BG378" s="2132"/>
      <c r="BH378" s="2132"/>
      <c r="BI378" s="2132"/>
      <c r="BJ378" s="2132"/>
      <c r="BK378" s="2132"/>
      <c r="BL378" s="2132"/>
      <c r="BM378" s="2132"/>
      <c r="BN378" s="2132"/>
      <c r="BO378" s="2132"/>
    </row>
    <row r="379" spans="1:67" ht="20.100000000000001" hidden="1" customHeight="1" outlineLevel="1">
      <c r="A379" s="1845"/>
      <c r="B379" s="1854"/>
      <c r="C379" s="1847"/>
      <c r="D379" s="1848" t="s">
        <v>564</v>
      </c>
      <c r="E379" s="1848"/>
      <c r="F379" s="1849"/>
      <c r="G379" s="2010" t="s">
        <v>540</v>
      </c>
      <c r="H379" s="2065"/>
      <c r="I379" s="2065"/>
      <c r="J379" s="2065"/>
      <c r="K379" s="2065"/>
      <c r="L379" s="2131"/>
      <c r="M379" s="2131"/>
      <c r="N379" s="2131"/>
      <c r="O379" s="2131"/>
      <c r="P379" s="2131"/>
      <c r="Q379" s="2131"/>
      <c r="R379" s="2131"/>
      <c r="S379" s="2131"/>
      <c r="T379" s="2131"/>
      <c r="U379" s="2131"/>
      <c r="V379" s="2131"/>
      <c r="W379" s="2131"/>
      <c r="X379" s="2132"/>
      <c r="Y379" s="2132"/>
      <c r="Z379" s="2132"/>
      <c r="AA379" s="2132"/>
      <c r="AB379" s="2132"/>
      <c r="AC379" s="2132"/>
      <c r="AD379" s="2132"/>
      <c r="AE379" s="2132"/>
      <c r="AF379" s="2132"/>
      <c r="AG379" s="2132"/>
      <c r="AH379" s="2132"/>
      <c r="AI379" s="2132"/>
      <c r="AJ379" s="2132"/>
      <c r="AK379" s="2132"/>
      <c r="AL379" s="2132"/>
      <c r="AM379" s="2132"/>
      <c r="AN379" s="2132"/>
      <c r="AO379" s="2132"/>
      <c r="AP379" s="2132"/>
      <c r="AQ379" s="2132"/>
      <c r="AR379" s="2132"/>
      <c r="AS379" s="2132"/>
      <c r="AT379" s="2132"/>
      <c r="AU379" s="2132"/>
      <c r="AV379" s="2132"/>
      <c r="AW379" s="2132"/>
      <c r="AX379" s="2132"/>
      <c r="AY379" s="2132"/>
      <c r="AZ379" s="2132"/>
      <c r="BA379" s="2132"/>
      <c r="BB379" s="2132"/>
      <c r="BC379" s="2132"/>
      <c r="BD379" s="2132"/>
      <c r="BE379" s="2132"/>
      <c r="BF379" s="2132"/>
      <c r="BG379" s="2132"/>
      <c r="BH379" s="2132"/>
      <c r="BI379" s="2132"/>
      <c r="BJ379" s="2132"/>
      <c r="BK379" s="2132"/>
      <c r="BL379" s="2132"/>
      <c r="BM379" s="2132"/>
      <c r="BN379" s="2132"/>
      <c r="BO379" s="2132"/>
    </row>
    <row r="380" spans="1:67" ht="20.100000000000001" hidden="1" customHeight="1" outlineLevel="1">
      <c r="A380" s="1845"/>
      <c r="B380" s="1854"/>
      <c r="C380" s="1847"/>
      <c r="D380" s="1848" t="s">
        <v>565</v>
      </c>
      <c r="E380" s="1848"/>
      <c r="F380" s="1849"/>
      <c r="G380" s="2010" t="s">
        <v>540</v>
      </c>
      <c r="H380" s="2065"/>
      <c r="I380" s="2065"/>
      <c r="J380" s="2065"/>
      <c r="K380" s="2065"/>
      <c r="L380" s="2131"/>
      <c r="M380" s="2131"/>
      <c r="N380" s="2131"/>
      <c r="O380" s="2131"/>
      <c r="P380" s="2131"/>
      <c r="Q380" s="2131"/>
      <c r="R380" s="2131"/>
      <c r="S380" s="2131"/>
      <c r="T380" s="2131"/>
      <c r="U380" s="2131"/>
      <c r="V380" s="2131"/>
      <c r="W380" s="2131"/>
      <c r="X380" s="2132"/>
      <c r="Y380" s="2132"/>
      <c r="Z380" s="2132"/>
      <c r="AA380" s="2132"/>
      <c r="AB380" s="2132"/>
      <c r="AC380" s="2132"/>
      <c r="AD380" s="2132"/>
      <c r="AE380" s="2132"/>
      <c r="AF380" s="2132"/>
      <c r="AG380" s="2132"/>
      <c r="AH380" s="2132"/>
      <c r="AI380" s="2132"/>
      <c r="AJ380" s="2132"/>
      <c r="AK380" s="2132"/>
      <c r="AL380" s="2132"/>
      <c r="AM380" s="2132"/>
      <c r="AN380" s="2132"/>
      <c r="AO380" s="2132"/>
      <c r="AP380" s="2132"/>
      <c r="AQ380" s="2132"/>
      <c r="AR380" s="2132"/>
      <c r="AS380" s="2132"/>
      <c r="AT380" s="2132"/>
      <c r="AU380" s="2132"/>
      <c r="AV380" s="2132"/>
      <c r="AW380" s="2132"/>
      <c r="AX380" s="2132"/>
      <c r="AY380" s="2132"/>
      <c r="AZ380" s="2132"/>
      <c r="BA380" s="2132"/>
      <c r="BB380" s="2132"/>
      <c r="BC380" s="2132"/>
      <c r="BD380" s="2132"/>
      <c r="BE380" s="2132"/>
      <c r="BF380" s="2132"/>
      <c r="BG380" s="2132"/>
      <c r="BH380" s="2132"/>
      <c r="BI380" s="2132"/>
      <c r="BJ380" s="2132"/>
      <c r="BK380" s="2132"/>
      <c r="BL380" s="2132"/>
      <c r="BM380" s="2132"/>
      <c r="BN380" s="2132"/>
      <c r="BO380" s="2132"/>
    </row>
    <row r="381" spans="1:67" ht="20.100000000000001" hidden="1" customHeight="1" outlineLevel="1">
      <c r="A381" s="1845"/>
      <c r="B381" s="1854"/>
      <c r="C381" s="1847"/>
      <c r="D381" s="1848" t="s">
        <v>566</v>
      </c>
      <c r="E381" s="1848"/>
      <c r="F381" s="1849"/>
      <c r="G381" s="2010" t="s">
        <v>553</v>
      </c>
      <c r="H381" s="2065"/>
      <c r="I381" s="2065"/>
      <c r="J381" s="2065"/>
      <c r="K381" s="2065"/>
      <c r="L381" s="2131"/>
      <c r="M381" s="2131"/>
      <c r="N381" s="2131"/>
      <c r="O381" s="2131"/>
      <c r="P381" s="2131"/>
      <c r="Q381" s="2131"/>
      <c r="R381" s="2131"/>
      <c r="S381" s="2131"/>
      <c r="T381" s="2131"/>
      <c r="U381" s="2131"/>
      <c r="V381" s="2131"/>
      <c r="W381" s="2131"/>
      <c r="X381" s="2132"/>
      <c r="Y381" s="2132"/>
      <c r="Z381" s="2132"/>
      <c r="AA381" s="2132"/>
      <c r="AB381" s="2132"/>
      <c r="AC381" s="2132"/>
      <c r="AD381" s="2132"/>
      <c r="AE381" s="2132"/>
      <c r="AF381" s="2132"/>
      <c r="AG381" s="2132"/>
      <c r="AH381" s="2132"/>
      <c r="AI381" s="2132"/>
      <c r="AJ381" s="2132"/>
      <c r="AK381" s="2132"/>
      <c r="AL381" s="2132"/>
      <c r="AM381" s="2132"/>
      <c r="AN381" s="2132"/>
      <c r="AO381" s="2132"/>
      <c r="AP381" s="2132"/>
      <c r="AQ381" s="2132"/>
      <c r="AR381" s="2132"/>
      <c r="AS381" s="2132"/>
      <c r="AT381" s="2132"/>
      <c r="AU381" s="2132"/>
      <c r="AV381" s="2132"/>
      <c r="AW381" s="2132"/>
      <c r="AX381" s="2132"/>
      <c r="AY381" s="2132"/>
      <c r="AZ381" s="2132"/>
      <c r="BA381" s="2132"/>
      <c r="BB381" s="2132"/>
      <c r="BC381" s="2132"/>
      <c r="BD381" s="2132"/>
      <c r="BE381" s="2132"/>
      <c r="BF381" s="2132"/>
      <c r="BG381" s="2132"/>
      <c r="BH381" s="2132"/>
      <c r="BI381" s="2132"/>
      <c r="BJ381" s="2132"/>
      <c r="BK381" s="2132"/>
      <c r="BL381" s="2132"/>
      <c r="BM381" s="2132"/>
      <c r="BN381" s="2132"/>
      <c r="BO381" s="2132"/>
    </row>
    <row r="382" spans="1:67" ht="20.100000000000001" hidden="1" customHeight="1" outlineLevel="1">
      <c r="A382" s="1845"/>
      <c r="B382" s="1854"/>
      <c r="C382" s="1847"/>
      <c r="D382" s="1848" t="s">
        <v>940</v>
      </c>
      <c r="E382" s="1858" t="str">
        <f ca="1">E44</f>
        <v/>
      </c>
      <c r="F382" s="1860"/>
      <c r="G382" s="2010" t="s">
        <v>548</v>
      </c>
      <c r="H382" s="2065"/>
      <c r="I382" s="2065"/>
      <c r="J382" s="2065"/>
      <c r="K382" s="2065"/>
      <c r="L382" s="2131"/>
      <c r="M382" s="2131"/>
      <c r="N382" s="2131"/>
      <c r="O382" s="2131"/>
      <c r="P382" s="2131"/>
      <c r="Q382" s="2131"/>
      <c r="R382" s="2131"/>
      <c r="S382" s="2131"/>
      <c r="T382" s="2131"/>
      <c r="U382" s="2131"/>
      <c r="V382" s="2131"/>
      <c r="W382" s="2131"/>
      <c r="X382" s="2132"/>
      <c r="Y382" s="2132"/>
      <c r="Z382" s="2132"/>
      <c r="AA382" s="2132"/>
      <c r="AB382" s="2132"/>
      <c r="AC382" s="2132"/>
      <c r="AD382" s="2132"/>
      <c r="AE382" s="2132"/>
      <c r="AF382" s="2132"/>
      <c r="AG382" s="2132"/>
      <c r="AH382" s="2132"/>
      <c r="AI382" s="2132"/>
      <c r="AJ382" s="2132"/>
      <c r="AK382" s="2132"/>
      <c r="AL382" s="2132"/>
      <c r="AM382" s="2132"/>
      <c r="AN382" s="2132"/>
      <c r="AO382" s="2132"/>
      <c r="AP382" s="2132"/>
      <c r="AQ382" s="2132"/>
      <c r="AR382" s="2132"/>
      <c r="AS382" s="2132"/>
      <c r="AT382" s="2132"/>
      <c r="AU382" s="2132"/>
      <c r="AV382" s="2132"/>
      <c r="AW382" s="2132"/>
      <c r="AX382" s="2132"/>
      <c r="AY382" s="2132"/>
      <c r="AZ382" s="2132"/>
      <c r="BA382" s="2132"/>
      <c r="BB382" s="2132"/>
      <c r="BC382" s="2132"/>
      <c r="BD382" s="2132"/>
      <c r="BE382" s="2132"/>
      <c r="BF382" s="2132"/>
      <c r="BG382" s="2132"/>
      <c r="BH382" s="2132"/>
      <c r="BI382" s="2132"/>
      <c r="BJ382" s="2132"/>
      <c r="BK382" s="2132"/>
      <c r="BL382" s="2132"/>
      <c r="BM382" s="2132"/>
      <c r="BN382" s="2132"/>
      <c r="BO382" s="2132"/>
    </row>
    <row r="383" spans="1:67" ht="20.100000000000001" hidden="1" customHeight="1" outlineLevel="1">
      <c r="A383" s="1845"/>
      <c r="B383" s="1854"/>
      <c r="C383" s="1847"/>
      <c r="D383" s="1859" t="s">
        <v>567</v>
      </c>
      <c r="E383" s="1848"/>
      <c r="F383" s="1849"/>
      <c r="G383" s="2010" t="s">
        <v>548</v>
      </c>
      <c r="H383" s="2065"/>
      <c r="I383" s="2065"/>
      <c r="J383" s="2065"/>
      <c r="K383" s="2065"/>
      <c r="L383" s="2131"/>
      <c r="M383" s="2131"/>
      <c r="N383" s="2131"/>
      <c r="O383" s="2131"/>
      <c r="P383" s="2131"/>
      <c r="Q383" s="2131"/>
      <c r="R383" s="2131"/>
      <c r="S383" s="2131"/>
      <c r="T383" s="2131"/>
      <c r="U383" s="2131"/>
      <c r="V383" s="2131"/>
      <c r="W383" s="2131"/>
      <c r="X383" s="2132"/>
      <c r="Y383" s="2132"/>
      <c r="Z383" s="2132"/>
      <c r="AA383" s="2132"/>
      <c r="AB383" s="2132"/>
      <c r="AC383" s="2132"/>
      <c r="AD383" s="2132"/>
      <c r="AE383" s="2132"/>
      <c r="AF383" s="2132"/>
      <c r="AG383" s="2132"/>
      <c r="AH383" s="2132"/>
      <c r="AI383" s="2132"/>
      <c r="AJ383" s="2132"/>
      <c r="AK383" s="2132"/>
      <c r="AL383" s="2132"/>
      <c r="AM383" s="2132"/>
      <c r="AN383" s="2132"/>
      <c r="AO383" s="2132"/>
      <c r="AP383" s="2132"/>
      <c r="AQ383" s="2132"/>
      <c r="AR383" s="2132"/>
      <c r="AS383" s="2132"/>
      <c r="AT383" s="2132"/>
      <c r="AU383" s="2132"/>
      <c r="AV383" s="2132"/>
      <c r="AW383" s="2132"/>
      <c r="AX383" s="2132"/>
      <c r="AY383" s="2132"/>
      <c r="AZ383" s="2132"/>
      <c r="BA383" s="2132"/>
      <c r="BB383" s="2132"/>
      <c r="BC383" s="2132"/>
      <c r="BD383" s="2132"/>
      <c r="BE383" s="2132"/>
      <c r="BF383" s="2132"/>
      <c r="BG383" s="2132"/>
      <c r="BH383" s="2132"/>
      <c r="BI383" s="2132"/>
      <c r="BJ383" s="2132"/>
      <c r="BK383" s="2132"/>
      <c r="BL383" s="2132"/>
      <c r="BM383" s="2132"/>
      <c r="BN383" s="2132"/>
      <c r="BO383" s="2132"/>
    </row>
    <row r="384" spans="1:67" ht="20.100000000000001" hidden="1" customHeight="1" outlineLevel="1">
      <c r="A384" s="1845"/>
      <c r="B384" s="1854"/>
      <c r="C384" s="1847"/>
      <c r="D384" s="1859" t="s">
        <v>568</v>
      </c>
      <c r="E384" s="1861"/>
      <c r="F384" s="1849"/>
      <c r="G384" s="2010" t="s">
        <v>548</v>
      </c>
      <c r="H384" s="2065"/>
      <c r="I384" s="2065"/>
      <c r="J384" s="2065"/>
      <c r="K384" s="2065"/>
      <c r="L384" s="2131"/>
      <c r="M384" s="2131"/>
      <c r="N384" s="2131"/>
      <c r="O384" s="2131"/>
      <c r="P384" s="2131"/>
      <c r="Q384" s="2131"/>
      <c r="R384" s="2131"/>
      <c r="S384" s="2131"/>
      <c r="T384" s="2131"/>
      <c r="U384" s="2131"/>
      <c r="V384" s="2131"/>
      <c r="W384" s="2131"/>
      <c r="X384" s="2132"/>
      <c r="Y384" s="2132"/>
      <c r="Z384" s="2132"/>
      <c r="AA384" s="2132"/>
      <c r="AB384" s="2132"/>
      <c r="AC384" s="2132"/>
      <c r="AD384" s="2132"/>
      <c r="AE384" s="2132"/>
      <c r="AF384" s="2132"/>
      <c r="AG384" s="2132"/>
      <c r="AH384" s="2132"/>
      <c r="AI384" s="2132"/>
      <c r="AJ384" s="2132"/>
      <c r="AK384" s="2132"/>
      <c r="AL384" s="2132"/>
      <c r="AM384" s="2132"/>
      <c r="AN384" s="2132"/>
      <c r="AO384" s="2132"/>
      <c r="AP384" s="2132"/>
      <c r="AQ384" s="2132"/>
      <c r="AR384" s="2132"/>
      <c r="AS384" s="2132"/>
      <c r="AT384" s="2132"/>
      <c r="AU384" s="2132"/>
      <c r="AV384" s="2132"/>
      <c r="AW384" s="2132"/>
      <c r="AX384" s="2132"/>
      <c r="AY384" s="2132"/>
      <c r="AZ384" s="2132"/>
      <c r="BA384" s="2132"/>
      <c r="BB384" s="2132"/>
      <c r="BC384" s="2132"/>
      <c r="BD384" s="2132"/>
      <c r="BE384" s="2132"/>
      <c r="BF384" s="2132"/>
      <c r="BG384" s="2132"/>
      <c r="BH384" s="2132"/>
      <c r="BI384" s="2132"/>
      <c r="BJ384" s="2132"/>
      <c r="BK384" s="2132"/>
      <c r="BL384" s="2132"/>
      <c r="BM384" s="2132"/>
      <c r="BN384" s="2132"/>
      <c r="BO384" s="2132"/>
    </row>
    <row r="385" spans="1:68" ht="20.100000000000001" hidden="1" customHeight="1" outlineLevel="1">
      <c r="A385" s="1845"/>
      <c r="B385" s="1854"/>
      <c r="C385" s="1847"/>
      <c r="D385" s="1859" t="s">
        <v>941</v>
      </c>
      <c r="E385" s="1837"/>
      <c r="F385" s="1849"/>
      <c r="G385" s="2010" t="s">
        <v>548</v>
      </c>
      <c r="H385" s="2065"/>
      <c r="I385" s="2065"/>
      <c r="J385" s="2065"/>
      <c r="K385" s="2065"/>
      <c r="L385" s="2131"/>
      <c r="M385" s="2131"/>
      <c r="N385" s="2131"/>
      <c r="O385" s="2131"/>
      <c r="P385" s="2131"/>
      <c r="Q385" s="2131"/>
      <c r="R385" s="2131"/>
      <c r="S385" s="2131"/>
      <c r="T385" s="2131"/>
      <c r="U385" s="2131"/>
      <c r="V385" s="2131"/>
      <c r="W385" s="2131"/>
      <c r="X385" s="2132"/>
      <c r="Y385" s="2132"/>
      <c r="Z385" s="2132"/>
      <c r="AA385" s="2132"/>
      <c r="AB385" s="2132"/>
      <c r="AC385" s="2132"/>
      <c r="AD385" s="2132"/>
      <c r="AE385" s="2132"/>
      <c r="AF385" s="2132"/>
      <c r="AG385" s="2132"/>
      <c r="AH385" s="2132"/>
      <c r="AI385" s="2132"/>
      <c r="AJ385" s="2132"/>
      <c r="AK385" s="2132"/>
      <c r="AL385" s="2132"/>
      <c r="AM385" s="2132"/>
      <c r="AN385" s="2132"/>
      <c r="AO385" s="2132"/>
      <c r="AP385" s="2132"/>
      <c r="AQ385" s="2132"/>
      <c r="AR385" s="2132"/>
      <c r="AS385" s="2132"/>
      <c r="AT385" s="2132"/>
      <c r="AU385" s="2132"/>
      <c r="AV385" s="2132"/>
      <c r="AW385" s="2132"/>
      <c r="AX385" s="2132"/>
      <c r="AY385" s="2132"/>
      <c r="AZ385" s="2132"/>
      <c r="BA385" s="2132"/>
      <c r="BB385" s="2132"/>
      <c r="BC385" s="2132"/>
      <c r="BD385" s="2132"/>
      <c r="BE385" s="2132"/>
      <c r="BF385" s="2132"/>
      <c r="BG385" s="2132"/>
      <c r="BH385" s="2132"/>
      <c r="BI385" s="2132"/>
      <c r="BJ385" s="2132"/>
      <c r="BK385" s="2132"/>
      <c r="BL385" s="2132"/>
      <c r="BM385" s="2132"/>
      <c r="BN385" s="2132"/>
      <c r="BO385" s="2132"/>
    </row>
    <row r="386" spans="1:68" ht="20.100000000000001" hidden="1" customHeight="1" outlineLevel="1">
      <c r="A386" s="1845"/>
      <c r="B386" s="1855"/>
      <c r="C386" s="1847"/>
      <c r="D386" s="1859" t="s">
        <v>942</v>
      </c>
      <c r="E386" s="1848"/>
      <c r="F386" s="1849"/>
      <c r="G386" s="2010" t="s">
        <v>548</v>
      </c>
      <c r="H386" s="2065"/>
      <c r="I386" s="2065"/>
      <c r="J386" s="2065"/>
      <c r="K386" s="2065"/>
      <c r="L386" s="2131"/>
      <c r="M386" s="2131"/>
      <c r="N386" s="2131"/>
      <c r="O386" s="2131"/>
      <c r="P386" s="2131"/>
      <c r="Q386" s="2131"/>
      <c r="R386" s="2131"/>
      <c r="S386" s="2131"/>
      <c r="T386" s="2131"/>
      <c r="U386" s="2131"/>
      <c r="V386" s="2131"/>
      <c r="W386" s="2131"/>
      <c r="X386" s="2132"/>
      <c r="Y386" s="2132"/>
      <c r="Z386" s="2132"/>
      <c r="AA386" s="2132"/>
      <c r="AB386" s="2132"/>
      <c r="AC386" s="2132"/>
      <c r="AD386" s="2132"/>
      <c r="AE386" s="2132"/>
      <c r="AF386" s="2132"/>
      <c r="AG386" s="2132"/>
      <c r="AH386" s="2132"/>
      <c r="AI386" s="2132"/>
      <c r="AJ386" s="2132"/>
      <c r="AK386" s="2132"/>
      <c r="AL386" s="2132"/>
      <c r="AM386" s="2132"/>
      <c r="AN386" s="2132"/>
      <c r="AO386" s="2132"/>
      <c r="AP386" s="2132"/>
      <c r="AQ386" s="2132"/>
      <c r="AR386" s="2132"/>
      <c r="AS386" s="2132"/>
      <c r="AT386" s="2132"/>
      <c r="AU386" s="2132"/>
      <c r="AV386" s="2132"/>
      <c r="AW386" s="2132"/>
      <c r="AX386" s="2132"/>
      <c r="AY386" s="2132"/>
      <c r="AZ386" s="2132"/>
      <c r="BA386" s="2132"/>
      <c r="BB386" s="2132"/>
      <c r="BC386" s="2132"/>
      <c r="BD386" s="2132"/>
      <c r="BE386" s="2132"/>
      <c r="BF386" s="2132"/>
      <c r="BG386" s="2132"/>
      <c r="BH386" s="2132"/>
      <c r="BI386" s="2132"/>
      <c r="BJ386" s="2132"/>
      <c r="BK386" s="2132"/>
      <c r="BL386" s="2132"/>
      <c r="BM386" s="2132"/>
      <c r="BN386" s="2132"/>
      <c r="BO386" s="2132"/>
    </row>
    <row r="387" spans="1:68" ht="20.100000000000001" hidden="1" customHeight="1" outlineLevel="1">
      <c r="A387" s="1845"/>
      <c r="B387" s="1855"/>
      <c r="C387" s="1847"/>
      <c r="D387" s="1859" t="s">
        <v>943</v>
      </c>
      <c r="E387" s="1848"/>
      <c r="F387" s="1849"/>
      <c r="G387" s="2010" t="s">
        <v>548</v>
      </c>
      <c r="H387" s="2065"/>
      <c r="I387" s="2065"/>
      <c r="J387" s="2065"/>
      <c r="K387" s="2065"/>
      <c r="L387" s="2131"/>
      <c r="M387" s="2131"/>
      <c r="N387" s="2131"/>
      <c r="O387" s="2131"/>
      <c r="P387" s="2131"/>
      <c r="Q387" s="2131"/>
      <c r="R387" s="2131"/>
      <c r="S387" s="2131"/>
      <c r="T387" s="2131"/>
      <c r="U387" s="2131"/>
      <c r="V387" s="2131"/>
      <c r="W387" s="2131"/>
      <c r="X387" s="2132"/>
      <c r="Y387" s="2132"/>
      <c r="Z387" s="2132"/>
      <c r="AA387" s="2132"/>
      <c r="AB387" s="2132"/>
      <c r="AC387" s="2132"/>
      <c r="AD387" s="2132"/>
      <c r="AE387" s="2132"/>
      <c r="AF387" s="2132"/>
      <c r="AG387" s="2132"/>
      <c r="AH387" s="2132"/>
      <c r="AI387" s="2132"/>
      <c r="AJ387" s="2132"/>
      <c r="AK387" s="2132"/>
      <c r="AL387" s="2132"/>
      <c r="AM387" s="2132"/>
      <c r="AN387" s="2132"/>
      <c r="AO387" s="2132"/>
      <c r="AP387" s="2132"/>
      <c r="AQ387" s="2132"/>
      <c r="AR387" s="2132"/>
      <c r="AS387" s="2132"/>
      <c r="AT387" s="2132"/>
      <c r="AU387" s="2132"/>
      <c r="AV387" s="2132"/>
      <c r="AW387" s="2132"/>
      <c r="AX387" s="2132"/>
      <c r="AY387" s="2132"/>
      <c r="AZ387" s="2132"/>
      <c r="BA387" s="2132"/>
      <c r="BB387" s="2132"/>
      <c r="BC387" s="2132"/>
      <c r="BD387" s="2132"/>
      <c r="BE387" s="2132"/>
      <c r="BF387" s="2132"/>
      <c r="BG387" s="2132"/>
      <c r="BH387" s="2132"/>
      <c r="BI387" s="2132"/>
      <c r="BJ387" s="2132"/>
      <c r="BK387" s="2132"/>
      <c r="BL387" s="2132"/>
      <c r="BM387" s="2132"/>
      <c r="BN387" s="2132"/>
      <c r="BO387" s="2132"/>
    </row>
    <row r="388" spans="1:68" ht="20.100000000000001" hidden="1" customHeight="1" outlineLevel="1">
      <c r="A388" s="1845"/>
      <c r="B388" s="1855"/>
      <c r="C388" s="1847"/>
      <c r="D388" s="1859" t="s">
        <v>944</v>
      </c>
      <c r="E388" s="1848"/>
      <c r="F388" s="1849"/>
      <c r="G388" s="2010" t="s">
        <v>540</v>
      </c>
      <c r="H388" s="2065"/>
      <c r="I388" s="2065"/>
      <c r="J388" s="2065"/>
      <c r="K388" s="2065"/>
      <c r="L388" s="2131"/>
      <c r="M388" s="2131"/>
      <c r="N388" s="2131"/>
      <c r="O388" s="2131"/>
      <c r="P388" s="2131"/>
      <c r="Q388" s="2131"/>
      <c r="R388" s="2131"/>
      <c r="S388" s="2131"/>
      <c r="T388" s="2131"/>
      <c r="U388" s="2131"/>
      <c r="V388" s="2131"/>
      <c r="W388" s="2131"/>
      <c r="X388" s="2132"/>
      <c r="Y388" s="2132"/>
      <c r="Z388" s="2132"/>
      <c r="AA388" s="2132"/>
      <c r="AB388" s="2132"/>
      <c r="AC388" s="2132"/>
      <c r="AD388" s="2132"/>
      <c r="AE388" s="2132"/>
      <c r="AF388" s="2132"/>
      <c r="AG388" s="2132"/>
      <c r="AH388" s="2132"/>
      <c r="AI388" s="2132"/>
      <c r="AJ388" s="2132"/>
      <c r="AK388" s="2132"/>
      <c r="AL388" s="2132"/>
      <c r="AM388" s="2132"/>
      <c r="AN388" s="2132"/>
      <c r="AO388" s="2132"/>
      <c r="AP388" s="2132"/>
      <c r="AQ388" s="2132"/>
      <c r="AR388" s="2132"/>
      <c r="AS388" s="2132"/>
      <c r="AT388" s="2132"/>
      <c r="AU388" s="2132"/>
      <c r="AV388" s="2132"/>
      <c r="AW388" s="2132"/>
      <c r="AX388" s="2132"/>
      <c r="AY388" s="2132"/>
      <c r="AZ388" s="2132"/>
      <c r="BA388" s="2132"/>
      <c r="BB388" s="2132"/>
      <c r="BC388" s="2132"/>
      <c r="BD388" s="2132"/>
      <c r="BE388" s="2132"/>
      <c r="BF388" s="2132"/>
      <c r="BG388" s="2132"/>
      <c r="BH388" s="2132"/>
      <c r="BI388" s="2132"/>
      <c r="BJ388" s="2132"/>
      <c r="BK388" s="2132"/>
      <c r="BL388" s="2132"/>
      <c r="BM388" s="2132"/>
      <c r="BN388" s="2132"/>
      <c r="BO388" s="2132"/>
    </row>
    <row r="389" spans="1:68" ht="20.100000000000001" hidden="1" customHeight="1" outlineLevel="1">
      <c r="A389" s="1845"/>
      <c r="B389" s="1854"/>
      <c r="C389" s="1847"/>
      <c r="D389" s="1848" t="s">
        <v>945</v>
      </c>
      <c r="E389" s="1848"/>
      <c r="F389" s="1849"/>
      <c r="G389" s="2010" t="s">
        <v>553</v>
      </c>
      <c r="H389" s="2065"/>
      <c r="I389" s="2065"/>
      <c r="J389" s="2065"/>
      <c r="K389" s="2065"/>
      <c r="L389" s="2131"/>
      <c r="M389" s="2131"/>
      <c r="N389" s="2131"/>
      <c r="O389" s="2131"/>
      <c r="P389" s="2131"/>
      <c r="Q389" s="2131"/>
      <c r="R389" s="2131"/>
      <c r="S389" s="2131"/>
      <c r="T389" s="2131"/>
      <c r="U389" s="2131"/>
      <c r="V389" s="2131"/>
      <c r="W389" s="2131"/>
      <c r="X389" s="2132"/>
      <c r="Y389" s="2132"/>
      <c r="Z389" s="2132"/>
      <c r="AA389" s="2132"/>
      <c r="AB389" s="2132"/>
      <c r="AC389" s="2132"/>
      <c r="AD389" s="2132"/>
      <c r="AE389" s="2132"/>
      <c r="AF389" s="2132"/>
      <c r="AG389" s="2132"/>
      <c r="AH389" s="2132"/>
      <c r="AI389" s="2132"/>
      <c r="AJ389" s="2132"/>
      <c r="AK389" s="2132"/>
      <c r="AL389" s="2132"/>
      <c r="AM389" s="2132"/>
      <c r="AN389" s="2132"/>
      <c r="AO389" s="2132"/>
      <c r="AP389" s="2132"/>
      <c r="AQ389" s="2132"/>
      <c r="AR389" s="2132"/>
      <c r="AS389" s="2132"/>
      <c r="AT389" s="2132"/>
      <c r="AU389" s="2132"/>
      <c r="AV389" s="2132"/>
      <c r="AW389" s="2132"/>
      <c r="AX389" s="2132"/>
      <c r="AY389" s="2132"/>
      <c r="AZ389" s="2132"/>
      <c r="BA389" s="2132"/>
      <c r="BB389" s="2132"/>
      <c r="BC389" s="2132"/>
      <c r="BD389" s="2132"/>
      <c r="BE389" s="2132"/>
      <c r="BF389" s="2132"/>
      <c r="BG389" s="2132"/>
      <c r="BH389" s="2132"/>
      <c r="BI389" s="2132"/>
      <c r="BJ389" s="2132"/>
      <c r="BK389" s="2132"/>
      <c r="BL389" s="2132"/>
      <c r="BM389" s="2132"/>
      <c r="BN389" s="2132"/>
      <c r="BO389" s="2132"/>
    </row>
    <row r="390" spans="1:68" ht="20.100000000000001" hidden="1" customHeight="1" outlineLevel="1">
      <c r="A390" s="1845"/>
      <c r="B390" s="1854"/>
      <c r="C390" s="1847"/>
      <c r="D390" s="1848" t="s">
        <v>946</v>
      </c>
      <c r="E390" s="1848"/>
      <c r="F390" s="1849"/>
      <c r="G390" s="2010" t="s">
        <v>548</v>
      </c>
      <c r="H390" s="2065"/>
      <c r="I390" s="2065"/>
      <c r="J390" s="2065"/>
      <c r="K390" s="2065"/>
      <c r="L390" s="2131"/>
      <c r="M390" s="2131"/>
      <c r="N390" s="2131"/>
      <c r="O390" s="2131"/>
      <c r="P390" s="2131"/>
      <c r="Q390" s="2131"/>
      <c r="R390" s="2131"/>
      <c r="S390" s="2131"/>
      <c r="T390" s="2131"/>
      <c r="U390" s="2131"/>
      <c r="V390" s="2131"/>
      <c r="W390" s="2131"/>
      <c r="X390" s="2132"/>
      <c r="Y390" s="2132"/>
      <c r="Z390" s="2132"/>
      <c r="AA390" s="2132"/>
      <c r="AB390" s="2132"/>
      <c r="AC390" s="2132"/>
      <c r="AD390" s="2132"/>
      <c r="AE390" s="2132"/>
      <c r="AF390" s="2132"/>
      <c r="AG390" s="2132"/>
      <c r="AH390" s="2132"/>
      <c r="AI390" s="2132"/>
      <c r="AJ390" s="2132"/>
      <c r="AK390" s="2132"/>
      <c r="AL390" s="2132"/>
      <c r="AM390" s="2132"/>
      <c r="AN390" s="2132"/>
      <c r="AO390" s="2132"/>
      <c r="AP390" s="2132"/>
      <c r="AQ390" s="2132"/>
      <c r="AR390" s="2132"/>
      <c r="AS390" s="2132"/>
      <c r="AT390" s="2132"/>
      <c r="AU390" s="2132"/>
      <c r="AV390" s="2132"/>
      <c r="AW390" s="2132"/>
      <c r="AX390" s="2132"/>
      <c r="AY390" s="2132"/>
      <c r="AZ390" s="2132"/>
      <c r="BA390" s="2132"/>
      <c r="BB390" s="2132"/>
      <c r="BC390" s="2132"/>
      <c r="BD390" s="2132"/>
      <c r="BE390" s="2132"/>
      <c r="BF390" s="2132"/>
      <c r="BG390" s="2132"/>
      <c r="BH390" s="2132"/>
      <c r="BI390" s="2132"/>
      <c r="BJ390" s="2132"/>
      <c r="BK390" s="2132"/>
      <c r="BL390" s="2132"/>
      <c r="BM390" s="2132"/>
      <c r="BN390" s="2132"/>
      <c r="BO390" s="2132"/>
    </row>
    <row r="391" spans="1:68" ht="20.100000000000001" hidden="1" customHeight="1" outlineLevel="1">
      <c r="A391" s="1845"/>
      <c r="B391" s="1854"/>
      <c r="C391" s="1847"/>
      <c r="D391" s="1848" t="s">
        <v>947</v>
      </c>
      <c r="E391" s="1848"/>
      <c r="F391" s="1849"/>
      <c r="G391" s="2010" t="s">
        <v>548</v>
      </c>
      <c r="H391" s="2065"/>
      <c r="I391" s="2065"/>
      <c r="J391" s="2065"/>
      <c r="K391" s="2065"/>
      <c r="L391" s="2131"/>
      <c r="M391" s="2131"/>
      <c r="N391" s="2131"/>
      <c r="O391" s="2131"/>
      <c r="P391" s="2131"/>
      <c r="Q391" s="2131"/>
      <c r="R391" s="2131"/>
      <c r="S391" s="2131"/>
      <c r="T391" s="2131"/>
      <c r="U391" s="2131"/>
      <c r="V391" s="2131"/>
      <c r="W391" s="2131"/>
      <c r="X391" s="2132"/>
      <c r="Y391" s="2132"/>
      <c r="Z391" s="2132"/>
      <c r="AA391" s="2132"/>
      <c r="AB391" s="2132"/>
      <c r="AC391" s="2132"/>
      <c r="AD391" s="2132"/>
      <c r="AE391" s="2132"/>
      <c r="AF391" s="2132"/>
      <c r="AG391" s="2132"/>
      <c r="AH391" s="2132"/>
      <c r="AI391" s="2132"/>
      <c r="AJ391" s="2132"/>
      <c r="AK391" s="2132"/>
      <c r="AL391" s="2132"/>
      <c r="AM391" s="2132"/>
      <c r="AN391" s="2132"/>
      <c r="AO391" s="2132"/>
      <c r="AP391" s="2132"/>
      <c r="AQ391" s="2132"/>
      <c r="AR391" s="2132"/>
      <c r="AS391" s="2132"/>
      <c r="AT391" s="2132"/>
      <c r="AU391" s="2132"/>
      <c r="AV391" s="2132"/>
      <c r="AW391" s="2132"/>
      <c r="AX391" s="2132"/>
      <c r="AY391" s="2132"/>
      <c r="AZ391" s="2132"/>
      <c r="BA391" s="2132"/>
      <c r="BB391" s="2132"/>
      <c r="BC391" s="2132"/>
      <c r="BD391" s="2132"/>
      <c r="BE391" s="2132"/>
      <c r="BF391" s="2132"/>
      <c r="BG391" s="2132"/>
      <c r="BH391" s="2132"/>
      <c r="BI391" s="2132"/>
      <c r="BJ391" s="2132"/>
      <c r="BK391" s="2132"/>
      <c r="BL391" s="2132"/>
      <c r="BM391" s="2132"/>
      <c r="BN391" s="2132"/>
      <c r="BO391" s="2132"/>
    </row>
    <row r="392" spans="1:68" ht="20.100000000000001" hidden="1" customHeight="1" outlineLevel="1">
      <c r="A392" s="1845"/>
      <c r="B392" s="1854"/>
      <c r="C392" s="1847"/>
      <c r="D392" s="1848" t="s">
        <v>569</v>
      </c>
      <c r="E392" s="1848"/>
      <c r="F392" s="1849"/>
      <c r="G392" s="2010" t="s">
        <v>548</v>
      </c>
      <c r="H392" s="2065"/>
      <c r="I392" s="2065"/>
      <c r="J392" s="2065"/>
      <c r="K392" s="2065"/>
      <c r="L392" s="2131"/>
      <c r="M392" s="2131"/>
      <c r="N392" s="2131"/>
      <c r="O392" s="2131"/>
      <c r="P392" s="2131"/>
      <c r="Q392" s="2131"/>
      <c r="R392" s="2131"/>
      <c r="S392" s="2131"/>
      <c r="T392" s="2131"/>
      <c r="U392" s="2131"/>
      <c r="V392" s="2131"/>
      <c r="W392" s="2131"/>
      <c r="X392" s="2132"/>
      <c r="Y392" s="2132"/>
      <c r="Z392" s="2132"/>
      <c r="AA392" s="2132"/>
      <c r="AB392" s="2132"/>
      <c r="AC392" s="2132"/>
      <c r="AD392" s="2132"/>
      <c r="AE392" s="2132"/>
      <c r="AF392" s="2132"/>
      <c r="AG392" s="2132"/>
      <c r="AH392" s="2132"/>
      <c r="AI392" s="2132"/>
      <c r="AJ392" s="2132"/>
      <c r="AK392" s="2132"/>
      <c r="AL392" s="2132"/>
      <c r="AM392" s="2132"/>
      <c r="AN392" s="2132"/>
      <c r="AO392" s="2132"/>
      <c r="AP392" s="2132"/>
      <c r="AQ392" s="2132"/>
      <c r="AR392" s="2132"/>
      <c r="AS392" s="2132"/>
      <c r="AT392" s="2132"/>
      <c r="AU392" s="2132"/>
      <c r="AV392" s="2132"/>
      <c r="AW392" s="2132"/>
      <c r="AX392" s="2132"/>
      <c r="AY392" s="2132"/>
      <c r="AZ392" s="2132"/>
      <c r="BA392" s="2132"/>
      <c r="BB392" s="2132"/>
      <c r="BC392" s="2132"/>
      <c r="BD392" s="2132"/>
      <c r="BE392" s="2132"/>
      <c r="BF392" s="2132"/>
      <c r="BG392" s="2132"/>
      <c r="BH392" s="2132"/>
      <c r="BI392" s="2132"/>
      <c r="BJ392" s="2132"/>
      <c r="BK392" s="2132"/>
      <c r="BL392" s="2132"/>
      <c r="BM392" s="2132"/>
      <c r="BN392" s="2132"/>
      <c r="BO392" s="2132"/>
    </row>
    <row r="393" spans="1:68" ht="20.100000000000001" hidden="1" customHeight="1" outlineLevel="1">
      <c r="A393" s="1845"/>
      <c r="B393" s="1854"/>
      <c r="C393" s="1847"/>
      <c r="D393" s="1848" t="s">
        <v>948</v>
      </c>
      <c r="E393" s="1858" t="str">
        <f ca="1">E55</f>
        <v/>
      </c>
      <c r="F393" s="1860"/>
      <c r="G393" s="1858" t="str">
        <f ca="1">G55</f>
        <v/>
      </c>
      <c r="H393" s="2065"/>
      <c r="I393" s="2065"/>
      <c r="J393" s="2065"/>
      <c r="K393" s="2065"/>
      <c r="L393" s="2131"/>
      <c r="M393" s="2131"/>
      <c r="N393" s="2131"/>
      <c r="O393" s="2131"/>
      <c r="P393" s="2131"/>
      <c r="Q393" s="2131"/>
      <c r="R393" s="2131"/>
      <c r="S393" s="2131"/>
      <c r="T393" s="2131"/>
      <c r="U393" s="2131"/>
      <c r="V393" s="2131"/>
      <c r="W393" s="2131"/>
      <c r="X393" s="2132"/>
      <c r="Y393" s="2132"/>
      <c r="Z393" s="2132"/>
      <c r="AA393" s="2132"/>
      <c r="AB393" s="2132"/>
      <c r="AC393" s="2132"/>
      <c r="AD393" s="2132"/>
      <c r="AE393" s="2132"/>
      <c r="AF393" s="2132"/>
      <c r="AG393" s="2132"/>
      <c r="AH393" s="2132"/>
      <c r="AI393" s="2132"/>
      <c r="AJ393" s="2132"/>
      <c r="AK393" s="2132"/>
      <c r="AL393" s="2132"/>
      <c r="AM393" s="2132"/>
      <c r="AN393" s="2132"/>
      <c r="AO393" s="2132"/>
      <c r="AP393" s="2132"/>
      <c r="AQ393" s="2132"/>
      <c r="AR393" s="2132"/>
      <c r="AS393" s="2132"/>
      <c r="AT393" s="2132"/>
      <c r="AU393" s="2132"/>
      <c r="AV393" s="2132"/>
      <c r="AW393" s="2132"/>
      <c r="AX393" s="2132"/>
      <c r="AY393" s="2132"/>
      <c r="AZ393" s="2132"/>
      <c r="BA393" s="2132"/>
      <c r="BB393" s="2132"/>
      <c r="BC393" s="2132"/>
      <c r="BD393" s="2132"/>
      <c r="BE393" s="2132"/>
      <c r="BF393" s="2132"/>
      <c r="BG393" s="2132"/>
      <c r="BH393" s="2132"/>
      <c r="BI393" s="2132"/>
      <c r="BJ393" s="2132"/>
      <c r="BK393" s="2132"/>
      <c r="BL393" s="2132"/>
      <c r="BM393" s="2132"/>
      <c r="BN393" s="2132"/>
      <c r="BO393" s="2132"/>
    </row>
    <row r="394" spans="1:68" ht="20.100000000000001" hidden="1" customHeight="1" outlineLevel="1">
      <c r="A394" s="1845"/>
      <c r="B394" s="1854"/>
      <c r="C394" s="1847"/>
      <c r="D394" s="1848" t="s">
        <v>949</v>
      </c>
      <c r="E394" s="1858" t="str">
        <f ca="1">E56</f>
        <v/>
      </c>
      <c r="F394" s="1860"/>
      <c r="G394" s="1858" t="str">
        <f ca="1">G56</f>
        <v/>
      </c>
      <c r="H394" s="2065"/>
      <c r="I394" s="2065"/>
      <c r="J394" s="2065"/>
      <c r="K394" s="2065"/>
      <c r="L394" s="2131"/>
      <c r="M394" s="2131"/>
      <c r="N394" s="2131"/>
      <c r="O394" s="2131"/>
      <c r="P394" s="2131"/>
      <c r="Q394" s="2131"/>
      <c r="R394" s="2131"/>
      <c r="S394" s="2131"/>
      <c r="T394" s="2131"/>
      <c r="U394" s="2131"/>
      <c r="V394" s="2131"/>
      <c r="W394" s="2131"/>
      <c r="X394" s="2132"/>
      <c r="Y394" s="2132"/>
      <c r="Z394" s="2132"/>
      <c r="AA394" s="2132"/>
      <c r="AB394" s="2132"/>
      <c r="AC394" s="2132"/>
      <c r="AD394" s="2132"/>
      <c r="AE394" s="2132"/>
      <c r="AF394" s="2132"/>
      <c r="AG394" s="2132"/>
      <c r="AH394" s="2132"/>
      <c r="AI394" s="2132"/>
      <c r="AJ394" s="2132"/>
      <c r="AK394" s="2132"/>
      <c r="AL394" s="2132"/>
      <c r="AM394" s="2132"/>
      <c r="AN394" s="2132"/>
      <c r="AO394" s="2132"/>
      <c r="AP394" s="2132"/>
      <c r="AQ394" s="2132"/>
      <c r="AR394" s="2132"/>
      <c r="AS394" s="2132"/>
      <c r="AT394" s="2132"/>
      <c r="AU394" s="2132"/>
      <c r="AV394" s="2132"/>
      <c r="AW394" s="2132"/>
      <c r="AX394" s="2132"/>
      <c r="AY394" s="2132"/>
      <c r="AZ394" s="2132"/>
      <c r="BA394" s="2132"/>
      <c r="BB394" s="2132"/>
      <c r="BC394" s="2132"/>
      <c r="BD394" s="2132"/>
      <c r="BE394" s="2132"/>
      <c r="BF394" s="2132"/>
      <c r="BG394" s="2132"/>
      <c r="BH394" s="2132"/>
      <c r="BI394" s="2132"/>
      <c r="BJ394" s="2132"/>
      <c r="BK394" s="2132"/>
      <c r="BL394" s="2132"/>
      <c r="BM394" s="2132"/>
      <c r="BN394" s="2132"/>
      <c r="BO394" s="2132"/>
      <c r="BP394" s="1862"/>
    </row>
    <row r="395" spans="1:68" ht="20.100000000000001" customHeight="1" collapsed="1">
      <c r="A395" s="1845">
        <v>56</v>
      </c>
      <c r="B395" s="1846" t="s">
        <v>950</v>
      </c>
      <c r="C395" s="1847" t="s">
        <v>951</v>
      </c>
      <c r="D395" s="1848" t="s">
        <v>952</v>
      </c>
      <c r="E395" s="1856"/>
      <c r="F395" s="1863"/>
      <c r="G395" s="2010" t="s">
        <v>0</v>
      </c>
      <c r="H395" s="2011">
        <f t="shared" ref="H395:K405" ca="1" si="146">H57</f>
        <v>1.17</v>
      </c>
      <c r="I395" s="2011">
        <f t="shared" ca="1" si="146"/>
        <v>1.17</v>
      </c>
      <c r="J395" s="2011">
        <f t="shared" ca="1" si="146"/>
        <v>1.17</v>
      </c>
      <c r="K395" s="2011">
        <f t="shared" ca="1" si="146"/>
        <v>1.17</v>
      </c>
      <c r="L395" s="2012">
        <f t="shared" ref="L395:L405" ca="1" si="147">P395+T395</f>
        <v>0</v>
      </c>
      <c r="M395" s="2012">
        <f t="shared" ref="M395:M405" ca="1" si="148">Q395+U395</f>
        <v>0</v>
      </c>
      <c r="N395" s="2012">
        <f t="shared" ref="N395:N405" ca="1" si="149">R395+V395</f>
        <v>0</v>
      </c>
      <c r="O395" s="2012">
        <f t="shared" ref="O395:O405" ca="1" si="150">S395+W395</f>
        <v>0</v>
      </c>
      <c r="P395" s="2013">
        <f ca="1">SUM(SUMIFS(OFFSET(貼付け_2024実績,$A395,12,1,199),OFFSET(貼付け_2024実績,4,9,1,199),{"横浜*","川崎*"}))</f>
        <v>0</v>
      </c>
      <c r="Q395" s="2013">
        <f ca="1">SUM(SUMIFS(OFFSET(貼付け_2025実績,$A395,12,1,199),OFFSET(貼付け_2025実績,4,9,1,199),{"横浜*","川崎*"}))</f>
        <v>0</v>
      </c>
      <c r="R395" s="2013">
        <f ca="1">SUM(SUMIFS(OFFSET(貼付け_2026実績,$A395,12,1,199),OFFSET(貼付け_2026実績,4,9,1,199),{"横浜*","川崎*"}))</f>
        <v>0</v>
      </c>
      <c r="S395" s="2013">
        <f ca="1">SUM(SUMIFS(OFFSET(貼付け_2027実績,$A395,12,1,199),OFFSET(貼付け_2027実績,4,9,1,199),{"横浜*","川崎*"}))</f>
        <v>0</v>
      </c>
      <c r="T395" s="2012">
        <f t="shared" ref="T395:T405" ca="1" si="151">SUM(X395,AB395,AF395,AJ395,AN395,AR395,AV395,AZ395,BD395,BH395,BL395)</f>
        <v>0</v>
      </c>
      <c r="U395" s="2012">
        <f t="shared" ref="U395:U405" ca="1" si="152">SUM(Y395,AC395,AG395,AK395,AO395,AS395,AW395,BA395,BE395,BI395,BM395)</f>
        <v>0</v>
      </c>
      <c r="V395" s="2012">
        <f t="shared" ref="V395:V405" ca="1" si="153">SUM(Z395,AD395,AH395,AL395,AP395,AT395,AX395,BB395,BF395,BJ395,BN395)</f>
        <v>0</v>
      </c>
      <c r="W395" s="2012">
        <f t="shared" ref="W395:W405" ca="1" si="154">SUM(AA395,AE395,AI395,AM395,AQ395,AU395,AY395,BC395,BG395,BK395,BO395)</f>
        <v>0</v>
      </c>
      <c r="X395" s="2014">
        <f t="shared" ref="X395:X405" ca="1" si="155">SUMIFS(OFFSET(貼付け_2024実績,$A395,12,1,199),OFFSET(貼付け_2024実績,4,9,1,199),"県域*")</f>
        <v>0</v>
      </c>
      <c r="Y395" s="2014">
        <f t="shared" ref="Y395:Y405" ca="1" si="156">SUMIFS(OFFSET(貼付け_2025実績,$A395,12,1,199),OFFSET(貼付け_2025実績,4,9,1,199),"県域*")</f>
        <v>0</v>
      </c>
      <c r="Z395" s="2014">
        <f t="shared" ref="Z395:Z405" ca="1" si="157">SUMIFS(OFFSET(貼付け_2026実績,$A395,12,1,199),OFFSET(貼付け_2026実績,4,9,1,199),"県域*")</f>
        <v>0</v>
      </c>
      <c r="AA395" s="2014">
        <f t="shared" ref="AA395:AA405" ca="1" si="158">SUMIFS(OFFSET(貼付け_2027実績,$A395,12,1,199),OFFSET(貼付け_2027実績,4,9,1,199),"県域*")</f>
        <v>0</v>
      </c>
      <c r="AB395" s="2014"/>
      <c r="AC395" s="2014"/>
      <c r="AD395" s="2014"/>
      <c r="AE395" s="2014"/>
      <c r="AF395" s="2014"/>
      <c r="AG395" s="2014"/>
      <c r="AH395" s="2014"/>
      <c r="AI395" s="2014"/>
      <c r="AJ395" s="2014"/>
      <c r="AK395" s="2014"/>
      <c r="AL395" s="2014"/>
      <c r="AM395" s="2014"/>
      <c r="AN395" s="2014"/>
      <c r="AO395" s="2014"/>
      <c r="AP395" s="2014"/>
      <c r="AQ395" s="2014"/>
      <c r="AR395" s="2014"/>
      <c r="AS395" s="2014"/>
      <c r="AT395" s="2014"/>
      <c r="AU395" s="2014"/>
      <c r="AV395" s="2014"/>
      <c r="AW395" s="2014"/>
      <c r="AX395" s="2014"/>
      <c r="AY395" s="2014"/>
      <c r="AZ395" s="2014"/>
      <c r="BA395" s="2014"/>
      <c r="BB395" s="2014"/>
      <c r="BC395" s="2014"/>
      <c r="BD395" s="2014"/>
      <c r="BE395" s="2014"/>
      <c r="BF395" s="2014"/>
      <c r="BG395" s="2014"/>
      <c r="BH395" s="2014"/>
      <c r="BI395" s="2014"/>
      <c r="BJ395" s="2014"/>
      <c r="BK395" s="2014"/>
      <c r="BL395" s="2014"/>
      <c r="BM395" s="2014"/>
      <c r="BN395" s="2014"/>
      <c r="BO395" s="2014"/>
      <c r="BP395" s="1862"/>
    </row>
    <row r="396" spans="1:68" ht="20.100000000000001" customHeight="1">
      <c r="A396" s="1845">
        <v>58</v>
      </c>
      <c r="B396" s="1854"/>
      <c r="C396" s="1847"/>
      <c r="D396" s="1848" t="s">
        <v>953</v>
      </c>
      <c r="E396" s="1856"/>
      <c r="F396" s="1863"/>
      <c r="G396" s="2010" t="s">
        <v>0</v>
      </c>
      <c r="H396" s="2011">
        <f t="shared" ca="1" si="146"/>
        <v>1.19</v>
      </c>
      <c r="I396" s="2011">
        <f t="shared" ca="1" si="146"/>
        <v>1.19</v>
      </c>
      <c r="J396" s="2011">
        <f t="shared" ca="1" si="146"/>
        <v>1.19</v>
      </c>
      <c r="K396" s="2011">
        <f t="shared" ca="1" si="146"/>
        <v>1.19</v>
      </c>
      <c r="L396" s="2012">
        <f t="shared" ca="1" si="147"/>
        <v>0</v>
      </c>
      <c r="M396" s="2012">
        <f t="shared" ca="1" si="148"/>
        <v>0</v>
      </c>
      <c r="N396" s="2012">
        <f t="shared" ca="1" si="149"/>
        <v>0</v>
      </c>
      <c r="O396" s="2012">
        <f t="shared" ca="1" si="150"/>
        <v>0</v>
      </c>
      <c r="P396" s="2013">
        <f ca="1">SUM(SUMIFS(OFFSET(貼付け_2024実績,$A396,12,1,199),OFFSET(貼付け_2024実績,4,9,1,199),{"横浜*","川崎*"}))</f>
        <v>0</v>
      </c>
      <c r="Q396" s="2013">
        <f ca="1">SUM(SUMIFS(OFFSET(貼付け_2025実績,$A396,12,1,199),OFFSET(貼付け_2025実績,4,9,1,199),{"横浜*","川崎*"}))</f>
        <v>0</v>
      </c>
      <c r="R396" s="2013">
        <f ca="1">SUM(SUMIFS(OFFSET(貼付け_2026実績,$A396,12,1,199),OFFSET(貼付け_2026実績,4,9,1,199),{"横浜*","川崎*"}))</f>
        <v>0</v>
      </c>
      <c r="S396" s="2013">
        <f ca="1">SUM(SUMIFS(OFFSET(貼付け_2027実績,$A396,12,1,199),OFFSET(貼付け_2027実績,4,9,1,199),{"横浜*","川崎*"}))</f>
        <v>0</v>
      </c>
      <c r="T396" s="2012">
        <f t="shared" ca="1" si="151"/>
        <v>0</v>
      </c>
      <c r="U396" s="2012">
        <f t="shared" ca="1" si="152"/>
        <v>0</v>
      </c>
      <c r="V396" s="2012">
        <f t="shared" ca="1" si="153"/>
        <v>0</v>
      </c>
      <c r="W396" s="2012">
        <f t="shared" ca="1" si="154"/>
        <v>0</v>
      </c>
      <c r="X396" s="2014">
        <f t="shared" ca="1" si="155"/>
        <v>0</v>
      </c>
      <c r="Y396" s="2014">
        <f t="shared" ca="1" si="156"/>
        <v>0</v>
      </c>
      <c r="Z396" s="2014">
        <f t="shared" ca="1" si="157"/>
        <v>0</v>
      </c>
      <c r="AA396" s="2014">
        <f t="shared" ca="1" si="158"/>
        <v>0</v>
      </c>
      <c r="AB396" s="2014"/>
      <c r="AC396" s="2014"/>
      <c r="AD396" s="2014"/>
      <c r="AE396" s="2014"/>
      <c r="AF396" s="2014"/>
      <c r="AG396" s="2014"/>
      <c r="AH396" s="2014"/>
      <c r="AI396" s="2014"/>
      <c r="AJ396" s="2014"/>
      <c r="AK396" s="2014"/>
      <c r="AL396" s="2014"/>
      <c r="AM396" s="2014"/>
      <c r="AN396" s="2014"/>
      <c r="AO396" s="2014"/>
      <c r="AP396" s="2014"/>
      <c r="AQ396" s="2014"/>
      <c r="AR396" s="2014"/>
      <c r="AS396" s="2014"/>
      <c r="AT396" s="2014"/>
      <c r="AU396" s="2014"/>
      <c r="AV396" s="2014"/>
      <c r="AW396" s="2014"/>
      <c r="AX396" s="2014"/>
      <c r="AY396" s="2014"/>
      <c r="AZ396" s="2014"/>
      <c r="BA396" s="2014"/>
      <c r="BB396" s="2014"/>
      <c r="BC396" s="2014"/>
      <c r="BD396" s="2014"/>
      <c r="BE396" s="2014"/>
      <c r="BF396" s="2014"/>
      <c r="BG396" s="2014"/>
      <c r="BH396" s="2014"/>
      <c r="BI396" s="2014"/>
      <c r="BJ396" s="2014"/>
      <c r="BK396" s="2014"/>
      <c r="BL396" s="2014"/>
      <c r="BM396" s="2014"/>
      <c r="BN396" s="2014"/>
      <c r="BO396" s="2014"/>
      <c r="BP396" s="1862"/>
    </row>
    <row r="397" spans="1:68" ht="20.100000000000001" customHeight="1">
      <c r="A397" s="1845">
        <v>60</v>
      </c>
      <c r="B397" s="1854"/>
      <c r="C397" s="1847"/>
      <c r="D397" s="1848" t="s">
        <v>954</v>
      </c>
      <c r="E397" s="1856"/>
      <c r="F397" s="1863"/>
      <c r="G397" s="2010" t="s">
        <v>0</v>
      </c>
      <c r="H397" s="2011">
        <f t="shared" ca="1" si="146"/>
        <v>1.19</v>
      </c>
      <c r="I397" s="2011">
        <f t="shared" ca="1" si="146"/>
        <v>1.19</v>
      </c>
      <c r="J397" s="2011">
        <f t="shared" ca="1" si="146"/>
        <v>1.19</v>
      </c>
      <c r="K397" s="2011">
        <f t="shared" ca="1" si="146"/>
        <v>1.19</v>
      </c>
      <c r="L397" s="2012">
        <f t="shared" ca="1" si="147"/>
        <v>0</v>
      </c>
      <c r="M397" s="2012">
        <f t="shared" ca="1" si="148"/>
        <v>0</v>
      </c>
      <c r="N397" s="2012">
        <f t="shared" ca="1" si="149"/>
        <v>0</v>
      </c>
      <c r="O397" s="2012">
        <f t="shared" ca="1" si="150"/>
        <v>0</v>
      </c>
      <c r="P397" s="2013">
        <f ca="1">SUM(SUMIFS(OFFSET(貼付け_2024実績,$A397,12,1,199),OFFSET(貼付け_2024実績,4,9,1,199),{"横浜*","川崎*"}))</f>
        <v>0</v>
      </c>
      <c r="Q397" s="2013">
        <f ca="1">SUM(SUMIFS(OFFSET(貼付け_2025実績,$A397,12,1,199),OFFSET(貼付け_2025実績,4,9,1,199),{"横浜*","川崎*"}))</f>
        <v>0</v>
      </c>
      <c r="R397" s="2013">
        <f ca="1">SUM(SUMIFS(OFFSET(貼付け_2026実績,$A397,12,1,199),OFFSET(貼付け_2026実績,4,9,1,199),{"横浜*","川崎*"}))</f>
        <v>0</v>
      </c>
      <c r="S397" s="2013">
        <f ca="1">SUM(SUMIFS(OFFSET(貼付け_2027実績,$A397,12,1,199),OFFSET(貼付け_2027実績,4,9,1,199),{"横浜*","川崎*"}))</f>
        <v>0</v>
      </c>
      <c r="T397" s="2012">
        <f t="shared" ca="1" si="151"/>
        <v>0</v>
      </c>
      <c r="U397" s="2012">
        <f t="shared" ca="1" si="152"/>
        <v>0</v>
      </c>
      <c r="V397" s="2012">
        <f t="shared" ca="1" si="153"/>
        <v>0</v>
      </c>
      <c r="W397" s="2012">
        <f t="shared" ca="1" si="154"/>
        <v>0</v>
      </c>
      <c r="X397" s="2014">
        <f t="shared" ca="1" si="155"/>
        <v>0</v>
      </c>
      <c r="Y397" s="2014">
        <f t="shared" ca="1" si="156"/>
        <v>0</v>
      </c>
      <c r="Z397" s="2014">
        <f t="shared" ca="1" si="157"/>
        <v>0</v>
      </c>
      <c r="AA397" s="2014">
        <f t="shared" ca="1" si="158"/>
        <v>0</v>
      </c>
      <c r="AB397" s="2014"/>
      <c r="AC397" s="2014"/>
      <c r="AD397" s="2014"/>
      <c r="AE397" s="2014"/>
      <c r="AF397" s="2014"/>
      <c r="AG397" s="2014"/>
      <c r="AH397" s="2014"/>
      <c r="AI397" s="2014"/>
      <c r="AJ397" s="2014"/>
      <c r="AK397" s="2014"/>
      <c r="AL397" s="2014"/>
      <c r="AM397" s="2014"/>
      <c r="AN397" s="2014"/>
      <c r="AO397" s="2014"/>
      <c r="AP397" s="2014"/>
      <c r="AQ397" s="2014"/>
      <c r="AR397" s="2014"/>
      <c r="AS397" s="2014"/>
      <c r="AT397" s="2014"/>
      <c r="AU397" s="2014"/>
      <c r="AV397" s="2014"/>
      <c r="AW397" s="2014"/>
      <c r="AX397" s="2014"/>
      <c r="AY397" s="2014"/>
      <c r="AZ397" s="2014"/>
      <c r="BA397" s="2014"/>
      <c r="BB397" s="2014"/>
      <c r="BC397" s="2014"/>
      <c r="BD397" s="2014"/>
      <c r="BE397" s="2014"/>
      <c r="BF397" s="2014"/>
      <c r="BG397" s="2014"/>
      <c r="BH397" s="2014"/>
      <c r="BI397" s="2014"/>
      <c r="BJ397" s="2014"/>
      <c r="BK397" s="2014"/>
      <c r="BL397" s="2014"/>
      <c r="BM397" s="2014"/>
      <c r="BN397" s="2014"/>
      <c r="BO397" s="2014"/>
      <c r="BP397" s="1862"/>
    </row>
    <row r="398" spans="1:68" ht="20.100000000000001" customHeight="1">
      <c r="A398" s="1845">
        <v>62</v>
      </c>
      <c r="B398" s="1854"/>
      <c r="C398" s="1847"/>
      <c r="D398" s="1848" t="s">
        <v>955</v>
      </c>
      <c r="E398" s="1856"/>
      <c r="F398" s="1863"/>
      <c r="G398" s="2010" t="s">
        <v>0</v>
      </c>
      <c r="H398" s="2011">
        <f t="shared" ca="1" si="146"/>
        <v>1.19</v>
      </c>
      <c r="I398" s="2011">
        <f t="shared" ca="1" si="146"/>
        <v>1.19</v>
      </c>
      <c r="J398" s="2011">
        <f t="shared" ca="1" si="146"/>
        <v>1.19</v>
      </c>
      <c r="K398" s="2011">
        <f t="shared" ca="1" si="146"/>
        <v>1.19</v>
      </c>
      <c r="L398" s="2012">
        <f t="shared" ca="1" si="147"/>
        <v>0</v>
      </c>
      <c r="M398" s="2012">
        <f t="shared" ca="1" si="148"/>
        <v>0</v>
      </c>
      <c r="N398" s="2012">
        <f t="shared" ca="1" si="149"/>
        <v>0</v>
      </c>
      <c r="O398" s="2012">
        <f t="shared" ca="1" si="150"/>
        <v>0</v>
      </c>
      <c r="P398" s="2013">
        <f ca="1">SUM(SUMIFS(OFFSET(貼付け_2024実績,$A398,12,1,199),OFFSET(貼付け_2024実績,4,9,1,199),{"横浜*","川崎*"}))</f>
        <v>0</v>
      </c>
      <c r="Q398" s="2013">
        <f ca="1">SUM(SUMIFS(OFFSET(貼付け_2025実績,$A398,12,1,199),OFFSET(貼付け_2025実績,4,9,1,199),{"横浜*","川崎*"}))</f>
        <v>0</v>
      </c>
      <c r="R398" s="2013">
        <f ca="1">SUM(SUMIFS(OFFSET(貼付け_2026実績,$A398,12,1,199),OFFSET(貼付け_2026実績,4,9,1,199),{"横浜*","川崎*"}))</f>
        <v>0</v>
      </c>
      <c r="S398" s="2013">
        <f ca="1">SUM(SUMIFS(OFFSET(貼付け_2027実績,$A398,12,1,199),OFFSET(貼付け_2027実績,4,9,1,199),{"横浜*","川崎*"}))</f>
        <v>0</v>
      </c>
      <c r="T398" s="2012">
        <f t="shared" ca="1" si="151"/>
        <v>0</v>
      </c>
      <c r="U398" s="2012">
        <f t="shared" ca="1" si="152"/>
        <v>0</v>
      </c>
      <c r="V398" s="2012">
        <f t="shared" ca="1" si="153"/>
        <v>0</v>
      </c>
      <c r="W398" s="2012">
        <f t="shared" ca="1" si="154"/>
        <v>0</v>
      </c>
      <c r="X398" s="2014">
        <f t="shared" ca="1" si="155"/>
        <v>0</v>
      </c>
      <c r="Y398" s="2014">
        <f t="shared" ca="1" si="156"/>
        <v>0</v>
      </c>
      <c r="Z398" s="2014">
        <f t="shared" ca="1" si="157"/>
        <v>0</v>
      </c>
      <c r="AA398" s="2014">
        <f t="shared" ca="1" si="158"/>
        <v>0</v>
      </c>
      <c r="AB398" s="2014"/>
      <c r="AC398" s="2014"/>
      <c r="AD398" s="2014"/>
      <c r="AE398" s="2014"/>
      <c r="AF398" s="2014"/>
      <c r="AG398" s="2014"/>
      <c r="AH398" s="2014"/>
      <c r="AI398" s="2014"/>
      <c r="AJ398" s="2014"/>
      <c r="AK398" s="2014"/>
      <c r="AL398" s="2014"/>
      <c r="AM398" s="2014"/>
      <c r="AN398" s="2014"/>
      <c r="AO398" s="2014"/>
      <c r="AP398" s="2014"/>
      <c r="AQ398" s="2014"/>
      <c r="AR398" s="2014"/>
      <c r="AS398" s="2014"/>
      <c r="AT398" s="2014"/>
      <c r="AU398" s="2014"/>
      <c r="AV398" s="2014"/>
      <c r="AW398" s="2014"/>
      <c r="AX398" s="2014"/>
      <c r="AY398" s="2014"/>
      <c r="AZ398" s="2014"/>
      <c r="BA398" s="2014"/>
      <c r="BB398" s="2014"/>
      <c r="BC398" s="2014"/>
      <c r="BD398" s="2014"/>
      <c r="BE398" s="2014"/>
      <c r="BF398" s="2014"/>
      <c r="BG398" s="2014"/>
      <c r="BH398" s="2014"/>
      <c r="BI398" s="2014"/>
      <c r="BJ398" s="2014"/>
      <c r="BK398" s="2014"/>
      <c r="BL398" s="2014"/>
      <c r="BM398" s="2014"/>
      <c r="BN398" s="2014"/>
      <c r="BO398" s="2014"/>
      <c r="BP398" s="1862"/>
    </row>
    <row r="399" spans="1:68" ht="20.100000000000001" customHeight="1">
      <c r="A399" s="1845">
        <v>64</v>
      </c>
      <c r="B399" s="1854"/>
      <c r="C399" s="1847"/>
      <c r="D399" s="1864" t="s">
        <v>956</v>
      </c>
      <c r="E399" s="1858" t="str">
        <f ca="1">E61</f>
        <v/>
      </c>
      <c r="F399" s="1860"/>
      <c r="G399" s="2010" t="s">
        <v>0</v>
      </c>
      <c r="H399" s="2011">
        <f t="shared" ca="1" si="146"/>
        <v>0</v>
      </c>
      <c r="I399" s="2011">
        <f t="shared" ca="1" si="146"/>
        <v>0</v>
      </c>
      <c r="J399" s="2011">
        <f t="shared" ca="1" si="146"/>
        <v>0</v>
      </c>
      <c r="K399" s="2011">
        <f t="shared" ca="1" si="146"/>
        <v>0</v>
      </c>
      <c r="L399" s="2012">
        <f t="shared" ca="1" si="147"/>
        <v>0</v>
      </c>
      <c r="M399" s="2012">
        <f t="shared" ca="1" si="148"/>
        <v>0</v>
      </c>
      <c r="N399" s="2012">
        <f t="shared" ca="1" si="149"/>
        <v>0</v>
      </c>
      <c r="O399" s="2012">
        <f t="shared" ca="1" si="150"/>
        <v>0</v>
      </c>
      <c r="P399" s="2013">
        <f ca="1">SUM(SUMIFS(OFFSET(貼付け_2024実績,$A399,12,1,199),OFFSET(貼付け_2024実績,4,9,1,199),{"横浜*","川崎*"}))</f>
        <v>0</v>
      </c>
      <c r="Q399" s="2013">
        <f ca="1">SUM(SUMIFS(OFFSET(貼付け_2025実績,$A399,12,1,199),OFFSET(貼付け_2025実績,4,9,1,199),{"横浜*","川崎*"}))</f>
        <v>0</v>
      </c>
      <c r="R399" s="2013">
        <f ca="1">SUM(SUMIFS(OFFSET(貼付け_2026実績,$A399,12,1,199),OFFSET(貼付け_2026実績,4,9,1,199),{"横浜*","川崎*"}))</f>
        <v>0</v>
      </c>
      <c r="S399" s="2013">
        <f ca="1">SUM(SUMIFS(OFFSET(貼付け_2027実績,$A399,12,1,199),OFFSET(貼付け_2027実績,4,9,1,199),{"横浜*","川崎*"}))</f>
        <v>0</v>
      </c>
      <c r="T399" s="2012">
        <f t="shared" ca="1" si="151"/>
        <v>0</v>
      </c>
      <c r="U399" s="2012">
        <f t="shared" ca="1" si="152"/>
        <v>0</v>
      </c>
      <c r="V399" s="2012">
        <f t="shared" ca="1" si="153"/>
        <v>0</v>
      </c>
      <c r="W399" s="2012">
        <f t="shared" ca="1" si="154"/>
        <v>0</v>
      </c>
      <c r="X399" s="2014">
        <f t="shared" ca="1" si="155"/>
        <v>0</v>
      </c>
      <c r="Y399" s="2014">
        <f t="shared" ca="1" si="156"/>
        <v>0</v>
      </c>
      <c r="Z399" s="2014">
        <f t="shared" ca="1" si="157"/>
        <v>0</v>
      </c>
      <c r="AA399" s="2014">
        <f t="shared" ca="1" si="158"/>
        <v>0</v>
      </c>
      <c r="AB399" s="2014"/>
      <c r="AC399" s="2014"/>
      <c r="AD399" s="2014"/>
      <c r="AE399" s="2014"/>
      <c r="AF399" s="2014"/>
      <c r="AG399" s="2014"/>
      <c r="AH399" s="2014"/>
      <c r="AI399" s="2014"/>
      <c r="AJ399" s="2014"/>
      <c r="AK399" s="2014"/>
      <c r="AL399" s="2014"/>
      <c r="AM399" s="2014"/>
      <c r="AN399" s="2014"/>
      <c r="AO399" s="2014"/>
      <c r="AP399" s="2014"/>
      <c r="AQ399" s="2014"/>
      <c r="AR399" s="2014"/>
      <c r="AS399" s="2014"/>
      <c r="AT399" s="2014"/>
      <c r="AU399" s="2014"/>
      <c r="AV399" s="2014"/>
      <c r="AW399" s="2014"/>
      <c r="AX399" s="2014"/>
      <c r="AY399" s="2014"/>
      <c r="AZ399" s="2014"/>
      <c r="BA399" s="2014"/>
      <c r="BB399" s="2014"/>
      <c r="BC399" s="2014"/>
      <c r="BD399" s="2014"/>
      <c r="BE399" s="2014"/>
      <c r="BF399" s="2014"/>
      <c r="BG399" s="2014"/>
      <c r="BH399" s="2014"/>
      <c r="BI399" s="2014"/>
      <c r="BJ399" s="2014"/>
      <c r="BK399" s="2014"/>
      <c r="BL399" s="2014"/>
      <c r="BM399" s="2014"/>
      <c r="BN399" s="2014"/>
      <c r="BO399" s="2014"/>
      <c r="BP399" s="1862"/>
    </row>
    <row r="400" spans="1:68" ht="20.100000000000001" customHeight="1">
      <c r="A400" s="1845">
        <v>66</v>
      </c>
      <c r="B400" s="1854"/>
      <c r="C400" s="1847" t="s">
        <v>957</v>
      </c>
      <c r="D400" s="1975" t="s">
        <v>958</v>
      </c>
      <c r="E400" s="1848"/>
      <c r="F400" s="1863"/>
      <c r="G400" s="2010" t="s">
        <v>0</v>
      </c>
      <c r="H400" s="2011">
        <f t="shared" ca="1" si="146"/>
        <v>0</v>
      </c>
      <c r="I400" s="2011">
        <f t="shared" ca="1" si="146"/>
        <v>0</v>
      </c>
      <c r="J400" s="2011">
        <f t="shared" ca="1" si="146"/>
        <v>0</v>
      </c>
      <c r="K400" s="2011">
        <f t="shared" ca="1" si="146"/>
        <v>0</v>
      </c>
      <c r="L400" s="2012">
        <f t="shared" ca="1" si="147"/>
        <v>0</v>
      </c>
      <c r="M400" s="2012">
        <f t="shared" ca="1" si="148"/>
        <v>0</v>
      </c>
      <c r="N400" s="2012">
        <f t="shared" ca="1" si="149"/>
        <v>0</v>
      </c>
      <c r="O400" s="2012">
        <f t="shared" ca="1" si="150"/>
        <v>0</v>
      </c>
      <c r="P400" s="2013">
        <f ca="1">SUM(SUMIFS(OFFSET(貼付け_2024実績,$A400,12,1,199),OFFSET(貼付け_2024実績,4,9,1,199),{"横浜*","川崎*"}))</f>
        <v>0</v>
      </c>
      <c r="Q400" s="2013">
        <f ca="1">SUM(SUMIFS(OFFSET(貼付け_2025実績,$A400,12,1,199),OFFSET(貼付け_2025実績,4,9,1,199),{"横浜*","川崎*"}))</f>
        <v>0</v>
      </c>
      <c r="R400" s="2013">
        <f ca="1">SUM(SUMIFS(OFFSET(貼付け_2026実績,$A400,12,1,199),OFFSET(貼付け_2026実績,4,9,1,199),{"横浜*","川崎*"}))</f>
        <v>0</v>
      </c>
      <c r="S400" s="2013">
        <f ca="1">SUM(SUMIFS(OFFSET(貼付け_2027実績,$A400,12,1,199),OFFSET(貼付け_2027実績,4,9,1,199),{"横浜*","川崎*"}))</f>
        <v>0</v>
      </c>
      <c r="T400" s="2012">
        <f t="shared" ca="1" si="151"/>
        <v>0</v>
      </c>
      <c r="U400" s="2012">
        <f t="shared" ca="1" si="152"/>
        <v>0</v>
      </c>
      <c r="V400" s="2012">
        <f t="shared" ca="1" si="153"/>
        <v>0</v>
      </c>
      <c r="W400" s="2012">
        <f t="shared" ca="1" si="154"/>
        <v>0</v>
      </c>
      <c r="X400" s="2014">
        <f t="shared" ca="1" si="155"/>
        <v>0</v>
      </c>
      <c r="Y400" s="2014">
        <f t="shared" ca="1" si="156"/>
        <v>0</v>
      </c>
      <c r="Z400" s="2014">
        <f t="shared" ca="1" si="157"/>
        <v>0</v>
      </c>
      <c r="AA400" s="2014">
        <f t="shared" ca="1" si="158"/>
        <v>0</v>
      </c>
      <c r="AB400" s="2014"/>
      <c r="AC400" s="2014"/>
      <c r="AD400" s="2014"/>
      <c r="AE400" s="2014"/>
      <c r="AF400" s="2014"/>
      <c r="AG400" s="2014"/>
      <c r="AH400" s="2014"/>
      <c r="AI400" s="2014"/>
      <c r="AJ400" s="2014"/>
      <c r="AK400" s="2014"/>
      <c r="AL400" s="2014"/>
      <c r="AM400" s="2014"/>
      <c r="AN400" s="2014"/>
      <c r="AO400" s="2014"/>
      <c r="AP400" s="2014"/>
      <c r="AQ400" s="2014"/>
      <c r="AR400" s="2014"/>
      <c r="AS400" s="2014"/>
      <c r="AT400" s="2014"/>
      <c r="AU400" s="2014"/>
      <c r="AV400" s="2014"/>
      <c r="AW400" s="2014"/>
      <c r="AX400" s="2014"/>
      <c r="AY400" s="2014"/>
      <c r="AZ400" s="2014"/>
      <c r="BA400" s="2014"/>
      <c r="BB400" s="2014"/>
      <c r="BC400" s="2014"/>
      <c r="BD400" s="2014"/>
      <c r="BE400" s="2014"/>
      <c r="BF400" s="2014"/>
      <c r="BG400" s="2014"/>
      <c r="BH400" s="2014"/>
      <c r="BI400" s="2014"/>
      <c r="BJ400" s="2014"/>
      <c r="BK400" s="2014"/>
      <c r="BL400" s="2014"/>
      <c r="BM400" s="2014"/>
      <c r="BN400" s="2014"/>
      <c r="BO400" s="2014"/>
      <c r="BP400" s="1862"/>
    </row>
    <row r="401" spans="1:68" ht="20.100000000000001" customHeight="1">
      <c r="A401" s="1845">
        <v>67</v>
      </c>
      <c r="B401" s="1854"/>
      <c r="C401" s="1847"/>
      <c r="D401" s="1975" t="s">
        <v>959</v>
      </c>
      <c r="E401" s="1848"/>
      <c r="F401" s="1863"/>
      <c r="G401" s="2010" t="s">
        <v>0</v>
      </c>
      <c r="H401" s="2011">
        <f t="shared" ca="1" si="146"/>
        <v>0</v>
      </c>
      <c r="I401" s="2011">
        <f t="shared" ca="1" si="146"/>
        <v>0</v>
      </c>
      <c r="J401" s="2011">
        <f t="shared" ca="1" si="146"/>
        <v>0</v>
      </c>
      <c r="K401" s="2011">
        <f t="shared" ca="1" si="146"/>
        <v>0</v>
      </c>
      <c r="L401" s="2012">
        <f t="shared" ca="1" si="147"/>
        <v>0</v>
      </c>
      <c r="M401" s="2012">
        <f t="shared" ca="1" si="148"/>
        <v>0</v>
      </c>
      <c r="N401" s="2012">
        <f t="shared" ca="1" si="149"/>
        <v>0</v>
      </c>
      <c r="O401" s="2012">
        <f t="shared" ca="1" si="150"/>
        <v>0</v>
      </c>
      <c r="P401" s="2013">
        <f ca="1">SUM(SUMIFS(OFFSET(貼付け_2024実績,$A401,12,1,199),OFFSET(貼付け_2024実績,4,9,1,199),{"横浜*","川崎*"}))</f>
        <v>0</v>
      </c>
      <c r="Q401" s="2013">
        <f ca="1">SUM(SUMIFS(OFFSET(貼付け_2025実績,$A401,12,1,199),OFFSET(貼付け_2025実績,4,9,1,199),{"横浜*","川崎*"}))</f>
        <v>0</v>
      </c>
      <c r="R401" s="2013">
        <f ca="1">SUM(SUMIFS(OFFSET(貼付け_2026実績,$A401,12,1,199),OFFSET(貼付け_2026実績,4,9,1,199),{"横浜*","川崎*"}))</f>
        <v>0</v>
      </c>
      <c r="S401" s="2013">
        <f ca="1">SUM(SUMIFS(OFFSET(貼付け_2027実績,$A401,12,1,199),OFFSET(貼付け_2027実績,4,9,1,199),{"横浜*","川崎*"}))</f>
        <v>0</v>
      </c>
      <c r="T401" s="2012">
        <f t="shared" ca="1" si="151"/>
        <v>0</v>
      </c>
      <c r="U401" s="2012">
        <f t="shared" ca="1" si="152"/>
        <v>0</v>
      </c>
      <c r="V401" s="2012">
        <f t="shared" ca="1" si="153"/>
        <v>0</v>
      </c>
      <c r="W401" s="2012">
        <f t="shared" ca="1" si="154"/>
        <v>0</v>
      </c>
      <c r="X401" s="2014">
        <f t="shared" ca="1" si="155"/>
        <v>0</v>
      </c>
      <c r="Y401" s="2014">
        <f t="shared" ca="1" si="156"/>
        <v>0</v>
      </c>
      <c r="Z401" s="2014">
        <f t="shared" ca="1" si="157"/>
        <v>0</v>
      </c>
      <c r="AA401" s="2014">
        <f t="shared" ca="1" si="158"/>
        <v>0</v>
      </c>
      <c r="AB401" s="2014"/>
      <c r="AC401" s="2014"/>
      <c r="AD401" s="2014"/>
      <c r="AE401" s="2014"/>
      <c r="AF401" s="2014"/>
      <c r="AG401" s="2014"/>
      <c r="AH401" s="2014"/>
      <c r="AI401" s="2014"/>
      <c r="AJ401" s="2014"/>
      <c r="AK401" s="2014"/>
      <c r="AL401" s="2014"/>
      <c r="AM401" s="2014"/>
      <c r="AN401" s="2014"/>
      <c r="AO401" s="2014"/>
      <c r="AP401" s="2014"/>
      <c r="AQ401" s="2014"/>
      <c r="AR401" s="2014"/>
      <c r="AS401" s="2014"/>
      <c r="AT401" s="2014"/>
      <c r="AU401" s="2014"/>
      <c r="AV401" s="2014"/>
      <c r="AW401" s="2014"/>
      <c r="AX401" s="2014"/>
      <c r="AY401" s="2014"/>
      <c r="AZ401" s="2014"/>
      <c r="BA401" s="2014"/>
      <c r="BB401" s="2014"/>
      <c r="BC401" s="2014"/>
      <c r="BD401" s="2014"/>
      <c r="BE401" s="2014"/>
      <c r="BF401" s="2014"/>
      <c r="BG401" s="2014"/>
      <c r="BH401" s="2014"/>
      <c r="BI401" s="2014"/>
      <c r="BJ401" s="2014"/>
      <c r="BK401" s="2014"/>
      <c r="BL401" s="2014"/>
      <c r="BM401" s="2014"/>
      <c r="BN401" s="2014"/>
      <c r="BO401" s="2014"/>
      <c r="BP401" s="1862"/>
    </row>
    <row r="402" spans="1:68" ht="20.100000000000001" customHeight="1">
      <c r="A402" s="1845">
        <v>68</v>
      </c>
      <c r="B402" s="1854"/>
      <c r="C402" s="1847"/>
      <c r="D402" s="1975" t="s">
        <v>960</v>
      </c>
      <c r="E402" s="1848"/>
      <c r="F402" s="1863"/>
      <c r="G402" s="2010" t="s">
        <v>0</v>
      </c>
      <c r="H402" s="2011">
        <f t="shared" ca="1" si="146"/>
        <v>0</v>
      </c>
      <c r="I402" s="2011">
        <f t="shared" ca="1" si="146"/>
        <v>0</v>
      </c>
      <c r="J402" s="2011">
        <f t="shared" ca="1" si="146"/>
        <v>0</v>
      </c>
      <c r="K402" s="2011">
        <f t="shared" ca="1" si="146"/>
        <v>0</v>
      </c>
      <c r="L402" s="2012">
        <f t="shared" ca="1" si="147"/>
        <v>0</v>
      </c>
      <c r="M402" s="2012">
        <f t="shared" ca="1" si="148"/>
        <v>0</v>
      </c>
      <c r="N402" s="2012">
        <f t="shared" ca="1" si="149"/>
        <v>0</v>
      </c>
      <c r="O402" s="2012">
        <f t="shared" ca="1" si="150"/>
        <v>0</v>
      </c>
      <c r="P402" s="2013">
        <f ca="1">SUM(SUMIFS(OFFSET(貼付け_2024実績,$A402,12,1,199),OFFSET(貼付け_2024実績,4,9,1,199),{"横浜*","川崎*"}))</f>
        <v>0</v>
      </c>
      <c r="Q402" s="2013">
        <f ca="1">SUM(SUMIFS(OFFSET(貼付け_2025実績,$A402,12,1,199),OFFSET(貼付け_2025実績,4,9,1,199),{"横浜*","川崎*"}))</f>
        <v>0</v>
      </c>
      <c r="R402" s="2013">
        <f ca="1">SUM(SUMIFS(OFFSET(貼付け_2026実績,$A402,12,1,199),OFFSET(貼付け_2026実績,4,9,1,199),{"横浜*","川崎*"}))</f>
        <v>0</v>
      </c>
      <c r="S402" s="2013">
        <f ca="1">SUM(SUMIFS(OFFSET(貼付け_2027実績,$A402,12,1,199),OFFSET(貼付け_2027実績,4,9,1,199),{"横浜*","川崎*"}))</f>
        <v>0</v>
      </c>
      <c r="T402" s="2012">
        <f t="shared" ca="1" si="151"/>
        <v>0</v>
      </c>
      <c r="U402" s="2012">
        <f t="shared" ca="1" si="152"/>
        <v>0</v>
      </c>
      <c r="V402" s="2012">
        <f t="shared" ca="1" si="153"/>
        <v>0</v>
      </c>
      <c r="W402" s="2012">
        <f t="shared" ca="1" si="154"/>
        <v>0</v>
      </c>
      <c r="X402" s="2014">
        <f t="shared" ca="1" si="155"/>
        <v>0</v>
      </c>
      <c r="Y402" s="2014">
        <f t="shared" ca="1" si="156"/>
        <v>0</v>
      </c>
      <c r="Z402" s="2014">
        <f t="shared" ca="1" si="157"/>
        <v>0</v>
      </c>
      <c r="AA402" s="2014">
        <f t="shared" ca="1" si="158"/>
        <v>0</v>
      </c>
      <c r="AB402" s="2014"/>
      <c r="AC402" s="2014"/>
      <c r="AD402" s="2014"/>
      <c r="AE402" s="2014"/>
      <c r="AF402" s="2014"/>
      <c r="AG402" s="2014"/>
      <c r="AH402" s="2014"/>
      <c r="AI402" s="2014"/>
      <c r="AJ402" s="2014"/>
      <c r="AK402" s="2014"/>
      <c r="AL402" s="2014"/>
      <c r="AM402" s="2014"/>
      <c r="AN402" s="2014"/>
      <c r="AO402" s="2014"/>
      <c r="AP402" s="2014"/>
      <c r="AQ402" s="2014"/>
      <c r="AR402" s="2014"/>
      <c r="AS402" s="2014"/>
      <c r="AT402" s="2014"/>
      <c r="AU402" s="2014"/>
      <c r="AV402" s="2014"/>
      <c r="AW402" s="2014"/>
      <c r="AX402" s="2014"/>
      <c r="AY402" s="2014"/>
      <c r="AZ402" s="2014"/>
      <c r="BA402" s="2014"/>
      <c r="BB402" s="2014"/>
      <c r="BC402" s="2014"/>
      <c r="BD402" s="2014"/>
      <c r="BE402" s="2014"/>
      <c r="BF402" s="2014"/>
      <c r="BG402" s="2014"/>
      <c r="BH402" s="2014"/>
      <c r="BI402" s="2014"/>
      <c r="BJ402" s="2014"/>
      <c r="BK402" s="2014"/>
      <c r="BL402" s="2014"/>
      <c r="BM402" s="2014"/>
      <c r="BN402" s="2014"/>
      <c r="BO402" s="2014"/>
      <c r="BP402" s="1862"/>
    </row>
    <row r="403" spans="1:68" ht="20.100000000000001" customHeight="1">
      <c r="A403" s="1845">
        <v>69</v>
      </c>
      <c r="B403" s="1854"/>
      <c r="C403" s="1847"/>
      <c r="D403" s="1975" t="s">
        <v>961</v>
      </c>
      <c r="E403" s="1848"/>
      <c r="F403" s="1863"/>
      <c r="G403" s="2010" t="s">
        <v>0</v>
      </c>
      <c r="H403" s="2011">
        <f t="shared" ca="1" si="146"/>
        <v>0</v>
      </c>
      <c r="I403" s="2011">
        <f t="shared" ca="1" si="146"/>
        <v>0</v>
      </c>
      <c r="J403" s="2011">
        <f t="shared" ca="1" si="146"/>
        <v>0</v>
      </c>
      <c r="K403" s="2011">
        <f t="shared" ca="1" si="146"/>
        <v>0</v>
      </c>
      <c r="L403" s="2012">
        <f t="shared" ca="1" si="147"/>
        <v>0</v>
      </c>
      <c r="M403" s="2012">
        <f t="shared" ca="1" si="148"/>
        <v>0</v>
      </c>
      <c r="N403" s="2012">
        <f t="shared" ca="1" si="149"/>
        <v>0</v>
      </c>
      <c r="O403" s="2012">
        <f t="shared" ca="1" si="150"/>
        <v>0</v>
      </c>
      <c r="P403" s="2013">
        <f ca="1">SUM(SUMIFS(OFFSET(貼付け_2024実績,$A403,12,1,199),OFFSET(貼付け_2024実績,4,9,1,199),{"横浜*","川崎*"}))</f>
        <v>0</v>
      </c>
      <c r="Q403" s="2013">
        <f ca="1">SUM(SUMIFS(OFFSET(貼付け_2025実績,$A403,12,1,199),OFFSET(貼付け_2025実績,4,9,1,199),{"横浜*","川崎*"}))</f>
        <v>0</v>
      </c>
      <c r="R403" s="2013">
        <f ca="1">SUM(SUMIFS(OFFSET(貼付け_2026実績,$A403,12,1,199),OFFSET(貼付け_2026実績,4,9,1,199),{"横浜*","川崎*"}))</f>
        <v>0</v>
      </c>
      <c r="S403" s="2013">
        <f ca="1">SUM(SUMIFS(OFFSET(貼付け_2027実績,$A403,12,1,199),OFFSET(貼付け_2027実績,4,9,1,199),{"横浜*","川崎*"}))</f>
        <v>0</v>
      </c>
      <c r="T403" s="2012">
        <f t="shared" ca="1" si="151"/>
        <v>0</v>
      </c>
      <c r="U403" s="2012">
        <f t="shared" ca="1" si="152"/>
        <v>0</v>
      </c>
      <c r="V403" s="2012">
        <f t="shared" ca="1" si="153"/>
        <v>0</v>
      </c>
      <c r="W403" s="2012">
        <f t="shared" ca="1" si="154"/>
        <v>0</v>
      </c>
      <c r="X403" s="2014">
        <f t="shared" ca="1" si="155"/>
        <v>0</v>
      </c>
      <c r="Y403" s="2014">
        <f t="shared" ca="1" si="156"/>
        <v>0</v>
      </c>
      <c r="Z403" s="2014">
        <f t="shared" ca="1" si="157"/>
        <v>0</v>
      </c>
      <c r="AA403" s="2014">
        <f t="shared" ca="1" si="158"/>
        <v>0</v>
      </c>
      <c r="AB403" s="2014"/>
      <c r="AC403" s="2014"/>
      <c r="AD403" s="2014"/>
      <c r="AE403" s="2014"/>
      <c r="AF403" s="2014"/>
      <c r="AG403" s="2014"/>
      <c r="AH403" s="2014"/>
      <c r="AI403" s="2014"/>
      <c r="AJ403" s="2014"/>
      <c r="AK403" s="2014"/>
      <c r="AL403" s="2014"/>
      <c r="AM403" s="2014"/>
      <c r="AN403" s="2014"/>
      <c r="AO403" s="2014"/>
      <c r="AP403" s="2014"/>
      <c r="AQ403" s="2014"/>
      <c r="AR403" s="2014"/>
      <c r="AS403" s="2014"/>
      <c r="AT403" s="2014"/>
      <c r="AU403" s="2014"/>
      <c r="AV403" s="2014"/>
      <c r="AW403" s="2014"/>
      <c r="AX403" s="2014"/>
      <c r="AY403" s="2014"/>
      <c r="AZ403" s="2014"/>
      <c r="BA403" s="2014"/>
      <c r="BB403" s="2014"/>
      <c r="BC403" s="2014"/>
      <c r="BD403" s="2014"/>
      <c r="BE403" s="2014"/>
      <c r="BF403" s="2014"/>
      <c r="BG403" s="2014"/>
      <c r="BH403" s="2014"/>
      <c r="BI403" s="2014"/>
      <c r="BJ403" s="2014"/>
      <c r="BK403" s="2014"/>
      <c r="BL403" s="2014"/>
      <c r="BM403" s="2014"/>
      <c r="BN403" s="2014"/>
      <c r="BO403" s="2014"/>
      <c r="BP403" s="1862"/>
    </row>
    <row r="404" spans="1:68" ht="20.100000000000001" customHeight="1">
      <c r="A404" s="1845">
        <v>70</v>
      </c>
      <c r="B404" s="1854"/>
      <c r="C404" s="1847"/>
      <c r="D404" s="1869" t="s">
        <v>962</v>
      </c>
      <c r="E404" s="1858" t="str">
        <f ca="1">E66</f>
        <v/>
      </c>
      <c r="F404" s="1860"/>
      <c r="G404" s="2010" t="s">
        <v>0</v>
      </c>
      <c r="H404" s="2011">
        <f t="shared" ca="1" si="146"/>
        <v>0</v>
      </c>
      <c r="I404" s="2011">
        <f t="shared" ca="1" si="146"/>
        <v>0</v>
      </c>
      <c r="J404" s="2011">
        <f t="shared" ca="1" si="146"/>
        <v>0</v>
      </c>
      <c r="K404" s="2011">
        <f t="shared" ca="1" si="146"/>
        <v>0</v>
      </c>
      <c r="L404" s="2012">
        <f t="shared" ca="1" si="147"/>
        <v>0</v>
      </c>
      <c r="M404" s="2012">
        <f t="shared" ca="1" si="148"/>
        <v>0</v>
      </c>
      <c r="N404" s="2012">
        <f t="shared" ca="1" si="149"/>
        <v>0</v>
      </c>
      <c r="O404" s="2012">
        <f t="shared" ca="1" si="150"/>
        <v>0</v>
      </c>
      <c r="P404" s="2013">
        <f ca="1">SUM(SUMIFS(OFFSET(貼付け_2024実績,$A404,12,1,199),OFFSET(貼付け_2024実績,4,9,1,199),{"横浜*","川崎*"}))</f>
        <v>0</v>
      </c>
      <c r="Q404" s="2013">
        <f ca="1">SUM(SUMIFS(OFFSET(貼付け_2025実績,$A404,12,1,199),OFFSET(貼付け_2025実績,4,9,1,199),{"横浜*","川崎*"}))</f>
        <v>0</v>
      </c>
      <c r="R404" s="2013">
        <f ca="1">SUM(SUMIFS(OFFSET(貼付け_2026実績,$A404,12,1,199),OFFSET(貼付け_2026実績,4,9,1,199),{"横浜*","川崎*"}))</f>
        <v>0</v>
      </c>
      <c r="S404" s="2013">
        <f ca="1">SUM(SUMIFS(OFFSET(貼付け_2027実績,$A404,12,1,199),OFFSET(貼付け_2027実績,4,9,1,199),{"横浜*","川崎*"}))</f>
        <v>0</v>
      </c>
      <c r="T404" s="2012">
        <f t="shared" ca="1" si="151"/>
        <v>0</v>
      </c>
      <c r="U404" s="2012">
        <f t="shared" ca="1" si="152"/>
        <v>0</v>
      </c>
      <c r="V404" s="2012">
        <f t="shared" ca="1" si="153"/>
        <v>0</v>
      </c>
      <c r="W404" s="2012">
        <f t="shared" ca="1" si="154"/>
        <v>0</v>
      </c>
      <c r="X404" s="2014">
        <f t="shared" ca="1" si="155"/>
        <v>0</v>
      </c>
      <c r="Y404" s="2014">
        <f t="shared" ca="1" si="156"/>
        <v>0</v>
      </c>
      <c r="Z404" s="2014">
        <f t="shared" ca="1" si="157"/>
        <v>0</v>
      </c>
      <c r="AA404" s="2014">
        <f t="shared" ca="1" si="158"/>
        <v>0</v>
      </c>
      <c r="AB404" s="2014"/>
      <c r="AC404" s="2014"/>
      <c r="AD404" s="2014"/>
      <c r="AE404" s="2014"/>
      <c r="AF404" s="2014"/>
      <c r="AG404" s="2014"/>
      <c r="AH404" s="2014"/>
      <c r="AI404" s="2014"/>
      <c r="AJ404" s="2014"/>
      <c r="AK404" s="2014"/>
      <c r="AL404" s="2014"/>
      <c r="AM404" s="2014"/>
      <c r="AN404" s="2014"/>
      <c r="AO404" s="2014"/>
      <c r="AP404" s="2014"/>
      <c r="AQ404" s="2014"/>
      <c r="AR404" s="2014"/>
      <c r="AS404" s="2014"/>
      <c r="AT404" s="2014"/>
      <c r="AU404" s="2014"/>
      <c r="AV404" s="2014"/>
      <c r="AW404" s="2014"/>
      <c r="AX404" s="2014"/>
      <c r="AY404" s="2014"/>
      <c r="AZ404" s="2014"/>
      <c r="BA404" s="2014"/>
      <c r="BB404" s="2014"/>
      <c r="BC404" s="2014"/>
      <c r="BD404" s="2014"/>
      <c r="BE404" s="2014"/>
      <c r="BF404" s="2014"/>
      <c r="BG404" s="2014"/>
      <c r="BH404" s="2014"/>
      <c r="BI404" s="2014"/>
      <c r="BJ404" s="2014"/>
      <c r="BK404" s="2014"/>
      <c r="BL404" s="2014"/>
      <c r="BM404" s="2014"/>
      <c r="BN404" s="2014"/>
      <c r="BO404" s="2014"/>
      <c r="BP404" s="1862"/>
    </row>
    <row r="405" spans="1:68" ht="20.100000000000001" customHeight="1">
      <c r="A405" s="1845">
        <v>71</v>
      </c>
      <c r="B405" s="1854"/>
      <c r="C405" s="1847"/>
      <c r="D405" s="1869" t="s">
        <v>963</v>
      </c>
      <c r="E405" s="1858" t="str">
        <f ca="1">E67</f>
        <v/>
      </c>
      <c r="F405" s="1860"/>
      <c r="G405" s="2010" t="s">
        <v>0</v>
      </c>
      <c r="H405" s="2011">
        <f t="shared" ca="1" si="146"/>
        <v>0</v>
      </c>
      <c r="I405" s="2011">
        <f t="shared" ca="1" si="146"/>
        <v>0</v>
      </c>
      <c r="J405" s="2011">
        <f t="shared" ca="1" si="146"/>
        <v>0</v>
      </c>
      <c r="K405" s="2011">
        <f t="shared" ca="1" si="146"/>
        <v>0</v>
      </c>
      <c r="L405" s="2012">
        <f t="shared" ca="1" si="147"/>
        <v>0</v>
      </c>
      <c r="M405" s="2012">
        <f t="shared" ca="1" si="148"/>
        <v>0</v>
      </c>
      <c r="N405" s="2012">
        <f t="shared" ca="1" si="149"/>
        <v>0</v>
      </c>
      <c r="O405" s="2012">
        <f t="shared" ca="1" si="150"/>
        <v>0</v>
      </c>
      <c r="P405" s="2013">
        <f ca="1">SUM(SUMIFS(OFFSET(貼付け_2024実績,$A405,12,1,199),OFFSET(貼付け_2024実績,4,9,1,199),{"横浜*","川崎*"}))</f>
        <v>0</v>
      </c>
      <c r="Q405" s="2013">
        <f ca="1">SUM(SUMIFS(OFFSET(貼付け_2025実績,$A405,12,1,199),OFFSET(貼付け_2025実績,4,9,1,199),{"横浜*","川崎*"}))</f>
        <v>0</v>
      </c>
      <c r="R405" s="2013">
        <f ca="1">SUM(SUMIFS(OFFSET(貼付け_2026実績,$A405,12,1,199),OFFSET(貼付け_2026実績,4,9,1,199),{"横浜*","川崎*"}))</f>
        <v>0</v>
      </c>
      <c r="S405" s="2013">
        <f ca="1">SUM(SUMIFS(OFFSET(貼付け_2027実績,$A405,12,1,199),OFFSET(貼付け_2027実績,4,9,1,199),{"横浜*","川崎*"}))</f>
        <v>0</v>
      </c>
      <c r="T405" s="2012">
        <f t="shared" ca="1" si="151"/>
        <v>0</v>
      </c>
      <c r="U405" s="2012">
        <f t="shared" ca="1" si="152"/>
        <v>0</v>
      </c>
      <c r="V405" s="2012">
        <f t="shared" ca="1" si="153"/>
        <v>0</v>
      </c>
      <c r="W405" s="2012">
        <f t="shared" ca="1" si="154"/>
        <v>0</v>
      </c>
      <c r="X405" s="2014">
        <f t="shared" ca="1" si="155"/>
        <v>0</v>
      </c>
      <c r="Y405" s="2014">
        <f t="shared" ca="1" si="156"/>
        <v>0</v>
      </c>
      <c r="Z405" s="2014">
        <f t="shared" ca="1" si="157"/>
        <v>0</v>
      </c>
      <c r="AA405" s="2014">
        <f t="shared" ca="1" si="158"/>
        <v>0</v>
      </c>
      <c r="AB405" s="2014"/>
      <c r="AC405" s="2014"/>
      <c r="AD405" s="2014"/>
      <c r="AE405" s="2014"/>
      <c r="AF405" s="2014"/>
      <c r="AG405" s="2014"/>
      <c r="AH405" s="2014"/>
      <c r="AI405" s="2014"/>
      <c r="AJ405" s="2014"/>
      <c r="AK405" s="2014"/>
      <c r="AL405" s="2014"/>
      <c r="AM405" s="2014"/>
      <c r="AN405" s="2014"/>
      <c r="AO405" s="2014"/>
      <c r="AP405" s="2014"/>
      <c r="AQ405" s="2014"/>
      <c r="AR405" s="2014"/>
      <c r="AS405" s="2014"/>
      <c r="AT405" s="2014"/>
      <c r="AU405" s="2014"/>
      <c r="AV405" s="2014"/>
      <c r="AW405" s="2014"/>
      <c r="AX405" s="2014"/>
      <c r="AY405" s="2014"/>
      <c r="AZ405" s="2014"/>
      <c r="BA405" s="2014"/>
      <c r="BB405" s="2014"/>
      <c r="BC405" s="2014"/>
      <c r="BD405" s="2014"/>
      <c r="BE405" s="2014"/>
      <c r="BF405" s="2014"/>
      <c r="BG405" s="2014"/>
      <c r="BH405" s="2014"/>
      <c r="BI405" s="2014"/>
      <c r="BJ405" s="2014"/>
      <c r="BK405" s="2014"/>
      <c r="BL405" s="2014"/>
      <c r="BM405" s="2014"/>
      <c r="BN405" s="2014"/>
      <c r="BO405" s="2014"/>
      <c r="BP405" s="1862"/>
    </row>
    <row r="406" spans="1:68" ht="20.100000000000001" hidden="1" customHeight="1" outlineLevel="1">
      <c r="A406" s="1845"/>
      <c r="B406" s="1846" t="s">
        <v>964</v>
      </c>
      <c r="C406" s="1870" t="s">
        <v>965</v>
      </c>
      <c r="D406" s="1871"/>
      <c r="E406" s="1856"/>
      <c r="F406" s="1863"/>
      <c r="G406" s="2010" t="s">
        <v>966</v>
      </c>
      <c r="H406" s="2065"/>
      <c r="I406" s="2065"/>
      <c r="J406" s="2065"/>
      <c r="K406" s="2065"/>
      <c r="L406" s="2131"/>
      <c r="M406" s="2131"/>
      <c r="N406" s="2131"/>
      <c r="O406" s="2131"/>
      <c r="P406" s="2131"/>
      <c r="Q406" s="2131"/>
      <c r="R406" s="2131"/>
      <c r="S406" s="2131"/>
      <c r="T406" s="2131"/>
      <c r="U406" s="2131"/>
      <c r="V406" s="2131"/>
      <c r="W406" s="2131"/>
      <c r="X406" s="2132"/>
      <c r="Y406" s="2132"/>
      <c r="Z406" s="2132"/>
      <c r="AA406" s="2132"/>
      <c r="AB406" s="2132"/>
      <c r="AC406" s="2132"/>
      <c r="AD406" s="2132"/>
      <c r="AE406" s="2132"/>
      <c r="AF406" s="2132"/>
      <c r="AG406" s="2132"/>
      <c r="AH406" s="2132"/>
      <c r="AI406" s="2132"/>
      <c r="AJ406" s="2132"/>
      <c r="AK406" s="2132"/>
      <c r="AL406" s="2132"/>
      <c r="AM406" s="2132"/>
      <c r="AN406" s="2132"/>
      <c r="AO406" s="2132"/>
      <c r="AP406" s="2132"/>
      <c r="AQ406" s="2132"/>
      <c r="AR406" s="2132"/>
      <c r="AS406" s="2132"/>
      <c r="AT406" s="2132"/>
      <c r="AU406" s="2132"/>
      <c r="AV406" s="2132"/>
      <c r="AW406" s="2132"/>
      <c r="AX406" s="2132"/>
      <c r="AY406" s="2132"/>
      <c r="AZ406" s="2132"/>
      <c r="BA406" s="2132"/>
      <c r="BB406" s="2132"/>
      <c r="BC406" s="2132"/>
      <c r="BD406" s="2132"/>
      <c r="BE406" s="2132"/>
      <c r="BF406" s="2132"/>
      <c r="BG406" s="2132"/>
      <c r="BH406" s="2132"/>
      <c r="BI406" s="2132"/>
      <c r="BJ406" s="2132"/>
      <c r="BK406" s="2132"/>
      <c r="BL406" s="2132"/>
      <c r="BM406" s="2132"/>
      <c r="BN406" s="2132"/>
      <c r="BO406" s="2132"/>
      <c r="BP406" s="1862"/>
    </row>
    <row r="407" spans="1:68" ht="20.100000000000001" hidden="1" customHeight="1" outlineLevel="1">
      <c r="A407" s="1845"/>
      <c r="B407" s="1854"/>
      <c r="C407" s="1847" t="s">
        <v>967</v>
      </c>
      <c r="D407" s="1864" t="s">
        <v>968</v>
      </c>
      <c r="E407" s="1848"/>
      <c r="F407" s="1863"/>
      <c r="G407" s="2010" t="s">
        <v>966</v>
      </c>
      <c r="H407" s="2065"/>
      <c r="I407" s="2065"/>
      <c r="J407" s="2065"/>
      <c r="K407" s="2065"/>
      <c r="L407" s="2131"/>
      <c r="M407" s="2131"/>
      <c r="N407" s="2131"/>
      <c r="O407" s="2131"/>
      <c r="P407" s="2131"/>
      <c r="Q407" s="2131"/>
      <c r="R407" s="2131"/>
      <c r="S407" s="2131"/>
      <c r="T407" s="2131"/>
      <c r="U407" s="2131"/>
      <c r="V407" s="2131"/>
      <c r="W407" s="2131"/>
      <c r="X407" s="2132"/>
      <c r="Y407" s="2132"/>
      <c r="Z407" s="2132"/>
      <c r="AA407" s="2132"/>
      <c r="AB407" s="2132"/>
      <c r="AC407" s="2132"/>
      <c r="AD407" s="2132"/>
      <c r="AE407" s="2132"/>
      <c r="AF407" s="2132"/>
      <c r="AG407" s="2132"/>
      <c r="AH407" s="2132"/>
      <c r="AI407" s="2132"/>
      <c r="AJ407" s="2132"/>
      <c r="AK407" s="2132"/>
      <c r="AL407" s="2132"/>
      <c r="AM407" s="2132"/>
      <c r="AN407" s="2132"/>
      <c r="AO407" s="2132"/>
      <c r="AP407" s="2132"/>
      <c r="AQ407" s="2132"/>
      <c r="AR407" s="2132"/>
      <c r="AS407" s="2132"/>
      <c r="AT407" s="2132"/>
      <c r="AU407" s="2132"/>
      <c r="AV407" s="2132"/>
      <c r="AW407" s="2132"/>
      <c r="AX407" s="2132"/>
      <c r="AY407" s="2132"/>
      <c r="AZ407" s="2132"/>
      <c r="BA407" s="2132"/>
      <c r="BB407" s="2132"/>
      <c r="BC407" s="2132"/>
      <c r="BD407" s="2132"/>
      <c r="BE407" s="2132"/>
      <c r="BF407" s="2132"/>
      <c r="BG407" s="2132"/>
      <c r="BH407" s="2132"/>
      <c r="BI407" s="2132"/>
      <c r="BJ407" s="2132"/>
      <c r="BK407" s="2132"/>
      <c r="BL407" s="2132"/>
      <c r="BM407" s="2132"/>
      <c r="BN407" s="2132"/>
      <c r="BO407" s="2132"/>
      <c r="BP407" s="1862"/>
    </row>
    <row r="408" spans="1:68" ht="20.100000000000001" hidden="1" customHeight="1" outlineLevel="1">
      <c r="A408" s="1845"/>
      <c r="B408" s="1854"/>
      <c r="C408" s="1847"/>
      <c r="D408" s="1869" t="s">
        <v>969</v>
      </c>
      <c r="E408" s="1848"/>
      <c r="F408" s="1863"/>
      <c r="G408" s="2010" t="s">
        <v>966</v>
      </c>
      <c r="H408" s="2065"/>
      <c r="I408" s="2065"/>
      <c r="J408" s="2065"/>
      <c r="K408" s="2065"/>
      <c r="L408" s="2131"/>
      <c r="M408" s="2131"/>
      <c r="N408" s="2131"/>
      <c r="O408" s="2131"/>
      <c r="P408" s="2131"/>
      <c r="Q408" s="2131"/>
      <c r="R408" s="2131"/>
      <c r="S408" s="2131"/>
      <c r="T408" s="2131"/>
      <c r="U408" s="2131"/>
      <c r="V408" s="2131"/>
      <c r="W408" s="2131"/>
      <c r="X408" s="2132"/>
      <c r="Y408" s="2132"/>
      <c r="Z408" s="2132"/>
      <c r="AA408" s="2132"/>
      <c r="AB408" s="2132"/>
      <c r="AC408" s="2132"/>
      <c r="AD408" s="2132"/>
      <c r="AE408" s="2132"/>
      <c r="AF408" s="2132"/>
      <c r="AG408" s="2132"/>
      <c r="AH408" s="2132"/>
      <c r="AI408" s="2132"/>
      <c r="AJ408" s="2132"/>
      <c r="AK408" s="2132"/>
      <c r="AL408" s="2132"/>
      <c r="AM408" s="2132"/>
      <c r="AN408" s="2132"/>
      <c r="AO408" s="2132"/>
      <c r="AP408" s="2132"/>
      <c r="AQ408" s="2132"/>
      <c r="AR408" s="2132"/>
      <c r="AS408" s="2132"/>
      <c r="AT408" s="2132"/>
      <c r="AU408" s="2132"/>
      <c r="AV408" s="2132"/>
      <c r="AW408" s="2132"/>
      <c r="AX408" s="2132"/>
      <c r="AY408" s="2132"/>
      <c r="AZ408" s="2132"/>
      <c r="BA408" s="2132"/>
      <c r="BB408" s="2132"/>
      <c r="BC408" s="2132"/>
      <c r="BD408" s="2132"/>
      <c r="BE408" s="2132"/>
      <c r="BF408" s="2132"/>
      <c r="BG408" s="2132"/>
      <c r="BH408" s="2132"/>
      <c r="BI408" s="2132"/>
      <c r="BJ408" s="2132"/>
      <c r="BK408" s="2132"/>
      <c r="BL408" s="2132"/>
      <c r="BM408" s="2132"/>
      <c r="BN408" s="2132"/>
      <c r="BO408" s="2132"/>
      <c r="BP408" s="1862"/>
    </row>
    <row r="409" spans="1:68" ht="20.100000000000001" hidden="1" customHeight="1" outlineLevel="1">
      <c r="A409" s="1845"/>
      <c r="B409" s="1854"/>
      <c r="C409" s="1847"/>
      <c r="D409" s="1869" t="s">
        <v>970</v>
      </c>
      <c r="E409" s="1858" t="str">
        <f ca="1">E71</f>
        <v/>
      </c>
      <c r="F409" s="1860"/>
      <c r="G409" s="2010" t="s">
        <v>966</v>
      </c>
      <c r="H409" s="2065"/>
      <c r="I409" s="2065"/>
      <c r="J409" s="2065"/>
      <c r="K409" s="2065"/>
      <c r="L409" s="2131"/>
      <c r="M409" s="2131"/>
      <c r="N409" s="2131"/>
      <c r="O409" s="2131"/>
      <c r="P409" s="2131"/>
      <c r="Q409" s="2131"/>
      <c r="R409" s="2131"/>
      <c r="S409" s="2131"/>
      <c r="T409" s="2131"/>
      <c r="U409" s="2131"/>
      <c r="V409" s="2131"/>
      <c r="W409" s="2131"/>
      <c r="X409" s="2132"/>
      <c r="Y409" s="2132"/>
      <c r="Z409" s="2132"/>
      <c r="AA409" s="2132"/>
      <c r="AB409" s="2132"/>
      <c r="AC409" s="2132"/>
      <c r="AD409" s="2132"/>
      <c r="AE409" s="2132"/>
      <c r="AF409" s="2132"/>
      <c r="AG409" s="2132"/>
      <c r="AH409" s="2132"/>
      <c r="AI409" s="2132"/>
      <c r="AJ409" s="2132"/>
      <c r="AK409" s="2132"/>
      <c r="AL409" s="2132"/>
      <c r="AM409" s="2132"/>
      <c r="AN409" s="2132"/>
      <c r="AO409" s="2132"/>
      <c r="AP409" s="2132"/>
      <c r="AQ409" s="2132"/>
      <c r="AR409" s="2132"/>
      <c r="AS409" s="2132"/>
      <c r="AT409" s="2132"/>
      <c r="AU409" s="2132"/>
      <c r="AV409" s="2132"/>
      <c r="AW409" s="2132"/>
      <c r="AX409" s="2132"/>
      <c r="AY409" s="2132"/>
      <c r="AZ409" s="2132"/>
      <c r="BA409" s="2132"/>
      <c r="BB409" s="2132"/>
      <c r="BC409" s="2132"/>
      <c r="BD409" s="2132"/>
      <c r="BE409" s="2132"/>
      <c r="BF409" s="2132"/>
      <c r="BG409" s="2132"/>
      <c r="BH409" s="2132"/>
      <c r="BI409" s="2132"/>
      <c r="BJ409" s="2132"/>
      <c r="BK409" s="2132"/>
      <c r="BL409" s="2132"/>
      <c r="BM409" s="2132"/>
      <c r="BN409" s="2132"/>
      <c r="BO409" s="2132"/>
      <c r="BP409" s="1862"/>
    </row>
    <row r="410" spans="1:68" ht="20.100000000000001" hidden="1" customHeight="1" outlineLevel="1">
      <c r="A410" s="1845"/>
      <c r="B410" s="1854"/>
      <c r="C410" s="1847"/>
      <c r="D410" s="1872" t="s">
        <v>972</v>
      </c>
      <c r="E410" s="1858" t="str">
        <f ca="1">E73</f>
        <v/>
      </c>
      <c r="F410" s="1860"/>
      <c r="G410" s="2010" t="s">
        <v>966</v>
      </c>
      <c r="H410" s="2065"/>
      <c r="I410" s="2065"/>
      <c r="J410" s="2065"/>
      <c r="K410" s="2065"/>
      <c r="L410" s="2131"/>
      <c r="M410" s="2131"/>
      <c r="N410" s="2131"/>
      <c r="O410" s="2131"/>
      <c r="P410" s="2131"/>
      <c r="Q410" s="2131"/>
      <c r="R410" s="2131"/>
      <c r="S410" s="2131"/>
      <c r="T410" s="2131"/>
      <c r="U410" s="2131"/>
      <c r="V410" s="2131"/>
      <c r="W410" s="2131"/>
      <c r="X410" s="2132"/>
      <c r="Y410" s="2132"/>
      <c r="Z410" s="2132"/>
      <c r="AA410" s="2132"/>
      <c r="AB410" s="2132"/>
      <c r="AC410" s="2132"/>
      <c r="AD410" s="2132"/>
      <c r="AE410" s="2132"/>
      <c r="AF410" s="2132"/>
      <c r="AG410" s="2132"/>
      <c r="AH410" s="2132"/>
      <c r="AI410" s="2132"/>
      <c r="AJ410" s="2132"/>
      <c r="AK410" s="2132"/>
      <c r="AL410" s="2132"/>
      <c r="AM410" s="2132"/>
      <c r="AN410" s="2132"/>
      <c r="AO410" s="2132"/>
      <c r="AP410" s="2132"/>
      <c r="AQ410" s="2132"/>
      <c r="AR410" s="2132"/>
      <c r="AS410" s="2132"/>
      <c r="AT410" s="2132"/>
      <c r="AU410" s="2132"/>
      <c r="AV410" s="2132"/>
      <c r="AW410" s="2132"/>
      <c r="AX410" s="2132"/>
      <c r="AY410" s="2132"/>
      <c r="AZ410" s="2132"/>
      <c r="BA410" s="2132"/>
      <c r="BB410" s="2132"/>
      <c r="BC410" s="2132"/>
      <c r="BD410" s="2132"/>
      <c r="BE410" s="2132"/>
      <c r="BF410" s="2132"/>
      <c r="BG410" s="2132"/>
      <c r="BH410" s="2132"/>
      <c r="BI410" s="2132"/>
      <c r="BJ410" s="2132"/>
      <c r="BK410" s="2132"/>
      <c r="BL410" s="2132"/>
      <c r="BM410" s="2132"/>
      <c r="BN410" s="2132"/>
      <c r="BO410" s="2132"/>
      <c r="BP410" s="1862"/>
    </row>
    <row r="411" spans="1:68" ht="20.100000000000001" hidden="1" customHeight="1" outlineLevel="1">
      <c r="A411" s="1845"/>
      <c r="B411" s="1854"/>
      <c r="C411" s="1847" t="s">
        <v>973</v>
      </c>
      <c r="D411" s="1869" t="s">
        <v>1556</v>
      </c>
      <c r="E411" s="1848"/>
      <c r="F411" s="1875"/>
      <c r="G411" s="2010" t="s">
        <v>966</v>
      </c>
      <c r="H411" s="2065"/>
      <c r="I411" s="2065"/>
      <c r="J411" s="2065"/>
      <c r="K411" s="2065"/>
      <c r="L411" s="2131"/>
      <c r="M411" s="2131"/>
      <c r="N411" s="2131"/>
      <c r="O411" s="2131"/>
      <c r="P411" s="2131"/>
      <c r="Q411" s="2131"/>
      <c r="R411" s="2131"/>
      <c r="S411" s="2131"/>
      <c r="T411" s="2131"/>
      <c r="U411" s="2131"/>
      <c r="V411" s="2131"/>
      <c r="W411" s="2131"/>
      <c r="X411" s="2132"/>
      <c r="Y411" s="2132"/>
      <c r="Z411" s="2132"/>
      <c r="AA411" s="2132"/>
      <c r="AB411" s="2132"/>
      <c r="AC411" s="2132"/>
      <c r="AD411" s="2132"/>
      <c r="AE411" s="2132"/>
      <c r="AF411" s="2132"/>
      <c r="AG411" s="2132"/>
      <c r="AH411" s="2132"/>
      <c r="AI411" s="2132"/>
      <c r="AJ411" s="2132"/>
      <c r="AK411" s="2132"/>
      <c r="AL411" s="2132"/>
      <c r="AM411" s="2132"/>
      <c r="AN411" s="2132"/>
      <c r="AO411" s="2132"/>
      <c r="AP411" s="2132"/>
      <c r="AQ411" s="2132"/>
      <c r="AR411" s="2132"/>
      <c r="AS411" s="2132"/>
      <c r="AT411" s="2132"/>
      <c r="AU411" s="2132"/>
      <c r="AV411" s="2132"/>
      <c r="AW411" s="2132"/>
      <c r="AX411" s="2132"/>
      <c r="AY411" s="2132"/>
      <c r="AZ411" s="2132"/>
      <c r="BA411" s="2132"/>
      <c r="BB411" s="2132"/>
      <c r="BC411" s="2132"/>
      <c r="BD411" s="2132"/>
      <c r="BE411" s="2132"/>
      <c r="BF411" s="2132"/>
      <c r="BG411" s="2132"/>
      <c r="BH411" s="2132"/>
      <c r="BI411" s="2132"/>
      <c r="BJ411" s="2132"/>
      <c r="BK411" s="2132"/>
      <c r="BL411" s="2132"/>
      <c r="BM411" s="2132"/>
      <c r="BN411" s="2132"/>
      <c r="BO411" s="2132"/>
      <c r="BP411" s="1862"/>
    </row>
    <row r="412" spans="1:68" ht="20.100000000000001" hidden="1" customHeight="1" outlineLevel="1">
      <c r="A412" s="1845"/>
      <c r="B412" s="1854"/>
      <c r="C412" s="1847"/>
      <c r="D412" s="1869" t="s">
        <v>1556</v>
      </c>
      <c r="E412" s="1848"/>
      <c r="F412" s="1875"/>
      <c r="G412" s="2010" t="s">
        <v>571</v>
      </c>
      <c r="H412" s="2065"/>
      <c r="I412" s="2065"/>
      <c r="J412" s="2065"/>
      <c r="K412" s="2065"/>
      <c r="L412" s="2131"/>
      <c r="M412" s="2131"/>
      <c r="N412" s="2131"/>
      <c r="O412" s="2131"/>
      <c r="P412" s="2131"/>
      <c r="Q412" s="2131"/>
      <c r="R412" s="2131"/>
      <c r="S412" s="2131"/>
      <c r="T412" s="2131"/>
      <c r="U412" s="2131"/>
      <c r="V412" s="2131"/>
      <c r="W412" s="2131"/>
      <c r="X412" s="2132"/>
      <c r="Y412" s="2132"/>
      <c r="Z412" s="2132"/>
      <c r="AA412" s="2132"/>
      <c r="AB412" s="2132"/>
      <c r="AC412" s="2132"/>
      <c r="AD412" s="2132"/>
      <c r="AE412" s="2132"/>
      <c r="AF412" s="2132"/>
      <c r="AG412" s="2132"/>
      <c r="AH412" s="2132"/>
      <c r="AI412" s="2132"/>
      <c r="AJ412" s="2132"/>
      <c r="AK412" s="2132"/>
      <c r="AL412" s="2132"/>
      <c r="AM412" s="2132"/>
      <c r="AN412" s="2132"/>
      <c r="AO412" s="2132"/>
      <c r="AP412" s="2132"/>
      <c r="AQ412" s="2132"/>
      <c r="AR412" s="2132"/>
      <c r="AS412" s="2132"/>
      <c r="AT412" s="2132"/>
      <c r="AU412" s="2132"/>
      <c r="AV412" s="2132"/>
      <c r="AW412" s="2132"/>
      <c r="AX412" s="2132"/>
      <c r="AY412" s="2132"/>
      <c r="AZ412" s="2132"/>
      <c r="BA412" s="2132"/>
      <c r="BB412" s="2132"/>
      <c r="BC412" s="2132"/>
      <c r="BD412" s="2132"/>
      <c r="BE412" s="2132"/>
      <c r="BF412" s="2132"/>
      <c r="BG412" s="2132"/>
      <c r="BH412" s="2132"/>
      <c r="BI412" s="2132"/>
      <c r="BJ412" s="2132"/>
      <c r="BK412" s="2132"/>
      <c r="BL412" s="2132"/>
      <c r="BM412" s="2132"/>
      <c r="BN412" s="2132"/>
      <c r="BO412" s="2132"/>
      <c r="BP412" s="1862"/>
    </row>
    <row r="413" spans="1:68" ht="20.100000000000001" hidden="1" customHeight="1" outlineLevel="1">
      <c r="A413" s="1845"/>
      <c r="B413" s="1854"/>
      <c r="C413" s="1847"/>
      <c r="D413" s="1869" t="s">
        <v>1557</v>
      </c>
      <c r="E413" s="1848"/>
      <c r="F413" s="1875"/>
      <c r="G413" s="2010" t="s">
        <v>966</v>
      </c>
      <c r="H413" s="2065"/>
      <c r="I413" s="2065"/>
      <c r="J413" s="2065"/>
      <c r="K413" s="2065"/>
      <c r="L413" s="2131"/>
      <c r="M413" s="2131"/>
      <c r="N413" s="2131"/>
      <c r="O413" s="2131"/>
      <c r="P413" s="2131"/>
      <c r="Q413" s="2131"/>
      <c r="R413" s="2131"/>
      <c r="S413" s="2131"/>
      <c r="T413" s="2131"/>
      <c r="U413" s="2131"/>
      <c r="V413" s="2131"/>
      <c r="W413" s="2131"/>
      <c r="X413" s="2132"/>
      <c r="Y413" s="2132"/>
      <c r="Z413" s="2132"/>
      <c r="AA413" s="2132"/>
      <c r="AB413" s="2132"/>
      <c r="AC413" s="2132"/>
      <c r="AD413" s="2132"/>
      <c r="AE413" s="2132"/>
      <c r="AF413" s="2132"/>
      <c r="AG413" s="2132"/>
      <c r="AH413" s="2132"/>
      <c r="AI413" s="2132"/>
      <c r="AJ413" s="2132"/>
      <c r="AK413" s="2132"/>
      <c r="AL413" s="2132"/>
      <c r="AM413" s="2132"/>
      <c r="AN413" s="2132"/>
      <c r="AO413" s="2132"/>
      <c r="AP413" s="2132"/>
      <c r="AQ413" s="2132"/>
      <c r="AR413" s="2132"/>
      <c r="AS413" s="2132"/>
      <c r="AT413" s="2132"/>
      <c r="AU413" s="2132"/>
      <c r="AV413" s="2132"/>
      <c r="AW413" s="2132"/>
      <c r="AX413" s="2132"/>
      <c r="AY413" s="2132"/>
      <c r="AZ413" s="2132"/>
      <c r="BA413" s="2132"/>
      <c r="BB413" s="2132"/>
      <c r="BC413" s="2132"/>
      <c r="BD413" s="2132"/>
      <c r="BE413" s="2132"/>
      <c r="BF413" s="2132"/>
      <c r="BG413" s="2132"/>
      <c r="BH413" s="2132"/>
      <c r="BI413" s="2132"/>
      <c r="BJ413" s="2132"/>
      <c r="BK413" s="2132"/>
      <c r="BL413" s="2132"/>
      <c r="BM413" s="2132"/>
      <c r="BN413" s="2132"/>
      <c r="BO413" s="2132"/>
      <c r="BP413" s="1862"/>
    </row>
    <row r="414" spans="1:68" ht="20.100000000000001" hidden="1" customHeight="1" outlineLevel="1">
      <c r="A414" s="1845"/>
      <c r="B414" s="1854"/>
      <c r="C414" s="1847"/>
      <c r="D414" s="1869" t="s">
        <v>1557</v>
      </c>
      <c r="E414" s="1848"/>
      <c r="F414" s="1875"/>
      <c r="G414" s="2010" t="s">
        <v>571</v>
      </c>
      <c r="H414" s="2065"/>
      <c r="I414" s="2065"/>
      <c r="J414" s="2065"/>
      <c r="K414" s="2065"/>
      <c r="L414" s="2131"/>
      <c r="M414" s="2131"/>
      <c r="N414" s="2131"/>
      <c r="O414" s="2131"/>
      <c r="P414" s="2131"/>
      <c r="Q414" s="2131"/>
      <c r="R414" s="2131"/>
      <c r="S414" s="2131"/>
      <c r="T414" s="2131"/>
      <c r="U414" s="2131"/>
      <c r="V414" s="2131"/>
      <c r="W414" s="2131"/>
      <c r="X414" s="2132"/>
      <c r="Y414" s="2132"/>
      <c r="Z414" s="2132"/>
      <c r="AA414" s="2132"/>
      <c r="AB414" s="2132"/>
      <c r="AC414" s="2132"/>
      <c r="AD414" s="2132"/>
      <c r="AE414" s="2132"/>
      <c r="AF414" s="2132"/>
      <c r="AG414" s="2132"/>
      <c r="AH414" s="2132"/>
      <c r="AI414" s="2132"/>
      <c r="AJ414" s="2132"/>
      <c r="AK414" s="2132"/>
      <c r="AL414" s="2132"/>
      <c r="AM414" s="2132"/>
      <c r="AN414" s="2132"/>
      <c r="AO414" s="2132"/>
      <c r="AP414" s="2132"/>
      <c r="AQ414" s="2132"/>
      <c r="AR414" s="2132"/>
      <c r="AS414" s="2132"/>
      <c r="AT414" s="2132"/>
      <c r="AU414" s="2132"/>
      <c r="AV414" s="2132"/>
      <c r="AW414" s="2132"/>
      <c r="AX414" s="2132"/>
      <c r="AY414" s="2132"/>
      <c r="AZ414" s="2132"/>
      <c r="BA414" s="2132"/>
      <c r="BB414" s="2132"/>
      <c r="BC414" s="2132"/>
      <c r="BD414" s="2132"/>
      <c r="BE414" s="2132"/>
      <c r="BF414" s="2132"/>
      <c r="BG414" s="2132"/>
      <c r="BH414" s="2132"/>
      <c r="BI414" s="2132"/>
      <c r="BJ414" s="2132"/>
      <c r="BK414" s="2132"/>
      <c r="BL414" s="2132"/>
      <c r="BM414" s="2132"/>
      <c r="BN414" s="2132"/>
      <c r="BO414" s="2132"/>
      <c r="BP414" s="1862"/>
    </row>
    <row r="415" spans="1:68" ht="20.100000000000001" hidden="1" customHeight="1" outlineLevel="1">
      <c r="A415" s="1845"/>
      <c r="B415" s="1854"/>
      <c r="C415" s="1847"/>
      <c r="D415" s="1869" t="s">
        <v>958</v>
      </c>
      <c r="E415" s="1848"/>
      <c r="F415" s="1875"/>
      <c r="G415" s="2010" t="s">
        <v>966</v>
      </c>
      <c r="H415" s="2065"/>
      <c r="I415" s="2065"/>
      <c r="J415" s="2065"/>
      <c r="K415" s="2065"/>
      <c r="L415" s="2131"/>
      <c r="M415" s="2131"/>
      <c r="N415" s="2131"/>
      <c r="O415" s="2131"/>
      <c r="P415" s="2131"/>
      <c r="Q415" s="2131"/>
      <c r="R415" s="2131"/>
      <c r="S415" s="2131"/>
      <c r="T415" s="2131"/>
      <c r="U415" s="2131"/>
      <c r="V415" s="2131"/>
      <c r="W415" s="2131"/>
      <c r="X415" s="2132"/>
      <c r="Y415" s="2132"/>
      <c r="Z415" s="2132"/>
      <c r="AA415" s="2132"/>
      <c r="AB415" s="2132"/>
      <c r="AC415" s="2132"/>
      <c r="AD415" s="2132"/>
      <c r="AE415" s="2132"/>
      <c r="AF415" s="2132"/>
      <c r="AG415" s="2132"/>
      <c r="AH415" s="2132"/>
      <c r="AI415" s="2132"/>
      <c r="AJ415" s="2132"/>
      <c r="AK415" s="2132"/>
      <c r="AL415" s="2132"/>
      <c r="AM415" s="2132"/>
      <c r="AN415" s="2132"/>
      <c r="AO415" s="2132"/>
      <c r="AP415" s="2132"/>
      <c r="AQ415" s="2132"/>
      <c r="AR415" s="2132"/>
      <c r="AS415" s="2132"/>
      <c r="AT415" s="2132"/>
      <c r="AU415" s="2132"/>
      <c r="AV415" s="2132"/>
      <c r="AW415" s="2132"/>
      <c r="AX415" s="2132"/>
      <c r="AY415" s="2132"/>
      <c r="AZ415" s="2132"/>
      <c r="BA415" s="2132"/>
      <c r="BB415" s="2132"/>
      <c r="BC415" s="2132"/>
      <c r="BD415" s="2132"/>
      <c r="BE415" s="2132"/>
      <c r="BF415" s="2132"/>
      <c r="BG415" s="2132"/>
      <c r="BH415" s="2132"/>
      <c r="BI415" s="2132"/>
      <c r="BJ415" s="2132"/>
      <c r="BK415" s="2132"/>
      <c r="BL415" s="2132"/>
      <c r="BM415" s="2132"/>
      <c r="BN415" s="2132"/>
      <c r="BO415" s="2132"/>
      <c r="BP415" s="1862"/>
    </row>
    <row r="416" spans="1:68" ht="20.100000000000001" hidden="1" customHeight="1" outlineLevel="1">
      <c r="A416" s="1845"/>
      <c r="B416" s="1854"/>
      <c r="C416" s="1847"/>
      <c r="D416" s="1869" t="s">
        <v>958</v>
      </c>
      <c r="E416" s="1848"/>
      <c r="F416" s="1875"/>
      <c r="G416" s="2010" t="s">
        <v>571</v>
      </c>
      <c r="H416" s="2065"/>
      <c r="I416" s="2065"/>
      <c r="J416" s="2065"/>
      <c r="K416" s="2065"/>
      <c r="L416" s="2131"/>
      <c r="M416" s="2131"/>
      <c r="N416" s="2131"/>
      <c r="O416" s="2131"/>
      <c r="P416" s="2131"/>
      <c r="Q416" s="2131"/>
      <c r="R416" s="2131"/>
      <c r="S416" s="2131"/>
      <c r="T416" s="2131"/>
      <c r="U416" s="2131"/>
      <c r="V416" s="2131"/>
      <c r="W416" s="2131"/>
      <c r="X416" s="2132"/>
      <c r="Y416" s="2132"/>
      <c r="Z416" s="2132"/>
      <c r="AA416" s="2132"/>
      <c r="AB416" s="2132"/>
      <c r="AC416" s="2132"/>
      <c r="AD416" s="2132"/>
      <c r="AE416" s="2132"/>
      <c r="AF416" s="2132"/>
      <c r="AG416" s="2132"/>
      <c r="AH416" s="2132"/>
      <c r="AI416" s="2132"/>
      <c r="AJ416" s="2132"/>
      <c r="AK416" s="2132"/>
      <c r="AL416" s="2132"/>
      <c r="AM416" s="2132"/>
      <c r="AN416" s="2132"/>
      <c r="AO416" s="2132"/>
      <c r="AP416" s="2132"/>
      <c r="AQ416" s="2132"/>
      <c r="AR416" s="2132"/>
      <c r="AS416" s="2132"/>
      <c r="AT416" s="2132"/>
      <c r="AU416" s="2132"/>
      <c r="AV416" s="2132"/>
      <c r="AW416" s="2132"/>
      <c r="AX416" s="2132"/>
      <c r="AY416" s="2132"/>
      <c r="AZ416" s="2132"/>
      <c r="BA416" s="2132"/>
      <c r="BB416" s="2132"/>
      <c r="BC416" s="2132"/>
      <c r="BD416" s="2132"/>
      <c r="BE416" s="2132"/>
      <c r="BF416" s="2132"/>
      <c r="BG416" s="2132"/>
      <c r="BH416" s="2132"/>
      <c r="BI416" s="2132"/>
      <c r="BJ416" s="2132"/>
      <c r="BK416" s="2132"/>
      <c r="BL416" s="2132"/>
      <c r="BM416" s="2132"/>
      <c r="BN416" s="2132"/>
      <c r="BO416" s="2132"/>
      <c r="BP416" s="1862"/>
    </row>
    <row r="417" spans="1:68" ht="20.100000000000001" hidden="1" customHeight="1" outlineLevel="1">
      <c r="A417" s="1845"/>
      <c r="B417" s="1854"/>
      <c r="C417" s="1847"/>
      <c r="D417" s="1869" t="s">
        <v>1558</v>
      </c>
      <c r="E417" s="1848"/>
      <c r="F417" s="1875"/>
      <c r="G417" s="2010" t="s">
        <v>966</v>
      </c>
      <c r="H417" s="2065"/>
      <c r="I417" s="2065"/>
      <c r="J417" s="2065"/>
      <c r="K417" s="2065"/>
      <c r="L417" s="2131"/>
      <c r="M417" s="2131"/>
      <c r="N417" s="2131"/>
      <c r="O417" s="2131"/>
      <c r="P417" s="2131"/>
      <c r="Q417" s="2131"/>
      <c r="R417" s="2131"/>
      <c r="S417" s="2131"/>
      <c r="T417" s="2131"/>
      <c r="U417" s="2131"/>
      <c r="V417" s="2131"/>
      <c r="W417" s="2131"/>
      <c r="X417" s="2132"/>
      <c r="Y417" s="2132"/>
      <c r="Z417" s="2132"/>
      <c r="AA417" s="2132"/>
      <c r="AB417" s="2132"/>
      <c r="AC417" s="2132"/>
      <c r="AD417" s="2132"/>
      <c r="AE417" s="2132"/>
      <c r="AF417" s="2132"/>
      <c r="AG417" s="2132"/>
      <c r="AH417" s="2132"/>
      <c r="AI417" s="2132"/>
      <c r="AJ417" s="2132"/>
      <c r="AK417" s="2132"/>
      <c r="AL417" s="2132"/>
      <c r="AM417" s="2132"/>
      <c r="AN417" s="2132"/>
      <c r="AO417" s="2132"/>
      <c r="AP417" s="2132"/>
      <c r="AQ417" s="2132"/>
      <c r="AR417" s="2132"/>
      <c r="AS417" s="2132"/>
      <c r="AT417" s="2132"/>
      <c r="AU417" s="2132"/>
      <c r="AV417" s="2132"/>
      <c r="AW417" s="2132"/>
      <c r="AX417" s="2132"/>
      <c r="AY417" s="2132"/>
      <c r="AZ417" s="2132"/>
      <c r="BA417" s="2132"/>
      <c r="BB417" s="2132"/>
      <c r="BC417" s="2132"/>
      <c r="BD417" s="2132"/>
      <c r="BE417" s="2132"/>
      <c r="BF417" s="2132"/>
      <c r="BG417" s="2132"/>
      <c r="BH417" s="2132"/>
      <c r="BI417" s="2132"/>
      <c r="BJ417" s="2132"/>
      <c r="BK417" s="2132"/>
      <c r="BL417" s="2132"/>
      <c r="BM417" s="2132"/>
      <c r="BN417" s="2132"/>
      <c r="BO417" s="2132"/>
      <c r="BP417" s="1862"/>
    </row>
    <row r="418" spans="1:68" ht="20.100000000000001" hidden="1" customHeight="1" outlineLevel="1">
      <c r="A418" s="1845"/>
      <c r="B418" s="1854"/>
      <c r="C418" s="1847"/>
      <c r="D418" s="1869" t="s">
        <v>1559</v>
      </c>
      <c r="E418" s="1848"/>
      <c r="F418" s="1875"/>
      <c r="G418" s="2010" t="s">
        <v>571</v>
      </c>
      <c r="H418" s="2065"/>
      <c r="I418" s="2065"/>
      <c r="J418" s="2065"/>
      <c r="K418" s="2065"/>
      <c r="L418" s="2131"/>
      <c r="M418" s="2131"/>
      <c r="N418" s="2131"/>
      <c r="O418" s="2131"/>
      <c r="P418" s="2131"/>
      <c r="Q418" s="2131"/>
      <c r="R418" s="2131"/>
      <c r="S418" s="2131"/>
      <c r="T418" s="2131"/>
      <c r="U418" s="2131"/>
      <c r="V418" s="2131"/>
      <c r="W418" s="2131"/>
      <c r="X418" s="2132"/>
      <c r="Y418" s="2132"/>
      <c r="Z418" s="2132"/>
      <c r="AA418" s="2132"/>
      <c r="AB418" s="2132"/>
      <c r="AC418" s="2132"/>
      <c r="AD418" s="2132"/>
      <c r="AE418" s="2132"/>
      <c r="AF418" s="2132"/>
      <c r="AG418" s="2132"/>
      <c r="AH418" s="2132"/>
      <c r="AI418" s="2132"/>
      <c r="AJ418" s="2132"/>
      <c r="AK418" s="2132"/>
      <c r="AL418" s="2132"/>
      <c r="AM418" s="2132"/>
      <c r="AN418" s="2132"/>
      <c r="AO418" s="2132"/>
      <c r="AP418" s="2132"/>
      <c r="AQ418" s="2132"/>
      <c r="AR418" s="2132"/>
      <c r="AS418" s="2132"/>
      <c r="AT418" s="2132"/>
      <c r="AU418" s="2132"/>
      <c r="AV418" s="2132"/>
      <c r="AW418" s="2132"/>
      <c r="AX418" s="2132"/>
      <c r="AY418" s="2132"/>
      <c r="AZ418" s="2132"/>
      <c r="BA418" s="2132"/>
      <c r="BB418" s="2132"/>
      <c r="BC418" s="2132"/>
      <c r="BD418" s="2132"/>
      <c r="BE418" s="2132"/>
      <c r="BF418" s="2132"/>
      <c r="BG418" s="2132"/>
      <c r="BH418" s="2132"/>
      <c r="BI418" s="2132"/>
      <c r="BJ418" s="2132"/>
      <c r="BK418" s="2132"/>
      <c r="BL418" s="2132"/>
      <c r="BM418" s="2132"/>
      <c r="BN418" s="2132"/>
      <c r="BO418" s="2132"/>
      <c r="BP418" s="1862"/>
    </row>
    <row r="419" spans="1:68" ht="20.100000000000001" hidden="1" customHeight="1" outlineLevel="1">
      <c r="A419" s="1845"/>
      <c r="B419" s="1854"/>
      <c r="C419" s="1847"/>
      <c r="D419" s="1981" t="s">
        <v>974</v>
      </c>
      <c r="E419" s="1982" t="str">
        <f ca="1">E83</f>
        <v/>
      </c>
      <c r="F419" s="1879"/>
      <c r="G419" s="2010" t="s">
        <v>966</v>
      </c>
      <c r="H419" s="2065"/>
      <c r="I419" s="2065"/>
      <c r="J419" s="2065"/>
      <c r="K419" s="2065"/>
      <c r="L419" s="2131"/>
      <c r="M419" s="2131"/>
      <c r="N419" s="2131"/>
      <c r="O419" s="2131"/>
      <c r="P419" s="2131"/>
      <c r="Q419" s="2131"/>
      <c r="R419" s="2131"/>
      <c r="S419" s="2131"/>
      <c r="T419" s="2131"/>
      <c r="U419" s="2131"/>
      <c r="V419" s="2131"/>
      <c r="W419" s="2131"/>
      <c r="X419" s="2132"/>
      <c r="Y419" s="2132"/>
      <c r="Z419" s="2132"/>
      <c r="AA419" s="2132"/>
      <c r="AB419" s="2132"/>
      <c r="AC419" s="2132"/>
      <c r="AD419" s="2132"/>
      <c r="AE419" s="2132"/>
      <c r="AF419" s="2132"/>
      <c r="AG419" s="2132"/>
      <c r="AH419" s="2132"/>
      <c r="AI419" s="2132"/>
      <c r="AJ419" s="2132"/>
      <c r="AK419" s="2132"/>
      <c r="AL419" s="2132"/>
      <c r="AM419" s="2132"/>
      <c r="AN419" s="2132"/>
      <c r="AO419" s="2132"/>
      <c r="AP419" s="2132"/>
      <c r="AQ419" s="2132"/>
      <c r="AR419" s="2132"/>
      <c r="AS419" s="2132"/>
      <c r="AT419" s="2132"/>
      <c r="AU419" s="2132"/>
      <c r="AV419" s="2132"/>
      <c r="AW419" s="2132"/>
      <c r="AX419" s="2132"/>
      <c r="AY419" s="2132"/>
      <c r="AZ419" s="2132"/>
      <c r="BA419" s="2132"/>
      <c r="BB419" s="2132"/>
      <c r="BC419" s="2132"/>
      <c r="BD419" s="2132"/>
      <c r="BE419" s="2132"/>
      <c r="BF419" s="2132"/>
      <c r="BG419" s="2132"/>
      <c r="BH419" s="2132"/>
      <c r="BI419" s="2132"/>
      <c r="BJ419" s="2132"/>
      <c r="BK419" s="2132"/>
      <c r="BL419" s="2132"/>
      <c r="BM419" s="2132"/>
      <c r="BN419" s="2132"/>
      <c r="BO419" s="2132"/>
      <c r="BP419" s="1862"/>
    </row>
    <row r="420" spans="1:68" ht="20.100000000000001" hidden="1" customHeight="1" outlineLevel="1">
      <c r="A420" s="1845"/>
      <c r="B420" s="1854"/>
      <c r="C420" s="1847"/>
      <c r="D420" s="1981"/>
      <c r="E420" s="1983"/>
      <c r="F420" s="1882"/>
      <c r="G420" s="2010" t="s">
        <v>571</v>
      </c>
      <c r="H420" s="2065"/>
      <c r="I420" s="2065"/>
      <c r="J420" s="2065"/>
      <c r="K420" s="2065"/>
      <c r="L420" s="2131"/>
      <c r="M420" s="2131"/>
      <c r="N420" s="2131"/>
      <c r="O420" s="2131"/>
      <c r="P420" s="2131"/>
      <c r="Q420" s="2131"/>
      <c r="R420" s="2131"/>
      <c r="S420" s="2131"/>
      <c r="T420" s="2131"/>
      <c r="U420" s="2131"/>
      <c r="V420" s="2131"/>
      <c r="W420" s="2131"/>
      <c r="X420" s="2132"/>
      <c r="Y420" s="2132"/>
      <c r="Z420" s="2132"/>
      <c r="AA420" s="2132"/>
      <c r="AB420" s="2132"/>
      <c r="AC420" s="2132"/>
      <c r="AD420" s="2132"/>
      <c r="AE420" s="2132"/>
      <c r="AF420" s="2132"/>
      <c r="AG420" s="2132"/>
      <c r="AH420" s="2132"/>
      <c r="AI420" s="2132"/>
      <c r="AJ420" s="2132"/>
      <c r="AK420" s="2132"/>
      <c r="AL420" s="2132"/>
      <c r="AM420" s="2132"/>
      <c r="AN420" s="2132"/>
      <c r="AO420" s="2132"/>
      <c r="AP420" s="2132"/>
      <c r="AQ420" s="2132"/>
      <c r="AR420" s="2132"/>
      <c r="AS420" s="2132"/>
      <c r="AT420" s="2132"/>
      <c r="AU420" s="2132"/>
      <c r="AV420" s="2132"/>
      <c r="AW420" s="2132"/>
      <c r="AX420" s="2132"/>
      <c r="AY420" s="2132"/>
      <c r="AZ420" s="2132"/>
      <c r="BA420" s="2132"/>
      <c r="BB420" s="2132"/>
      <c r="BC420" s="2132"/>
      <c r="BD420" s="2132"/>
      <c r="BE420" s="2132"/>
      <c r="BF420" s="2132"/>
      <c r="BG420" s="2132"/>
      <c r="BH420" s="2132"/>
      <c r="BI420" s="2132"/>
      <c r="BJ420" s="2132"/>
      <c r="BK420" s="2132"/>
      <c r="BL420" s="2132"/>
      <c r="BM420" s="2132"/>
      <c r="BN420" s="2132"/>
      <c r="BO420" s="2132"/>
      <c r="BP420" s="1862"/>
    </row>
    <row r="421" spans="1:68" ht="20.100000000000001" hidden="1" customHeight="1" outlineLevel="1">
      <c r="A421" s="1845"/>
      <c r="B421" s="1854"/>
      <c r="C421" s="1847"/>
      <c r="D421" s="1981" t="s">
        <v>975</v>
      </c>
      <c r="E421" s="1982" t="str">
        <f ca="1">E85</f>
        <v/>
      </c>
      <c r="F421" s="1879"/>
      <c r="G421" s="2010" t="s">
        <v>966</v>
      </c>
      <c r="H421" s="2065"/>
      <c r="I421" s="2065"/>
      <c r="J421" s="2065"/>
      <c r="K421" s="2065"/>
      <c r="L421" s="2131"/>
      <c r="M421" s="2131"/>
      <c r="N421" s="2131"/>
      <c r="O421" s="2131"/>
      <c r="P421" s="2131"/>
      <c r="Q421" s="2131"/>
      <c r="R421" s="2131"/>
      <c r="S421" s="2131"/>
      <c r="T421" s="2131"/>
      <c r="U421" s="2131"/>
      <c r="V421" s="2131"/>
      <c r="W421" s="2131"/>
      <c r="X421" s="2132"/>
      <c r="Y421" s="2132"/>
      <c r="Z421" s="2132"/>
      <c r="AA421" s="2132"/>
      <c r="AB421" s="2132"/>
      <c r="AC421" s="2132"/>
      <c r="AD421" s="2132"/>
      <c r="AE421" s="2132"/>
      <c r="AF421" s="2132"/>
      <c r="AG421" s="2132"/>
      <c r="AH421" s="2132"/>
      <c r="AI421" s="2132"/>
      <c r="AJ421" s="2132"/>
      <c r="AK421" s="2132"/>
      <c r="AL421" s="2132"/>
      <c r="AM421" s="2132"/>
      <c r="AN421" s="2132"/>
      <c r="AO421" s="2132"/>
      <c r="AP421" s="2132"/>
      <c r="AQ421" s="2132"/>
      <c r="AR421" s="2132"/>
      <c r="AS421" s="2132"/>
      <c r="AT421" s="2132"/>
      <c r="AU421" s="2132"/>
      <c r="AV421" s="2132"/>
      <c r="AW421" s="2132"/>
      <c r="AX421" s="2132"/>
      <c r="AY421" s="2132"/>
      <c r="AZ421" s="2132"/>
      <c r="BA421" s="2132"/>
      <c r="BB421" s="2132"/>
      <c r="BC421" s="2132"/>
      <c r="BD421" s="2132"/>
      <c r="BE421" s="2132"/>
      <c r="BF421" s="2132"/>
      <c r="BG421" s="2132"/>
      <c r="BH421" s="2132"/>
      <c r="BI421" s="2132"/>
      <c r="BJ421" s="2132"/>
      <c r="BK421" s="2132"/>
      <c r="BL421" s="2132"/>
      <c r="BM421" s="2132"/>
      <c r="BN421" s="2132"/>
      <c r="BO421" s="2132"/>
      <c r="BP421" s="1862"/>
    </row>
    <row r="422" spans="1:68" ht="20.100000000000001" hidden="1" customHeight="1" outlineLevel="1">
      <c r="A422" s="1845"/>
      <c r="B422" s="1854"/>
      <c r="C422" s="1847"/>
      <c r="D422" s="1981"/>
      <c r="E422" s="1983"/>
      <c r="F422" s="1882"/>
      <c r="G422" s="2010" t="s">
        <v>571</v>
      </c>
      <c r="H422" s="2065"/>
      <c r="I422" s="2065"/>
      <c r="J422" s="2065"/>
      <c r="K422" s="2065"/>
      <c r="L422" s="2131"/>
      <c r="M422" s="2131"/>
      <c r="N422" s="2131"/>
      <c r="O422" s="2131"/>
      <c r="P422" s="2131"/>
      <c r="Q422" s="2131"/>
      <c r="R422" s="2131"/>
      <c r="S422" s="2131"/>
      <c r="T422" s="2131"/>
      <c r="U422" s="2131"/>
      <c r="V422" s="2131"/>
      <c r="W422" s="2131"/>
      <c r="X422" s="2132"/>
      <c r="Y422" s="2132"/>
      <c r="Z422" s="2132"/>
      <c r="AA422" s="2132"/>
      <c r="AB422" s="2132"/>
      <c r="AC422" s="2132"/>
      <c r="AD422" s="2132"/>
      <c r="AE422" s="2132"/>
      <c r="AF422" s="2132"/>
      <c r="AG422" s="2132"/>
      <c r="AH422" s="2132"/>
      <c r="AI422" s="2132"/>
      <c r="AJ422" s="2132"/>
      <c r="AK422" s="2132"/>
      <c r="AL422" s="2132"/>
      <c r="AM422" s="2132"/>
      <c r="AN422" s="2132"/>
      <c r="AO422" s="2132"/>
      <c r="AP422" s="2132"/>
      <c r="AQ422" s="2132"/>
      <c r="AR422" s="2132"/>
      <c r="AS422" s="2132"/>
      <c r="AT422" s="2132"/>
      <c r="AU422" s="2132"/>
      <c r="AV422" s="2132"/>
      <c r="AW422" s="2132"/>
      <c r="AX422" s="2132"/>
      <c r="AY422" s="2132"/>
      <c r="AZ422" s="2132"/>
      <c r="BA422" s="2132"/>
      <c r="BB422" s="2132"/>
      <c r="BC422" s="2132"/>
      <c r="BD422" s="2132"/>
      <c r="BE422" s="2132"/>
      <c r="BF422" s="2132"/>
      <c r="BG422" s="2132"/>
      <c r="BH422" s="2132"/>
      <c r="BI422" s="2132"/>
      <c r="BJ422" s="2132"/>
      <c r="BK422" s="2132"/>
      <c r="BL422" s="2132"/>
      <c r="BM422" s="2132"/>
      <c r="BN422" s="2132"/>
      <c r="BO422" s="2132"/>
      <c r="BP422" s="1862"/>
    </row>
    <row r="423" spans="1:68" ht="20.100000000000001" hidden="1" customHeight="1" outlineLevel="1">
      <c r="A423" s="1845"/>
      <c r="B423" s="1854"/>
      <c r="C423" s="1847"/>
      <c r="D423" s="1869" t="s">
        <v>976</v>
      </c>
      <c r="E423" s="1858" t="str">
        <f ca="1">E87</f>
        <v/>
      </c>
      <c r="F423" s="1849" t="s">
        <v>1076</v>
      </c>
      <c r="G423" s="2010" t="s">
        <v>966</v>
      </c>
      <c r="H423" s="2065"/>
      <c r="I423" s="2065"/>
      <c r="J423" s="2065"/>
      <c r="K423" s="2065"/>
      <c r="L423" s="2131"/>
      <c r="M423" s="2131"/>
      <c r="N423" s="2131"/>
      <c r="O423" s="2131"/>
      <c r="P423" s="2131"/>
      <c r="Q423" s="2131"/>
      <c r="R423" s="2131"/>
      <c r="S423" s="2131"/>
      <c r="T423" s="2131"/>
      <c r="U423" s="2131"/>
      <c r="V423" s="2131"/>
      <c r="W423" s="2131"/>
      <c r="X423" s="2132"/>
      <c r="Y423" s="2132"/>
      <c r="Z423" s="2132"/>
      <c r="AA423" s="2132"/>
      <c r="AB423" s="2132"/>
      <c r="AC423" s="2132"/>
      <c r="AD423" s="2132"/>
      <c r="AE423" s="2132"/>
      <c r="AF423" s="2132"/>
      <c r="AG423" s="2132"/>
      <c r="AH423" s="2132"/>
      <c r="AI423" s="2132"/>
      <c r="AJ423" s="2132"/>
      <c r="AK423" s="2132"/>
      <c r="AL423" s="2132"/>
      <c r="AM423" s="2132"/>
      <c r="AN423" s="2132"/>
      <c r="AO423" s="2132"/>
      <c r="AP423" s="2132"/>
      <c r="AQ423" s="2132"/>
      <c r="AR423" s="2132"/>
      <c r="AS423" s="2132"/>
      <c r="AT423" s="2132"/>
      <c r="AU423" s="2132"/>
      <c r="AV423" s="2132"/>
      <c r="AW423" s="2132"/>
      <c r="AX423" s="2132"/>
      <c r="AY423" s="2132"/>
      <c r="AZ423" s="2132"/>
      <c r="BA423" s="2132"/>
      <c r="BB423" s="2132"/>
      <c r="BC423" s="2132"/>
      <c r="BD423" s="2132"/>
      <c r="BE423" s="2132"/>
      <c r="BF423" s="2132"/>
      <c r="BG423" s="2132"/>
      <c r="BH423" s="2132"/>
      <c r="BI423" s="2132"/>
      <c r="BJ423" s="2132"/>
      <c r="BK423" s="2132"/>
      <c r="BL423" s="2132"/>
      <c r="BM423" s="2132"/>
      <c r="BN423" s="2132"/>
      <c r="BO423" s="2132"/>
      <c r="BP423" s="1862"/>
    </row>
    <row r="424" spans="1:68" ht="20.100000000000001" hidden="1" customHeight="1" outlineLevel="1">
      <c r="A424" s="1845"/>
      <c r="B424" s="1854"/>
      <c r="C424" s="1847"/>
      <c r="D424" s="1869" t="s">
        <v>977</v>
      </c>
      <c r="E424" s="1858" t="str">
        <f ca="1">E88</f>
        <v/>
      </c>
      <c r="F424" s="1883" t="s">
        <v>1077</v>
      </c>
      <c r="G424" s="2010" t="s">
        <v>966</v>
      </c>
      <c r="H424" s="2065"/>
      <c r="I424" s="2065"/>
      <c r="J424" s="2065"/>
      <c r="K424" s="2065"/>
      <c r="L424" s="2131"/>
      <c r="M424" s="2131"/>
      <c r="N424" s="2131"/>
      <c r="O424" s="2131"/>
      <c r="P424" s="2131"/>
      <c r="Q424" s="2131"/>
      <c r="R424" s="2131"/>
      <c r="S424" s="2131"/>
      <c r="T424" s="2131"/>
      <c r="U424" s="2131"/>
      <c r="V424" s="2131"/>
      <c r="W424" s="2131"/>
      <c r="X424" s="2132"/>
      <c r="Y424" s="2132"/>
      <c r="Z424" s="2132"/>
      <c r="AA424" s="2132"/>
      <c r="AB424" s="2132"/>
      <c r="AC424" s="2132"/>
      <c r="AD424" s="2132"/>
      <c r="AE424" s="2132"/>
      <c r="AF424" s="2132"/>
      <c r="AG424" s="2132"/>
      <c r="AH424" s="2132"/>
      <c r="AI424" s="2132"/>
      <c r="AJ424" s="2132"/>
      <c r="AK424" s="2132"/>
      <c r="AL424" s="2132"/>
      <c r="AM424" s="2132"/>
      <c r="AN424" s="2132"/>
      <c r="AO424" s="2132"/>
      <c r="AP424" s="2132"/>
      <c r="AQ424" s="2132"/>
      <c r="AR424" s="2132"/>
      <c r="AS424" s="2132"/>
      <c r="AT424" s="2132"/>
      <c r="AU424" s="2132"/>
      <c r="AV424" s="2132"/>
      <c r="AW424" s="2132"/>
      <c r="AX424" s="2132"/>
      <c r="AY424" s="2132"/>
      <c r="AZ424" s="2132"/>
      <c r="BA424" s="2132"/>
      <c r="BB424" s="2132"/>
      <c r="BC424" s="2132"/>
      <c r="BD424" s="2132"/>
      <c r="BE424" s="2132"/>
      <c r="BF424" s="2132"/>
      <c r="BG424" s="2132"/>
      <c r="BH424" s="2132"/>
      <c r="BI424" s="2132"/>
      <c r="BJ424" s="2132"/>
      <c r="BK424" s="2132"/>
      <c r="BL424" s="2132"/>
      <c r="BM424" s="2132"/>
      <c r="BN424" s="2132"/>
      <c r="BO424" s="2132"/>
      <c r="BP424" s="1862"/>
    </row>
    <row r="425" spans="1:68" ht="20.100000000000001" hidden="1" customHeight="1" outlineLevel="1">
      <c r="A425" s="1845"/>
      <c r="B425" s="1854"/>
      <c r="C425" s="1847"/>
      <c r="D425" s="1869" t="s">
        <v>979</v>
      </c>
      <c r="E425" s="1858" t="str">
        <f ca="1">E89</f>
        <v/>
      </c>
      <c r="F425" s="1883" t="s">
        <v>1078</v>
      </c>
      <c r="G425" s="2010" t="s">
        <v>966</v>
      </c>
      <c r="H425" s="2065"/>
      <c r="I425" s="2065"/>
      <c r="J425" s="2065"/>
      <c r="K425" s="2065"/>
      <c r="L425" s="2131"/>
      <c r="M425" s="2131"/>
      <c r="N425" s="2131"/>
      <c r="O425" s="2131"/>
      <c r="P425" s="2131"/>
      <c r="Q425" s="2131"/>
      <c r="R425" s="2131"/>
      <c r="S425" s="2131"/>
      <c r="T425" s="2131"/>
      <c r="U425" s="2131"/>
      <c r="V425" s="2131"/>
      <c r="W425" s="2131"/>
      <c r="X425" s="2132"/>
      <c r="Y425" s="2132"/>
      <c r="Z425" s="2132"/>
      <c r="AA425" s="2132"/>
      <c r="AB425" s="2132"/>
      <c r="AC425" s="2132"/>
      <c r="AD425" s="2132"/>
      <c r="AE425" s="2132"/>
      <c r="AF425" s="2132"/>
      <c r="AG425" s="2132"/>
      <c r="AH425" s="2132"/>
      <c r="AI425" s="2132"/>
      <c r="AJ425" s="2132"/>
      <c r="AK425" s="2132"/>
      <c r="AL425" s="2132"/>
      <c r="AM425" s="2132"/>
      <c r="AN425" s="2132"/>
      <c r="AO425" s="2132"/>
      <c r="AP425" s="2132"/>
      <c r="AQ425" s="2132"/>
      <c r="AR425" s="2132"/>
      <c r="AS425" s="2132"/>
      <c r="AT425" s="2132"/>
      <c r="AU425" s="2132"/>
      <c r="AV425" s="2132"/>
      <c r="AW425" s="2132"/>
      <c r="AX425" s="2132"/>
      <c r="AY425" s="2132"/>
      <c r="AZ425" s="2132"/>
      <c r="BA425" s="2132"/>
      <c r="BB425" s="2132"/>
      <c r="BC425" s="2132"/>
      <c r="BD425" s="2132"/>
      <c r="BE425" s="2132"/>
      <c r="BF425" s="2132"/>
      <c r="BG425" s="2132"/>
      <c r="BH425" s="2132"/>
      <c r="BI425" s="2132"/>
      <c r="BJ425" s="2132"/>
      <c r="BK425" s="2132"/>
      <c r="BL425" s="2132"/>
      <c r="BM425" s="2132"/>
      <c r="BN425" s="2132"/>
      <c r="BO425" s="2132"/>
      <c r="BP425" s="1862"/>
    </row>
    <row r="426" spans="1:68" ht="20.100000000000001" hidden="1" customHeight="1" outlineLevel="1">
      <c r="A426" s="1845"/>
      <c r="B426" s="1854"/>
      <c r="C426" s="1847"/>
      <c r="D426" s="1869" t="s">
        <v>981</v>
      </c>
      <c r="E426" s="1858" t="str">
        <f ca="1">E90</f>
        <v/>
      </c>
      <c r="F426" s="1883" t="s">
        <v>1079</v>
      </c>
      <c r="G426" s="2010" t="s">
        <v>966</v>
      </c>
      <c r="H426" s="2065"/>
      <c r="I426" s="2065"/>
      <c r="J426" s="2065"/>
      <c r="K426" s="2065"/>
      <c r="L426" s="2131"/>
      <c r="M426" s="2131"/>
      <c r="N426" s="2131"/>
      <c r="O426" s="2131"/>
      <c r="P426" s="2131"/>
      <c r="Q426" s="2131"/>
      <c r="R426" s="2131"/>
      <c r="S426" s="2131"/>
      <c r="T426" s="2131"/>
      <c r="U426" s="2131"/>
      <c r="V426" s="2131"/>
      <c r="W426" s="2131"/>
      <c r="X426" s="2132"/>
      <c r="Y426" s="2132"/>
      <c r="Z426" s="2132"/>
      <c r="AA426" s="2132"/>
      <c r="AB426" s="2132"/>
      <c r="AC426" s="2132"/>
      <c r="AD426" s="2132"/>
      <c r="AE426" s="2132"/>
      <c r="AF426" s="2132"/>
      <c r="AG426" s="2132"/>
      <c r="AH426" s="2132"/>
      <c r="AI426" s="2132"/>
      <c r="AJ426" s="2132"/>
      <c r="AK426" s="2132"/>
      <c r="AL426" s="2132"/>
      <c r="AM426" s="2132"/>
      <c r="AN426" s="2132"/>
      <c r="AO426" s="2132"/>
      <c r="AP426" s="2132"/>
      <c r="AQ426" s="2132"/>
      <c r="AR426" s="2132"/>
      <c r="AS426" s="2132"/>
      <c r="AT426" s="2132"/>
      <c r="AU426" s="2132"/>
      <c r="AV426" s="2132"/>
      <c r="AW426" s="2132"/>
      <c r="AX426" s="2132"/>
      <c r="AY426" s="2132"/>
      <c r="AZ426" s="2132"/>
      <c r="BA426" s="2132"/>
      <c r="BB426" s="2132"/>
      <c r="BC426" s="2132"/>
      <c r="BD426" s="2132"/>
      <c r="BE426" s="2132"/>
      <c r="BF426" s="2132"/>
      <c r="BG426" s="2132"/>
      <c r="BH426" s="2132"/>
      <c r="BI426" s="2132"/>
      <c r="BJ426" s="2132"/>
      <c r="BK426" s="2132"/>
      <c r="BL426" s="2132"/>
      <c r="BM426" s="2132"/>
      <c r="BN426" s="2132"/>
      <c r="BO426" s="2132"/>
      <c r="BP426" s="1862"/>
    </row>
    <row r="427" spans="1:68" ht="20.100000000000001" customHeight="1" collapsed="1">
      <c r="A427" s="1842"/>
      <c r="B427" s="1847" t="s">
        <v>1092</v>
      </c>
      <c r="C427" s="1847"/>
      <c r="D427" s="1848" t="s">
        <v>984</v>
      </c>
      <c r="E427" s="1848"/>
      <c r="F427" s="1863" t="s">
        <v>1083</v>
      </c>
      <c r="G427" s="2010" t="s">
        <v>986</v>
      </c>
      <c r="H427" s="2065"/>
      <c r="I427" s="2065"/>
      <c r="J427" s="2065"/>
      <c r="K427" s="2065"/>
      <c r="L427" s="2131"/>
      <c r="M427" s="2131"/>
      <c r="N427" s="2131"/>
      <c r="O427" s="2131"/>
      <c r="P427" s="2131"/>
      <c r="Q427" s="2131"/>
      <c r="R427" s="2131"/>
      <c r="S427" s="2131"/>
      <c r="T427" s="2131"/>
      <c r="U427" s="2131"/>
      <c r="V427" s="2131"/>
      <c r="W427" s="2131"/>
      <c r="X427" s="2132"/>
      <c r="Y427" s="2132"/>
      <c r="Z427" s="2132"/>
      <c r="AA427" s="2132"/>
      <c r="AB427" s="2132"/>
      <c r="AC427" s="2132"/>
      <c r="AD427" s="2132"/>
      <c r="AE427" s="2132"/>
      <c r="AF427" s="2132"/>
      <c r="AG427" s="2132"/>
      <c r="AH427" s="2132"/>
      <c r="AI427" s="2132"/>
      <c r="AJ427" s="2132"/>
      <c r="AK427" s="2132"/>
      <c r="AL427" s="2132"/>
      <c r="AM427" s="2132"/>
      <c r="AN427" s="2132"/>
      <c r="AO427" s="2132"/>
      <c r="AP427" s="2132"/>
      <c r="AQ427" s="2132"/>
      <c r="AR427" s="2132"/>
      <c r="AS427" s="2132"/>
      <c r="AT427" s="2132"/>
      <c r="AU427" s="2132"/>
      <c r="AV427" s="2132"/>
      <c r="AW427" s="2132"/>
      <c r="AX427" s="2132"/>
      <c r="AY427" s="2132"/>
      <c r="AZ427" s="2132"/>
      <c r="BA427" s="2132"/>
      <c r="BB427" s="2132"/>
      <c r="BC427" s="2132"/>
      <c r="BD427" s="2132"/>
      <c r="BE427" s="2132"/>
      <c r="BF427" s="2132"/>
      <c r="BG427" s="2132"/>
      <c r="BH427" s="2132"/>
      <c r="BI427" s="2132"/>
      <c r="BJ427" s="2132"/>
      <c r="BK427" s="2132"/>
      <c r="BL427" s="2132"/>
      <c r="BM427" s="2132"/>
      <c r="BN427" s="2132"/>
      <c r="BO427" s="2132"/>
      <c r="BP427" s="1862"/>
    </row>
    <row r="428" spans="1:68" ht="20.100000000000001" customHeight="1">
      <c r="A428" s="1842"/>
      <c r="B428" s="1847"/>
      <c r="C428" s="1847"/>
      <c r="D428" s="1848" t="s">
        <v>987</v>
      </c>
      <c r="E428" s="1848"/>
      <c r="F428" s="1863" t="s">
        <v>1084</v>
      </c>
      <c r="G428" s="2010" t="s">
        <v>986</v>
      </c>
      <c r="H428" s="2065"/>
      <c r="I428" s="2065"/>
      <c r="J428" s="2065"/>
      <c r="K428" s="2065"/>
      <c r="L428" s="2012">
        <f ca="1">SUMPRODUCT((0&amp;L395:L405)*$H395:$H405)</f>
        <v>0</v>
      </c>
      <c r="M428" s="2012">
        <f ca="1">SUMPRODUCT((0&amp;M395:M405)*$I395:$I405)</f>
        <v>0</v>
      </c>
      <c r="N428" s="2012">
        <f ca="1">SUMPRODUCT((0&amp;N395:N405)*$J395:$J405)</f>
        <v>0</v>
      </c>
      <c r="O428" s="2012">
        <f ca="1">SUMPRODUCT((0&amp;O395:O405)*$K395:$K405)</f>
        <v>0</v>
      </c>
      <c r="P428" s="2012">
        <f ca="1">SUMPRODUCT((0&amp;P395:P405)*$H395:$H405)</f>
        <v>0</v>
      </c>
      <c r="Q428" s="2012">
        <f ca="1">SUMPRODUCT((0&amp;Q395:Q405)*$I395:$I405)</f>
        <v>0</v>
      </c>
      <c r="R428" s="2012">
        <f ca="1">SUMPRODUCT((0&amp;R395:R405)*$J395:$J405)</f>
        <v>0</v>
      </c>
      <c r="S428" s="2012">
        <f ca="1">SUMPRODUCT((0&amp;S395:S405)*$K395:$K405)</f>
        <v>0</v>
      </c>
      <c r="T428" s="2012">
        <f ca="1">SUMPRODUCT((0&amp;T395:T405)*$H395:$H405)</f>
        <v>0</v>
      </c>
      <c r="U428" s="2012">
        <f ca="1">SUMPRODUCT((0&amp;U395:U405)*$I395:$I405)</f>
        <v>0</v>
      </c>
      <c r="V428" s="2012">
        <f ca="1">SUMPRODUCT((0&amp;V395:V405)*$J395:$J405)</f>
        <v>0</v>
      </c>
      <c r="W428" s="2012">
        <f ca="1">SUMPRODUCT((0&amp;W395:W405)*$K395:$K405)</f>
        <v>0</v>
      </c>
      <c r="X428" s="2143">
        <f ca="1">SUMPRODUCT((0&amp;X395:X405)*$H395:$H405)</f>
        <v>0</v>
      </c>
      <c r="Y428" s="2143">
        <f ca="1">SUMPRODUCT((0&amp;Y395:Y405)*$I395:$I405)</f>
        <v>0</v>
      </c>
      <c r="Z428" s="2143">
        <f ca="1">SUMPRODUCT((0&amp;Z395:Z405)*$J395:$J405)</f>
        <v>0</v>
      </c>
      <c r="AA428" s="2143">
        <f ca="1">SUMPRODUCT((0&amp;AA395:AA405)*$K395:$K405)</f>
        <v>0</v>
      </c>
      <c r="AB428" s="2073"/>
      <c r="AC428" s="2073"/>
      <c r="AD428" s="2073"/>
      <c r="AE428" s="2073"/>
      <c r="AF428" s="2073"/>
      <c r="AG428" s="2073"/>
      <c r="AH428" s="2073"/>
      <c r="AI428" s="2073"/>
      <c r="AJ428" s="2073"/>
      <c r="AK428" s="2073"/>
      <c r="AL428" s="2073"/>
      <c r="AM428" s="2073"/>
      <c r="AN428" s="2073"/>
      <c r="AO428" s="2073"/>
      <c r="AP428" s="2073"/>
      <c r="AQ428" s="2073"/>
      <c r="AR428" s="2073"/>
      <c r="AS428" s="2073"/>
      <c r="AT428" s="2073"/>
      <c r="AU428" s="2073"/>
      <c r="AV428" s="2073"/>
      <c r="AW428" s="2073"/>
      <c r="AX428" s="2073"/>
      <c r="AY428" s="2073"/>
      <c r="AZ428" s="2073"/>
      <c r="BA428" s="2073"/>
      <c r="BB428" s="2073"/>
      <c r="BC428" s="2073"/>
      <c r="BD428" s="2073"/>
      <c r="BE428" s="2073"/>
      <c r="BF428" s="2073"/>
      <c r="BG428" s="2073"/>
      <c r="BH428" s="2073"/>
      <c r="BI428" s="2073"/>
      <c r="BJ428" s="2073"/>
      <c r="BK428" s="2073"/>
      <c r="BL428" s="2073"/>
      <c r="BM428" s="2073"/>
      <c r="BN428" s="2073"/>
      <c r="BO428" s="2073"/>
      <c r="BP428" s="1862"/>
    </row>
    <row r="429" spans="1:68" ht="20.100000000000001" customHeight="1">
      <c r="A429" s="1842"/>
      <c r="B429" s="1847"/>
      <c r="C429" s="1847"/>
      <c r="D429" s="1848" t="s">
        <v>989</v>
      </c>
      <c r="E429" s="1848" t="s">
        <v>1085</v>
      </c>
      <c r="F429" s="1863" t="s">
        <v>1086</v>
      </c>
      <c r="G429" s="2010" t="s">
        <v>986</v>
      </c>
      <c r="H429" s="2065"/>
      <c r="I429" s="2065"/>
      <c r="J429" s="2065"/>
      <c r="K429" s="2065"/>
      <c r="L429" s="2131"/>
      <c r="M429" s="2131"/>
      <c r="N429" s="2131"/>
      <c r="O429" s="2131"/>
      <c r="P429" s="2131"/>
      <c r="Q429" s="2131"/>
      <c r="R429" s="2131"/>
      <c r="S429" s="2131"/>
      <c r="T429" s="2131"/>
      <c r="U429" s="2131"/>
      <c r="V429" s="2131"/>
      <c r="W429" s="2131"/>
      <c r="X429" s="2132"/>
      <c r="Y429" s="2132"/>
      <c r="Z429" s="2132"/>
      <c r="AA429" s="2132"/>
      <c r="AB429" s="2132"/>
      <c r="AC429" s="2132"/>
      <c r="AD429" s="2132"/>
      <c r="AE429" s="2132"/>
      <c r="AF429" s="2132"/>
      <c r="AG429" s="2132"/>
      <c r="AH429" s="2132"/>
      <c r="AI429" s="2132"/>
      <c r="AJ429" s="2132"/>
      <c r="AK429" s="2132"/>
      <c r="AL429" s="2132"/>
      <c r="AM429" s="2132"/>
      <c r="AN429" s="2132"/>
      <c r="AO429" s="2132"/>
      <c r="AP429" s="2132"/>
      <c r="AQ429" s="2132"/>
      <c r="AR429" s="2132"/>
      <c r="AS429" s="2132"/>
      <c r="AT429" s="2132"/>
      <c r="AU429" s="2132"/>
      <c r="AV429" s="2132"/>
      <c r="AW429" s="2132"/>
      <c r="AX429" s="2132"/>
      <c r="AY429" s="2132"/>
      <c r="AZ429" s="2132"/>
      <c r="BA429" s="2132"/>
      <c r="BB429" s="2132"/>
      <c r="BC429" s="2132"/>
      <c r="BD429" s="2132"/>
      <c r="BE429" s="2132"/>
      <c r="BF429" s="2132"/>
      <c r="BG429" s="2132"/>
      <c r="BH429" s="2132"/>
      <c r="BI429" s="2132"/>
      <c r="BJ429" s="2132"/>
      <c r="BK429" s="2132"/>
      <c r="BL429" s="2132"/>
      <c r="BM429" s="2132"/>
      <c r="BN429" s="2132"/>
      <c r="BO429" s="2132"/>
      <c r="BP429" s="1862"/>
    </row>
    <row r="430" spans="1:68" ht="20.100000000000001" customHeight="1">
      <c r="A430" s="1842"/>
      <c r="B430" s="1847"/>
      <c r="C430" s="1847"/>
      <c r="D430" s="1848" t="s">
        <v>992</v>
      </c>
      <c r="E430" s="1848" t="s">
        <v>1087</v>
      </c>
      <c r="F430" s="1863" t="s">
        <v>1088</v>
      </c>
      <c r="G430" s="2010" t="s">
        <v>986</v>
      </c>
      <c r="H430" s="2065"/>
      <c r="I430" s="2065"/>
      <c r="J430" s="2065"/>
      <c r="K430" s="2065"/>
      <c r="L430" s="2012">
        <f t="shared" ref="L430:AA430" ca="1" si="159">L428</f>
        <v>0</v>
      </c>
      <c r="M430" s="2012">
        <f t="shared" ca="1" si="159"/>
        <v>0</v>
      </c>
      <c r="N430" s="2012">
        <f t="shared" ca="1" si="159"/>
        <v>0</v>
      </c>
      <c r="O430" s="2012">
        <f t="shared" ca="1" si="159"/>
        <v>0</v>
      </c>
      <c r="P430" s="2012">
        <f t="shared" ca="1" si="159"/>
        <v>0</v>
      </c>
      <c r="Q430" s="2012">
        <f t="shared" ca="1" si="159"/>
        <v>0</v>
      </c>
      <c r="R430" s="2012">
        <f t="shared" ca="1" si="159"/>
        <v>0</v>
      </c>
      <c r="S430" s="2012">
        <f t="shared" ca="1" si="159"/>
        <v>0</v>
      </c>
      <c r="T430" s="2012">
        <f t="shared" ca="1" si="159"/>
        <v>0</v>
      </c>
      <c r="U430" s="2012">
        <f t="shared" ca="1" si="159"/>
        <v>0</v>
      </c>
      <c r="V430" s="2012">
        <f t="shared" ca="1" si="159"/>
        <v>0</v>
      </c>
      <c r="W430" s="2012">
        <f t="shared" ca="1" si="159"/>
        <v>0</v>
      </c>
      <c r="X430" s="2073">
        <f t="shared" ca="1" si="159"/>
        <v>0</v>
      </c>
      <c r="Y430" s="2073">
        <f t="shared" ca="1" si="159"/>
        <v>0</v>
      </c>
      <c r="Z430" s="2073">
        <f t="shared" ca="1" si="159"/>
        <v>0</v>
      </c>
      <c r="AA430" s="2073">
        <f t="shared" ca="1" si="159"/>
        <v>0</v>
      </c>
      <c r="AB430" s="2073"/>
      <c r="AC430" s="2073"/>
      <c r="AD430" s="2073"/>
      <c r="AE430" s="2073"/>
      <c r="AF430" s="2073"/>
      <c r="AG430" s="2073"/>
      <c r="AH430" s="2073"/>
      <c r="AI430" s="2073"/>
      <c r="AJ430" s="2073"/>
      <c r="AK430" s="2073"/>
      <c r="AL430" s="2073"/>
      <c r="AM430" s="2073"/>
      <c r="AN430" s="2073"/>
      <c r="AO430" s="2073"/>
      <c r="AP430" s="2073"/>
      <c r="AQ430" s="2073"/>
      <c r="AR430" s="2073"/>
      <c r="AS430" s="2073"/>
      <c r="AT430" s="2073"/>
      <c r="AU430" s="2073"/>
      <c r="AV430" s="2073"/>
      <c r="AW430" s="2073"/>
      <c r="AX430" s="2073"/>
      <c r="AY430" s="2073"/>
      <c r="AZ430" s="2073"/>
      <c r="BA430" s="2073"/>
      <c r="BB430" s="2073"/>
      <c r="BC430" s="2073"/>
      <c r="BD430" s="2073"/>
      <c r="BE430" s="2073"/>
      <c r="BF430" s="2073"/>
      <c r="BG430" s="2073"/>
      <c r="BH430" s="2073"/>
      <c r="BI430" s="2073"/>
      <c r="BJ430" s="2073"/>
      <c r="BK430" s="2073"/>
      <c r="BL430" s="2073"/>
      <c r="BM430" s="2073"/>
      <c r="BN430" s="2073"/>
      <c r="BO430" s="2073"/>
      <c r="BP430" s="1862"/>
    </row>
    <row r="431" spans="1:68" ht="20.100000000000001" customHeight="1">
      <c r="A431" s="1842"/>
      <c r="B431" s="2070" t="s">
        <v>1093</v>
      </c>
      <c r="C431" s="2071"/>
      <c r="D431" s="1848"/>
      <c r="E431" s="1848" t="s">
        <v>1090</v>
      </c>
      <c r="F431" s="1863"/>
      <c r="G431" s="2010" t="s">
        <v>998</v>
      </c>
      <c r="H431" s="2065"/>
      <c r="I431" s="2065"/>
      <c r="J431" s="2065"/>
      <c r="K431" s="2065"/>
      <c r="L431" s="2012">
        <f t="shared" ref="L431:AA431" ca="1" si="160">L430*0.0258</f>
        <v>0</v>
      </c>
      <c r="M431" s="2012">
        <f t="shared" ca="1" si="160"/>
        <v>0</v>
      </c>
      <c r="N431" s="2012">
        <f t="shared" ca="1" si="160"/>
        <v>0</v>
      </c>
      <c r="O431" s="2012">
        <f t="shared" ca="1" si="160"/>
        <v>0</v>
      </c>
      <c r="P431" s="2012">
        <f t="shared" ca="1" si="160"/>
        <v>0</v>
      </c>
      <c r="Q431" s="2012">
        <f t="shared" ca="1" si="160"/>
        <v>0</v>
      </c>
      <c r="R431" s="2012">
        <f t="shared" ca="1" si="160"/>
        <v>0</v>
      </c>
      <c r="S431" s="2012">
        <f t="shared" ca="1" si="160"/>
        <v>0</v>
      </c>
      <c r="T431" s="2012">
        <f t="shared" ca="1" si="160"/>
        <v>0</v>
      </c>
      <c r="U431" s="2012">
        <f t="shared" ca="1" si="160"/>
        <v>0</v>
      </c>
      <c r="V431" s="2012">
        <f t="shared" ca="1" si="160"/>
        <v>0</v>
      </c>
      <c r="W431" s="2012">
        <f t="shared" ca="1" si="160"/>
        <v>0</v>
      </c>
      <c r="X431" s="2143">
        <f t="shared" ca="1" si="160"/>
        <v>0</v>
      </c>
      <c r="Y431" s="2143">
        <f t="shared" ca="1" si="160"/>
        <v>0</v>
      </c>
      <c r="Z431" s="2143">
        <f t="shared" ca="1" si="160"/>
        <v>0</v>
      </c>
      <c r="AA431" s="2143">
        <f t="shared" ca="1" si="160"/>
        <v>0</v>
      </c>
      <c r="AB431" s="2073"/>
      <c r="AC431" s="2073"/>
      <c r="AD431" s="2073"/>
      <c r="AE431" s="2073"/>
      <c r="AF431" s="2073"/>
      <c r="AG431" s="2073"/>
      <c r="AH431" s="2073"/>
      <c r="AI431" s="2073"/>
      <c r="AJ431" s="2073"/>
      <c r="AK431" s="2073"/>
      <c r="AL431" s="2073"/>
      <c r="AM431" s="2073"/>
      <c r="AN431" s="2073"/>
      <c r="AO431" s="2073"/>
      <c r="AP431" s="2073"/>
      <c r="AQ431" s="2073"/>
      <c r="AR431" s="2073"/>
      <c r="AS431" s="2073"/>
      <c r="AT431" s="2073"/>
      <c r="AU431" s="2073"/>
      <c r="AV431" s="2073"/>
      <c r="AW431" s="2073"/>
      <c r="AX431" s="2073"/>
      <c r="AY431" s="2073"/>
      <c r="AZ431" s="2073"/>
      <c r="BA431" s="2073"/>
      <c r="BB431" s="2073"/>
      <c r="BC431" s="2073"/>
      <c r="BD431" s="2073"/>
      <c r="BE431" s="2073"/>
      <c r="BF431" s="2073"/>
      <c r="BG431" s="2073"/>
      <c r="BH431" s="2073"/>
      <c r="BI431" s="2073"/>
      <c r="BJ431" s="2073"/>
      <c r="BK431" s="2073"/>
      <c r="BL431" s="2073"/>
      <c r="BM431" s="2073"/>
      <c r="BN431" s="2073"/>
      <c r="BO431" s="2073"/>
      <c r="BP431" s="1862"/>
    </row>
  </sheetData>
  <sheetProtection password="E7B8" sheet="1" objects="1" scenarios="1"/>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tint="-0.14999847407452621"/>
    <pageSetUpPr fitToPage="1"/>
  </sheetPr>
  <dimension ref="A1:BP406"/>
  <sheetViews>
    <sheetView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9" defaultRowHeight="19.8" outlineLevelRow="1" outlineLevelCol="1"/>
  <cols>
    <col min="1" max="1" width="5.09765625" style="1786" customWidth="1"/>
    <col min="2" max="2" width="4" style="1786" customWidth="1"/>
    <col min="3" max="3" width="11.59765625" style="1786" customWidth="1"/>
    <col min="4" max="4" width="21.59765625" style="1786" customWidth="1"/>
    <col min="5" max="5" width="28" style="1786" customWidth="1"/>
    <col min="6" max="6" width="3.69921875" style="1786" customWidth="1"/>
    <col min="7" max="7" width="7.8984375" style="1786" customWidth="1"/>
    <col min="8" max="23" width="8.59765625" style="1786" customWidth="1"/>
    <col min="24" max="67" width="8.59765625" style="1794" hidden="1" customWidth="1" outlineLevel="1"/>
    <col min="68" max="68" width="3" style="1786" customWidth="1" collapsed="1"/>
    <col min="69" max="16384" width="9" style="1786"/>
  </cols>
  <sheetData>
    <row r="1" spans="1:68" ht="39.9" customHeight="1">
      <c r="A1" s="1785" t="s">
        <v>1094</v>
      </c>
      <c r="C1" s="1787"/>
      <c r="D1" s="1787"/>
      <c r="E1" s="1787"/>
      <c r="F1" s="1787"/>
      <c r="G1" s="1788"/>
      <c r="H1" s="1789" t="s">
        <v>902</v>
      </c>
      <c r="J1" s="1790" t="s">
        <v>1199</v>
      </c>
      <c r="K1" s="1791" t="s">
        <v>1095</v>
      </c>
      <c r="L1" s="1792"/>
      <c r="M1" s="1791" t="s">
        <v>1096</v>
      </c>
      <c r="N1" s="1788"/>
      <c r="O1" s="1791" t="s">
        <v>1097</v>
      </c>
      <c r="P1" s="1788"/>
      <c r="Q1" s="1790" t="s">
        <v>1205</v>
      </c>
      <c r="R1" s="1791" t="s">
        <v>1095</v>
      </c>
      <c r="S1" s="1792"/>
      <c r="T1" s="1791" t="s">
        <v>1096</v>
      </c>
      <c r="U1" s="1792"/>
      <c r="X1" s="1793" t="s">
        <v>1460</v>
      </c>
      <c r="AB1" s="1794" t="str">
        <f ca="1">参考2_エネ使用量経年!AB1</f>
        <v/>
      </c>
      <c r="AC1" s="1794" t="str">
        <f ca="1">参考2_エネ使用量経年!AC1</f>
        <v/>
      </c>
      <c r="AD1" s="1794" t="str">
        <f ca="1">参考2_エネ使用量経年!AD1</f>
        <v/>
      </c>
      <c r="AE1" s="1794" t="str">
        <f ca="1">参考2_エネ使用量経年!AE1</f>
        <v/>
      </c>
      <c r="AF1" s="1794" t="str">
        <f ca="1">参考2_エネ使用量経年!AF1</f>
        <v/>
      </c>
      <c r="AG1" s="1794" t="str">
        <f ca="1">参考2_エネ使用量経年!AG1</f>
        <v/>
      </c>
      <c r="AH1" s="1794" t="str">
        <f ca="1">参考2_エネ使用量経年!AH1</f>
        <v/>
      </c>
      <c r="AI1" s="1794" t="str">
        <f ca="1">参考2_エネ使用量経年!AI1</f>
        <v/>
      </c>
      <c r="AJ1" s="1794" t="str">
        <f ca="1">参考2_エネ使用量経年!AJ1</f>
        <v/>
      </c>
      <c r="AK1" s="1794" t="str">
        <f ca="1">参考2_エネ使用量経年!AK1</f>
        <v/>
      </c>
      <c r="AL1" s="1794" t="str">
        <f ca="1">参考2_エネ使用量経年!AL1</f>
        <v/>
      </c>
      <c r="AM1" s="1794" t="str">
        <f ca="1">参考2_エネ使用量経年!AM1</f>
        <v/>
      </c>
      <c r="AN1" s="1794" t="str">
        <f ca="1">参考2_エネ使用量経年!AN1</f>
        <v/>
      </c>
      <c r="AO1" s="1794" t="str">
        <f ca="1">参考2_エネ使用量経年!AO1</f>
        <v/>
      </c>
      <c r="AP1" s="1794" t="str">
        <f ca="1">参考2_エネ使用量経年!AP1</f>
        <v/>
      </c>
      <c r="AQ1" s="1794" t="str">
        <f ca="1">参考2_エネ使用量経年!AQ1</f>
        <v/>
      </c>
      <c r="AR1" s="1794" t="str">
        <f ca="1">参考2_エネ使用量経年!AR1</f>
        <v/>
      </c>
      <c r="AS1" s="1794" t="str">
        <f ca="1">参考2_エネ使用量経年!AS1</f>
        <v/>
      </c>
      <c r="AT1" s="1794" t="str">
        <f ca="1">参考2_エネ使用量経年!AT1</f>
        <v/>
      </c>
      <c r="AU1" s="1794" t="str">
        <f ca="1">参考2_エネ使用量経年!AU1</f>
        <v/>
      </c>
      <c r="AV1" s="1794" t="str">
        <f ca="1">参考2_エネ使用量経年!AV1</f>
        <v/>
      </c>
      <c r="AW1" s="1794" t="str">
        <f ca="1">参考2_エネ使用量経年!AW1</f>
        <v/>
      </c>
      <c r="AX1" s="1794" t="str">
        <f ca="1">参考2_エネ使用量経年!AX1</f>
        <v/>
      </c>
      <c r="AY1" s="1794" t="str">
        <f ca="1">参考2_エネ使用量経年!AY1</f>
        <v/>
      </c>
      <c r="AZ1" s="1794" t="str">
        <f ca="1">参考2_エネ使用量経年!AZ1</f>
        <v/>
      </c>
      <c r="BA1" s="1794" t="str">
        <f ca="1">参考2_エネ使用量経年!BA1</f>
        <v/>
      </c>
      <c r="BB1" s="1794" t="str">
        <f ca="1">参考2_エネ使用量経年!BB1</f>
        <v/>
      </c>
      <c r="BC1" s="1794" t="str">
        <f ca="1">参考2_エネ使用量経年!BC1</f>
        <v/>
      </c>
      <c r="BD1" s="1794" t="str">
        <f ca="1">参考2_エネ使用量経年!BD1</f>
        <v/>
      </c>
      <c r="BE1" s="1794" t="str">
        <f ca="1">参考2_エネ使用量経年!BE1</f>
        <v/>
      </c>
      <c r="BF1" s="1794" t="str">
        <f ca="1">参考2_エネ使用量経年!BF1</f>
        <v/>
      </c>
      <c r="BG1" s="1794" t="str">
        <f ca="1">参考2_エネ使用量経年!BG1</f>
        <v/>
      </c>
      <c r="BH1" s="1794" t="str">
        <f ca="1">参考2_エネ使用量経年!BH1</f>
        <v/>
      </c>
      <c r="BI1" s="1794" t="str">
        <f ca="1">参考2_エネ使用量経年!BI1</f>
        <v/>
      </c>
      <c r="BJ1" s="1794" t="str">
        <f ca="1">参考2_エネ使用量経年!BJ1</f>
        <v/>
      </c>
      <c r="BK1" s="1794" t="str">
        <f ca="1">参考2_エネ使用量経年!BK1</f>
        <v/>
      </c>
      <c r="BL1" s="1794" t="str">
        <f ca="1">参考2_エネ使用量経年!BL1</f>
        <v/>
      </c>
      <c r="BM1" s="1794" t="str">
        <f ca="1">参考2_エネ使用量経年!BM1</f>
        <v/>
      </c>
      <c r="BN1" s="1794" t="str">
        <f ca="1">参考2_エネ使用量経年!BN1</f>
        <v/>
      </c>
      <c r="BO1" s="1794" t="str">
        <f ca="1">参考2_エネ使用量経年!BO1</f>
        <v/>
      </c>
    </row>
    <row r="2" spans="1:68" ht="20.100000000000001" customHeight="1">
      <c r="B2" s="1795"/>
      <c r="C2" s="1796" t="s">
        <v>906</v>
      </c>
      <c r="D2" s="1797" t="str">
        <f ca="1">参考2_エネ使用量経年!D2</f>
        <v/>
      </c>
      <c r="E2" s="1798"/>
      <c r="F2" s="1789"/>
      <c r="H2" s="1799" t="s">
        <v>1098</v>
      </c>
      <c r="I2" s="1800"/>
      <c r="J2" s="1800"/>
      <c r="K2" s="1801"/>
      <c r="L2" s="1802" t="s">
        <v>908</v>
      </c>
      <c r="M2" s="1800"/>
      <c r="N2" s="1800"/>
      <c r="O2" s="1800"/>
      <c r="P2" s="1799" t="s">
        <v>909</v>
      </c>
      <c r="Q2" s="1800"/>
      <c r="R2" s="1800"/>
      <c r="S2" s="1801"/>
      <c r="T2" s="1799" t="s">
        <v>910</v>
      </c>
      <c r="U2" s="1800"/>
      <c r="V2" s="1800"/>
      <c r="W2" s="1801"/>
      <c r="X2" s="1803"/>
      <c r="Y2" s="1803"/>
      <c r="Z2" s="1803"/>
      <c r="AA2" s="1804"/>
      <c r="AB2" s="1793"/>
      <c r="AC2" s="1805"/>
      <c r="AD2" s="1805"/>
      <c r="AE2" s="1805"/>
      <c r="AF2" s="1806"/>
      <c r="AG2" s="1806"/>
      <c r="AH2" s="1806"/>
      <c r="AI2" s="1806"/>
      <c r="AJ2" s="1806"/>
      <c r="AK2" s="1806"/>
      <c r="AL2" s="1806"/>
      <c r="AM2" s="1806"/>
      <c r="AN2" s="1806"/>
      <c r="AO2" s="1806"/>
      <c r="AP2" s="1806"/>
      <c r="AQ2" s="1806"/>
      <c r="AR2" s="1806"/>
      <c r="AS2" s="1806"/>
      <c r="AT2" s="1806"/>
      <c r="AU2" s="1806"/>
      <c r="AV2" s="1806"/>
      <c r="AW2" s="1806"/>
      <c r="AX2" s="1806"/>
      <c r="AY2" s="1806"/>
      <c r="AZ2" s="1806"/>
      <c r="BA2" s="1806"/>
      <c r="BB2" s="1806"/>
      <c r="BC2" s="1806"/>
      <c r="BD2" s="1806"/>
      <c r="BE2" s="1806"/>
      <c r="BF2" s="1806"/>
      <c r="BG2" s="1806"/>
      <c r="BH2" s="1806"/>
      <c r="BI2" s="1806"/>
      <c r="BJ2" s="1806"/>
      <c r="BK2" s="1806"/>
      <c r="BL2" s="1806"/>
      <c r="BM2" s="1806"/>
      <c r="BN2" s="1806"/>
      <c r="BO2" s="1807"/>
    </row>
    <row r="3" spans="1:68" ht="20.100000000000001" customHeight="1">
      <c r="C3" s="1796" t="s">
        <v>911</v>
      </c>
      <c r="D3" s="1797" t="str">
        <f ca="1">参考2_エネ使用量経年!D3</f>
        <v/>
      </c>
      <c r="E3" s="1798"/>
      <c r="H3" s="1808"/>
      <c r="I3" s="1809"/>
      <c r="J3" s="1810"/>
      <c r="K3" s="1811"/>
      <c r="L3" s="1812"/>
      <c r="M3" s="1813"/>
      <c r="N3" s="1813"/>
      <c r="O3" s="1814"/>
      <c r="P3" s="1808"/>
      <c r="Q3" s="1809"/>
      <c r="R3" s="1810"/>
      <c r="S3" s="1811"/>
      <c r="T3" s="1815"/>
      <c r="U3" s="1816"/>
      <c r="V3" s="1816"/>
      <c r="W3" s="1817"/>
      <c r="X3" s="1818" t="s">
        <v>912</v>
      </c>
      <c r="Y3" s="1819"/>
      <c r="Z3" s="1819"/>
      <c r="AA3" s="1820"/>
      <c r="AB3" s="1821" t="s">
        <v>1099</v>
      </c>
      <c r="AC3" s="1821"/>
      <c r="AD3" s="1821"/>
      <c r="AE3" s="1821"/>
      <c r="AF3" s="1821" t="s">
        <v>1100</v>
      </c>
      <c r="AG3" s="1821"/>
      <c r="AH3" s="1821"/>
      <c r="AI3" s="1821"/>
      <c r="AJ3" s="1821" t="s">
        <v>1101</v>
      </c>
      <c r="AK3" s="1821"/>
      <c r="AL3" s="1821"/>
      <c r="AM3" s="1821"/>
      <c r="AN3" s="1821" t="s">
        <v>1102</v>
      </c>
      <c r="AO3" s="1821"/>
      <c r="AP3" s="1821"/>
      <c r="AQ3" s="1821"/>
      <c r="AR3" s="1821" t="s">
        <v>1103</v>
      </c>
      <c r="AS3" s="1821"/>
      <c r="AT3" s="1821"/>
      <c r="AU3" s="1821"/>
      <c r="AV3" s="1821" t="s">
        <v>1104</v>
      </c>
      <c r="AW3" s="1821"/>
      <c r="AX3" s="1821"/>
      <c r="AY3" s="1821"/>
      <c r="AZ3" s="1821" t="s">
        <v>1105</v>
      </c>
      <c r="BA3" s="1821"/>
      <c r="BB3" s="1821"/>
      <c r="BC3" s="1821"/>
      <c r="BD3" s="1821" t="s">
        <v>1106</v>
      </c>
      <c r="BE3" s="1821"/>
      <c r="BF3" s="1821"/>
      <c r="BG3" s="1821"/>
      <c r="BH3" s="1821" t="s">
        <v>1107</v>
      </c>
      <c r="BI3" s="1821"/>
      <c r="BJ3" s="1821"/>
      <c r="BK3" s="1821"/>
      <c r="BL3" s="1821" t="s">
        <v>1108</v>
      </c>
      <c r="BM3" s="1821"/>
      <c r="BN3" s="1821"/>
      <c r="BO3" s="1821"/>
    </row>
    <row r="4" spans="1:68" ht="20.100000000000001" customHeight="1">
      <c r="C4" s="1796" t="s">
        <v>914</v>
      </c>
      <c r="D4" s="1822" t="str">
        <f ca="1">参考2_エネ使用量経年!D4</f>
        <v/>
      </c>
      <c r="E4" s="1823"/>
      <c r="F4" s="1796"/>
      <c r="H4" s="1808"/>
      <c r="I4" s="1809"/>
      <c r="J4" s="1810"/>
      <c r="K4" s="1811"/>
      <c r="L4" s="1824"/>
      <c r="M4" s="1825"/>
      <c r="N4" s="1825"/>
      <c r="O4" s="1826"/>
      <c r="P4" s="1808"/>
      <c r="Q4" s="1809"/>
      <c r="R4" s="1810"/>
      <c r="S4" s="1811"/>
      <c r="T4" s="1824"/>
      <c r="U4" s="1825"/>
      <c r="V4" s="1825"/>
      <c r="W4" s="1826"/>
      <c r="X4" s="1827"/>
      <c r="Y4" s="1828"/>
      <c r="Z4" s="1828"/>
      <c r="AA4" s="1829"/>
      <c r="AB4" s="1830" t="s">
        <v>915</v>
      </c>
      <c r="AC4" s="1831" t="str">
        <f ca="1">参考2_エネ使用量経年!AC4</f>
        <v/>
      </c>
      <c r="AD4" s="1832"/>
      <c r="AE4" s="1833"/>
      <c r="AF4" s="1830" t="s">
        <v>915</v>
      </c>
      <c r="AG4" s="1831" t="str">
        <f ca="1">参考2_エネ使用量経年!AG4</f>
        <v/>
      </c>
      <c r="AH4" s="1832"/>
      <c r="AI4" s="1833"/>
      <c r="AJ4" s="1830" t="s">
        <v>915</v>
      </c>
      <c r="AK4" s="1831" t="str">
        <f ca="1">参考2_エネ使用量経年!AK4</f>
        <v/>
      </c>
      <c r="AL4" s="1832"/>
      <c r="AM4" s="1833"/>
      <c r="AN4" s="1830" t="s">
        <v>915</v>
      </c>
      <c r="AO4" s="1831" t="str">
        <f ca="1">参考2_エネ使用量経年!AO4</f>
        <v/>
      </c>
      <c r="AP4" s="1832"/>
      <c r="AQ4" s="1833"/>
      <c r="AR4" s="1830" t="s">
        <v>915</v>
      </c>
      <c r="AS4" s="1831" t="str">
        <f ca="1">参考2_エネ使用量経年!AS4</f>
        <v/>
      </c>
      <c r="AT4" s="1832"/>
      <c r="AU4" s="1833"/>
      <c r="AV4" s="1830" t="s">
        <v>915</v>
      </c>
      <c r="AW4" s="1831" t="str">
        <f ca="1">参考2_エネ使用量経年!AW4</f>
        <v/>
      </c>
      <c r="AX4" s="1832"/>
      <c r="AY4" s="1833"/>
      <c r="AZ4" s="1830" t="s">
        <v>915</v>
      </c>
      <c r="BA4" s="1831" t="str">
        <f ca="1">参考2_エネ使用量経年!BA4</f>
        <v/>
      </c>
      <c r="BB4" s="1832"/>
      <c r="BC4" s="1833"/>
      <c r="BD4" s="1830" t="s">
        <v>915</v>
      </c>
      <c r="BE4" s="1831" t="str">
        <f ca="1">参考2_エネ使用量経年!BE4</f>
        <v/>
      </c>
      <c r="BF4" s="1832"/>
      <c r="BG4" s="1833"/>
      <c r="BH4" s="1830" t="s">
        <v>915</v>
      </c>
      <c r="BI4" s="1831" t="str">
        <f ca="1">参考2_エネ使用量経年!BI4</f>
        <v/>
      </c>
      <c r="BJ4" s="1832"/>
      <c r="BK4" s="1833"/>
      <c r="BL4" s="1830" t="s">
        <v>915</v>
      </c>
      <c r="BM4" s="1831" t="str">
        <f ca="1">参考2_エネ使用量経年!BM4</f>
        <v/>
      </c>
      <c r="BN4" s="1832"/>
      <c r="BO4" s="1833"/>
    </row>
    <row r="5" spans="1:68" ht="20.100000000000001" customHeight="1">
      <c r="G5" s="1834" t="s">
        <v>882</v>
      </c>
      <c r="H5" s="1835">
        <v>2024</v>
      </c>
      <c r="I5" s="1835">
        <v>2025</v>
      </c>
      <c r="J5" s="1835">
        <v>2026</v>
      </c>
      <c r="K5" s="1835">
        <v>2027</v>
      </c>
      <c r="L5" s="1835">
        <v>2024</v>
      </c>
      <c r="M5" s="1835">
        <v>2025</v>
      </c>
      <c r="N5" s="1835">
        <v>2026</v>
      </c>
      <c r="O5" s="1835">
        <v>2027</v>
      </c>
      <c r="P5" s="1835">
        <v>2024</v>
      </c>
      <c r="Q5" s="1835">
        <v>2025</v>
      </c>
      <c r="R5" s="1835">
        <v>2026</v>
      </c>
      <c r="S5" s="1835">
        <v>2027</v>
      </c>
      <c r="T5" s="1835">
        <v>2024</v>
      </c>
      <c r="U5" s="1835">
        <v>2025</v>
      </c>
      <c r="V5" s="1835">
        <v>2026</v>
      </c>
      <c r="W5" s="1835">
        <v>2027</v>
      </c>
      <c r="X5" s="1836">
        <v>2024</v>
      </c>
      <c r="Y5" s="1836">
        <v>2025</v>
      </c>
      <c r="Z5" s="1836">
        <v>2026</v>
      </c>
      <c r="AA5" s="1836">
        <v>2027</v>
      </c>
      <c r="AB5" s="1836"/>
      <c r="AC5" s="1836"/>
      <c r="AD5" s="1836"/>
      <c r="AE5" s="1836"/>
      <c r="AF5" s="1836"/>
      <c r="AG5" s="1836"/>
      <c r="AH5" s="1836"/>
      <c r="AI5" s="1836"/>
      <c r="AJ5" s="1836"/>
      <c r="AK5" s="1836"/>
      <c r="AL5" s="1836"/>
      <c r="AM5" s="1836"/>
      <c r="AN5" s="1836"/>
      <c r="AO5" s="1836"/>
      <c r="AP5" s="1836"/>
      <c r="AQ5" s="1836"/>
      <c r="AR5" s="1836"/>
      <c r="AS5" s="1836"/>
      <c r="AT5" s="1836"/>
      <c r="AU5" s="1836"/>
      <c r="AV5" s="1836"/>
      <c r="AW5" s="1836"/>
      <c r="AX5" s="1836"/>
      <c r="AY5" s="1836"/>
      <c r="AZ5" s="1836"/>
      <c r="BA5" s="1836"/>
      <c r="BB5" s="1836"/>
      <c r="BC5" s="1836"/>
      <c r="BD5" s="1836"/>
      <c r="BE5" s="1836"/>
      <c r="BF5" s="1836"/>
      <c r="BG5" s="1836"/>
      <c r="BH5" s="1836"/>
      <c r="BI5" s="1836"/>
      <c r="BJ5" s="1836"/>
      <c r="BK5" s="1836"/>
      <c r="BL5" s="1836"/>
      <c r="BM5" s="1836"/>
      <c r="BN5" s="1836"/>
      <c r="BO5" s="1836"/>
      <c r="BP5" s="1837"/>
    </row>
    <row r="6" spans="1:68" ht="20.100000000000001" customHeight="1">
      <c r="A6" s="1838">
        <v>1</v>
      </c>
      <c r="B6" s="1838" t="str">
        <f>参考1_評価結果!B6</f>
        <v>工場等に関する削減計画策定者</v>
      </c>
      <c r="C6" s="1839"/>
      <c r="D6" s="1839"/>
      <c r="E6" s="1839"/>
      <c r="F6" s="1839"/>
      <c r="G6" s="1840"/>
      <c r="H6" s="1840"/>
      <c r="I6" s="1840"/>
      <c r="J6" s="1840"/>
      <c r="K6" s="1840"/>
      <c r="L6" s="1840"/>
      <c r="M6" s="1840"/>
      <c r="N6" s="1840"/>
      <c r="O6" s="1840"/>
      <c r="P6" s="1840"/>
      <c r="Q6" s="1840"/>
      <c r="R6" s="1840"/>
      <c r="S6" s="1840"/>
      <c r="T6" s="1840"/>
      <c r="U6" s="1840"/>
      <c r="V6" s="1840"/>
      <c r="W6" s="1840"/>
      <c r="X6" s="1841"/>
      <c r="Y6" s="1841"/>
      <c r="Z6" s="1841"/>
      <c r="AA6" s="1841"/>
      <c r="AB6" s="1841"/>
      <c r="AC6" s="1841"/>
      <c r="AD6" s="1841"/>
      <c r="AE6" s="1841"/>
      <c r="AF6" s="1841"/>
      <c r="AG6" s="1841"/>
      <c r="AH6" s="1841"/>
      <c r="AI6" s="1841"/>
      <c r="AJ6" s="1841"/>
      <c r="AK6" s="1841"/>
      <c r="AL6" s="1841"/>
      <c r="AM6" s="1841"/>
      <c r="AN6" s="1841"/>
      <c r="AO6" s="1841"/>
      <c r="AP6" s="1841"/>
      <c r="AQ6" s="1841"/>
      <c r="AR6" s="1841"/>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8" ht="20.100000000000001" customHeight="1">
      <c r="A7" s="1842"/>
      <c r="B7" s="1843">
        <v>1</v>
      </c>
      <c r="C7" s="1844" t="s">
        <v>1095</v>
      </c>
      <c r="D7" s="1839"/>
      <c r="E7" s="1839"/>
      <c r="F7" s="1839"/>
      <c r="G7" s="1840"/>
      <c r="H7" s="1840"/>
      <c r="I7" s="1840"/>
      <c r="J7" s="1840"/>
      <c r="K7" s="1840"/>
      <c r="L7" s="1840"/>
      <c r="M7" s="1840"/>
      <c r="N7" s="1840"/>
      <c r="O7" s="1840"/>
      <c r="P7" s="1840"/>
      <c r="Q7" s="1840"/>
      <c r="R7" s="1840"/>
      <c r="S7" s="1840"/>
      <c r="T7" s="1840"/>
      <c r="U7" s="1840"/>
      <c r="V7" s="1840"/>
      <c r="W7" s="1840"/>
      <c r="X7" s="1841"/>
      <c r="Y7" s="1841"/>
      <c r="Z7" s="1841"/>
      <c r="AA7" s="1841"/>
      <c r="AB7" s="1841"/>
      <c r="AC7" s="1841"/>
      <c r="AD7" s="1841"/>
      <c r="AE7" s="1841"/>
      <c r="AF7" s="1841"/>
      <c r="AG7" s="1841"/>
      <c r="AH7" s="1841"/>
      <c r="AI7" s="1841"/>
      <c r="AJ7" s="1841"/>
      <c r="AK7" s="1841"/>
      <c r="AL7" s="1841"/>
      <c r="AM7" s="1841"/>
      <c r="AN7" s="1841"/>
      <c r="AO7" s="1841"/>
      <c r="AP7" s="1841"/>
      <c r="AQ7" s="1841"/>
      <c r="AR7" s="1841"/>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8" ht="20.100000000000001" customHeight="1">
      <c r="A8" s="1845">
        <v>8</v>
      </c>
      <c r="B8" s="1846" t="s">
        <v>918</v>
      </c>
      <c r="C8" s="1847" t="s">
        <v>919</v>
      </c>
      <c r="D8" s="1848" t="s">
        <v>539</v>
      </c>
      <c r="E8" s="1848"/>
      <c r="F8" s="1849"/>
      <c r="G8" s="1225" t="s">
        <v>1109</v>
      </c>
      <c r="H8" s="1850">
        <f t="shared" ref="H8:H34" ca="1" si="0">IFERROR(OFFSET(貼付け_2024実績,$A8,6),"")</f>
        <v>1.9E-2</v>
      </c>
      <c r="I8" s="1850">
        <f t="shared" ref="I8:I34" ca="1" si="1">IFERROR(OFFSET(貼付け_2025実績,$A8,6),"")</f>
        <v>1.9E-2</v>
      </c>
      <c r="J8" s="1850">
        <f t="shared" ref="J8:J34" ca="1" si="2">IFERROR(OFFSET(貼付け_2026実績,$A8,6),"")</f>
        <v>1.9E-2</v>
      </c>
      <c r="K8" s="1850">
        <f t="shared" ref="K8:K34" ca="1" si="3">IFERROR(OFFSET(貼付け_2027実績,$A8,6),"")</f>
        <v>1.9E-2</v>
      </c>
      <c r="L8" s="1851">
        <f ca="1">IFERROR($H8*44/12*参考2_エネ使用量経年!L9*参考2_エネ使用量経年!$H9,"")</f>
        <v>0</v>
      </c>
      <c r="M8" s="1851">
        <f ca="1">IFERROR($I8*44/12*参考2_エネ使用量経年!M9*参考2_エネ使用量経年!$I9,"")</f>
        <v>0</v>
      </c>
      <c r="N8" s="1851">
        <f ca="1">IFERROR($J8*44/12*参考2_エネ使用量経年!N9*参考2_エネ使用量経年!$J9,"")</f>
        <v>0</v>
      </c>
      <c r="O8" s="1851">
        <f ca="1">IFERROR($K8*44/12*参考2_エネ使用量経年!O9*参考2_エネ使用量経年!$K9,"")</f>
        <v>0</v>
      </c>
      <c r="P8" s="1852">
        <f ca="1">IFERROR($H8*44/12*参考2_エネ使用量経年!P9*参考2_エネ使用量経年!$H9,"")</f>
        <v>0</v>
      </c>
      <c r="Q8" s="1852">
        <f ca="1">IFERROR($I8*44/12*参考2_エネ使用量経年!Q9*参考2_エネ使用量経年!$I9,"")</f>
        <v>0</v>
      </c>
      <c r="R8" s="1852">
        <f ca="1">IFERROR($J8*44/12*参考2_エネ使用量経年!R9*参考2_エネ使用量経年!$J9,"")</f>
        <v>0</v>
      </c>
      <c r="S8" s="1852">
        <f ca="1">IFERROR($K8*44/12*参考2_エネ使用量経年!S9*参考2_エネ使用量経年!$K9,"")</f>
        <v>0</v>
      </c>
      <c r="T8" s="1851">
        <f ca="1">IFERROR($H8*44/12*参考2_エネ使用量経年!T9*参考2_エネ使用量経年!$H9,"")</f>
        <v>0</v>
      </c>
      <c r="U8" s="1851">
        <f ca="1">IFERROR($I8*44/12*参考2_エネ使用量経年!U9*参考2_エネ使用量経年!$I9,"")</f>
        <v>0</v>
      </c>
      <c r="V8" s="1851">
        <f ca="1">IFERROR($J8*44/12*参考2_エネ使用量経年!V9*参考2_エネ使用量経年!$J9,"")</f>
        <v>0</v>
      </c>
      <c r="W8" s="1851">
        <f ca="1">IFERROR($K8*44/12*参考2_エネ使用量経年!W9*参考2_エネ使用量経年!$K9,"")</f>
        <v>0</v>
      </c>
      <c r="X8" s="1853">
        <f ca="1">IFERROR($H8*44/12*参考2_エネ使用量経年!X9*参考2_エネ使用量経年!$H9,"")</f>
        <v>0</v>
      </c>
      <c r="Y8" s="1853">
        <f ca="1">IFERROR($I8*44/12*参考2_エネ使用量経年!Y9*参考2_エネ使用量経年!$I9,"")</f>
        <v>0</v>
      </c>
      <c r="Z8" s="1853">
        <f ca="1">IFERROR($J8*44/12*参考2_エネ使用量経年!Z9*参考2_エネ使用量経年!$J9,"")</f>
        <v>0</v>
      </c>
      <c r="AA8" s="1853">
        <f ca="1">IFERROR($K8*44/12*参考2_エネ使用量経年!AA9*参考2_エネ使用量経年!$K9,"")</f>
        <v>0</v>
      </c>
      <c r="AB8" s="1853"/>
      <c r="AC8" s="1853"/>
      <c r="AD8" s="1853"/>
      <c r="AE8" s="1853"/>
      <c r="AF8" s="1853"/>
      <c r="AG8" s="1853"/>
      <c r="AH8" s="1853"/>
      <c r="AI8" s="1853"/>
      <c r="AJ8" s="1853"/>
      <c r="AK8" s="1853"/>
      <c r="AL8" s="1853"/>
      <c r="AM8" s="1853"/>
      <c r="AN8" s="1853"/>
      <c r="AO8" s="1853"/>
      <c r="AP8" s="1853"/>
      <c r="AQ8" s="1853"/>
      <c r="AR8" s="1853"/>
      <c r="AS8" s="1853"/>
      <c r="AT8" s="1853"/>
      <c r="AU8" s="1853"/>
      <c r="AV8" s="1853"/>
      <c r="AW8" s="1853"/>
      <c r="AX8" s="1853"/>
      <c r="AY8" s="1853"/>
      <c r="AZ8" s="1853"/>
      <c r="BA8" s="1853"/>
      <c r="BB8" s="1853"/>
      <c r="BC8" s="1853"/>
      <c r="BD8" s="1853"/>
      <c r="BE8" s="1853"/>
      <c r="BF8" s="1853"/>
      <c r="BG8" s="1853"/>
      <c r="BH8" s="1853"/>
      <c r="BI8" s="1853"/>
      <c r="BJ8" s="1853"/>
      <c r="BK8" s="1853"/>
      <c r="BL8" s="1853"/>
      <c r="BM8" s="1853"/>
      <c r="BN8" s="1853"/>
      <c r="BO8" s="1853"/>
    </row>
    <row r="9" spans="1:68" ht="20.100000000000001" customHeight="1">
      <c r="A9" s="1845">
        <v>9</v>
      </c>
      <c r="B9" s="1854"/>
      <c r="C9" s="1847"/>
      <c r="D9" s="1848" t="s">
        <v>920</v>
      </c>
      <c r="E9" s="1848"/>
      <c r="F9" s="1849"/>
      <c r="G9" s="1225" t="s">
        <v>1109</v>
      </c>
      <c r="H9" s="1850">
        <f t="shared" ca="1" si="0"/>
        <v>1.83E-2</v>
      </c>
      <c r="I9" s="1850">
        <f t="shared" ca="1" si="1"/>
        <v>1.83E-2</v>
      </c>
      <c r="J9" s="1850">
        <f t="shared" ca="1" si="2"/>
        <v>1.83E-2</v>
      </c>
      <c r="K9" s="1850">
        <f t="shared" ca="1" si="3"/>
        <v>1.83E-2</v>
      </c>
      <c r="L9" s="1851">
        <f ca="1">IFERROR($H9*44/12*参考2_エネ使用量経年!L10*参考2_エネ使用量経年!$H10,"")</f>
        <v>0</v>
      </c>
      <c r="M9" s="1851">
        <f ca="1">IFERROR($I9*44/12*参考2_エネ使用量経年!M10*参考2_エネ使用量経年!$I10,"")</f>
        <v>0</v>
      </c>
      <c r="N9" s="1851">
        <f ca="1">IFERROR($J9*44/12*参考2_エネ使用量経年!N10*参考2_エネ使用量経年!$J10,"")</f>
        <v>0</v>
      </c>
      <c r="O9" s="1851">
        <f ca="1">IFERROR($K9*44/12*参考2_エネ使用量経年!O10*参考2_エネ使用量経年!$K10,"")</f>
        <v>0</v>
      </c>
      <c r="P9" s="1852">
        <f ca="1">IFERROR($H9*44/12*参考2_エネ使用量経年!P10*参考2_エネ使用量経年!$H10,"")</f>
        <v>0</v>
      </c>
      <c r="Q9" s="1852">
        <f ca="1">IFERROR($I9*44/12*参考2_エネ使用量経年!Q10*参考2_エネ使用量経年!$I10,"")</f>
        <v>0</v>
      </c>
      <c r="R9" s="1852">
        <f ca="1">IFERROR($J9*44/12*参考2_エネ使用量経年!R10*参考2_エネ使用量経年!$J10,"")</f>
        <v>0</v>
      </c>
      <c r="S9" s="1852">
        <f ca="1">IFERROR($K9*44/12*参考2_エネ使用量経年!S10*参考2_エネ使用量経年!$K10,"")</f>
        <v>0</v>
      </c>
      <c r="T9" s="1851">
        <f ca="1">IFERROR($H9*44/12*参考2_エネ使用量経年!T10*参考2_エネ使用量経年!$H10,"")</f>
        <v>0</v>
      </c>
      <c r="U9" s="1851">
        <f ca="1">IFERROR($I9*44/12*参考2_エネ使用量経年!U10*参考2_エネ使用量経年!$I10,"")</f>
        <v>0</v>
      </c>
      <c r="V9" s="1851">
        <f ca="1">IFERROR($J9*44/12*参考2_エネ使用量経年!V10*参考2_エネ使用量経年!$J10,"")</f>
        <v>0</v>
      </c>
      <c r="W9" s="1851">
        <f ca="1">IFERROR($K9*44/12*参考2_エネ使用量経年!W10*参考2_エネ使用量経年!$K10,"")</f>
        <v>0</v>
      </c>
      <c r="X9" s="1853">
        <f ca="1">IFERROR($H9*44/12*参考2_エネ使用量経年!X10*参考2_エネ使用量経年!$H10,"")</f>
        <v>0</v>
      </c>
      <c r="Y9" s="1853">
        <f ca="1">IFERROR($I9*44/12*参考2_エネ使用量経年!Y10*参考2_エネ使用量経年!$I10,"")</f>
        <v>0</v>
      </c>
      <c r="Z9" s="1853">
        <f ca="1">IFERROR($J9*44/12*参考2_エネ使用量経年!Z10*参考2_エネ使用量経年!$J10,"")</f>
        <v>0</v>
      </c>
      <c r="AA9" s="1853">
        <f ca="1">IFERROR($K9*44/12*参考2_エネ使用量経年!AA10*参考2_エネ使用量経年!$K10,"")</f>
        <v>0</v>
      </c>
      <c r="AB9" s="1853"/>
      <c r="AC9" s="1853"/>
      <c r="AD9" s="1853"/>
      <c r="AE9" s="1853"/>
      <c r="AF9" s="1853"/>
      <c r="AG9" s="1853"/>
      <c r="AH9" s="1853"/>
      <c r="AI9" s="1853"/>
      <c r="AJ9" s="1853"/>
      <c r="AK9" s="1853"/>
      <c r="AL9" s="1853"/>
      <c r="AM9" s="1853"/>
      <c r="AN9" s="1853"/>
      <c r="AO9" s="1853"/>
      <c r="AP9" s="1853"/>
      <c r="AQ9" s="1853"/>
      <c r="AR9" s="1853"/>
      <c r="AS9" s="1853"/>
      <c r="AT9" s="1853"/>
      <c r="AU9" s="1853"/>
      <c r="AV9" s="1853"/>
      <c r="AW9" s="1853"/>
      <c r="AX9" s="1853"/>
      <c r="AY9" s="1853"/>
      <c r="AZ9" s="1853"/>
      <c r="BA9" s="1853"/>
      <c r="BB9" s="1853"/>
      <c r="BC9" s="1853"/>
      <c r="BD9" s="1853"/>
      <c r="BE9" s="1853"/>
      <c r="BF9" s="1853"/>
      <c r="BG9" s="1853"/>
      <c r="BH9" s="1853"/>
      <c r="BI9" s="1853"/>
      <c r="BJ9" s="1853"/>
      <c r="BK9" s="1853"/>
      <c r="BL9" s="1853"/>
      <c r="BM9" s="1853"/>
      <c r="BN9" s="1853"/>
      <c r="BO9" s="1853"/>
    </row>
    <row r="10" spans="1:68" ht="20.100000000000001" customHeight="1">
      <c r="A10" s="1845">
        <v>10</v>
      </c>
      <c r="B10" s="1855"/>
      <c r="C10" s="1847"/>
      <c r="D10" s="1848" t="s">
        <v>921</v>
      </c>
      <c r="E10" s="1848"/>
      <c r="F10" s="1849"/>
      <c r="G10" s="1225" t="s">
        <v>1109</v>
      </c>
      <c r="H10" s="1850">
        <f t="shared" ca="1" si="0"/>
        <v>1.8700000000000001E-2</v>
      </c>
      <c r="I10" s="1850">
        <f t="shared" ca="1" si="1"/>
        <v>1.8700000000000001E-2</v>
      </c>
      <c r="J10" s="1850">
        <f t="shared" ca="1" si="2"/>
        <v>1.8700000000000001E-2</v>
      </c>
      <c r="K10" s="1850">
        <f t="shared" ca="1" si="3"/>
        <v>1.8700000000000001E-2</v>
      </c>
      <c r="L10" s="1851">
        <f ca="1">IFERROR($H10*44/12*参考2_エネ使用量経年!L11*参考2_エネ使用量経年!$H11,"")</f>
        <v>0</v>
      </c>
      <c r="M10" s="1851">
        <f ca="1">IFERROR($I10*44/12*参考2_エネ使用量経年!M11*参考2_エネ使用量経年!$I11,"")</f>
        <v>0</v>
      </c>
      <c r="N10" s="1851">
        <f ca="1">IFERROR($J10*44/12*参考2_エネ使用量経年!N11*参考2_エネ使用量経年!$J11,"")</f>
        <v>0</v>
      </c>
      <c r="O10" s="1851">
        <f ca="1">IFERROR($K10*44/12*参考2_エネ使用量経年!O11*参考2_エネ使用量経年!$K11,"")</f>
        <v>0</v>
      </c>
      <c r="P10" s="1852">
        <f ca="1">IFERROR($H10*44/12*参考2_エネ使用量経年!P11*参考2_エネ使用量経年!$H11,"")</f>
        <v>0</v>
      </c>
      <c r="Q10" s="1852">
        <f ca="1">IFERROR($I10*44/12*参考2_エネ使用量経年!Q11*参考2_エネ使用量経年!$I11,"")</f>
        <v>0</v>
      </c>
      <c r="R10" s="1852">
        <f ca="1">IFERROR($J10*44/12*参考2_エネ使用量経年!R11*参考2_エネ使用量経年!$J11,"")</f>
        <v>0</v>
      </c>
      <c r="S10" s="1852">
        <f ca="1">IFERROR($K10*44/12*参考2_エネ使用量経年!S11*参考2_エネ使用量経年!$K11,"")</f>
        <v>0</v>
      </c>
      <c r="T10" s="1851">
        <f ca="1">IFERROR($H10*44/12*参考2_エネ使用量経年!T11*参考2_エネ使用量経年!$H11,"")</f>
        <v>0</v>
      </c>
      <c r="U10" s="1851">
        <f ca="1">IFERROR($I10*44/12*参考2_エネ使用量経年!U11*参考2_エネ使用量経年!$I11,"")</f>
        <v>0</v>
      </c>
      <c r="V10" s="1851">
        <f ca="1">IFERROR($J10*44/12*参考2_エネ使用量経年!V11*参考2_エネ使用量経年!$J11,"")</f>
        <v>0</v>
      </c>
      <c r="W10" s="1851">
        <f ca="1">IFERROR($K10*44/12*参考2_エネ使用量経年!W11*参考2_エネ使用量経年!$K11,"")</f>
        <v>0</v>
      </c>
      <c r="X10" s="1853">
        <f ca="1">IFERROR($H10*44/12*参考2_エネ使用量経年!X11*参考2_エネ使用量経年!$H11,"")</f>
        <v>0</v>
      </c>
      <c r="Y10" s="1853">
        <f ca="1">IFERROR($I10*44/12*参考2_エネ使用量経年!Y11*参考2_エネ使用量経年!$I11,"")</f>
        <v>0</v>
      </c>
      <c r="Z10" s="1853">
        <f ca="1">IFERROR($J10*44/12*参考2_エネ使用量経年!Z11*参考2_エネ使用量経年!$J11,"")</f>
        <v>0</v>
      </c>
      <c r="AA10" s="1853">
        <f ca="1">IFERROR($K10*44/12*参考2_エネ使用量経年!AA11*参考2_エネ使用量経年!$K11,"")</f>
        <v>0</v>
      </c>
      <c r="AB10" s="1853"/>
      <c r="AC10" s="1853"/>
      <c r="AD10" s="1853"/>
      <c r="AE10" s="1853"/>
      <c r="AF10" s="1853"/>
      <c r="AG10" s="1853"/>
      <c r="AH10" s="1853"/>
      <c r="AI10" s="1853"/>
      <c r="AJ10" s="1853"/>
      <c r="AK10" s="1853"/>
      <c r="AL10" s="1853"/>
      <c r="AM10" s="1853"/>
      <c r="AN10" s="1853"/>
      <c r="AO10" s="1853"/>
      <c r="AP10" s="1853"/>
      <c r="AQ10" s="1853"/>
      <c r="AR10" s="1853"/>
      <c r="AS10" s="1853"/>
      <c r="AT10" s="1853"/>
      <c r="AU10" s="1853"/>
      <c r="AV10" s="1853"/>
      <c r="AW10" s="1853"/>
      <c r="AX10" s="1853"/>
      <c r="AY10" s="1853"/>
      <c r="AZ10" s="1853"/>
      <c r="BA10" s="1853"/>
      <c r="BB10" s="1853"/>
      <c r="BC10" s="1853"/>
      <c r="BD10" s="1853"/>
      <c r="BE10" s="1853"/>
      <c r="BF10" s="1853"/>
      <c r="BG10" s="1853"/>
      <c r="BH10" s="1853"/>
      <c r="BI10" s="1853"/>
      <c r="BJ10" s="1853"/>
      <c r="BK10" s="1853"/>
      <c r="BL10" s="1853"/>
      <c r="BM10" s="1853"/>
      <c r="BN10" s="1853"/>
      <c r="BO10" s="1853"/>
    </row>
    <row r="11" spans="1:68" ht="20.100000000000001" customHeight="1">
      <c r="A11" s="1845">
        <v>11</v>
      </c>
      <c r="B11" s="1854"/>
      <c r="C11" s="1847"/>
      <c r="D11" s="1848" t="s">
        <v>542</v>
      </c>
      <c r="E11" s="1848"/>
      <c r="F11" s="1849"/>
      <c r="G11" s="1225" t="s">
        <v>1109</v>
      </c>
      <c r="H11" s="1850">
        <f t="shared" ca="1" si="0"/>
        <v>1.8599999999999998E-2</v>
      </c>
      <c r="I11" s="1850">
        <f t="shared" ca="1" si="1"/>
        <v>1.8599999999999998E-2</v>
      </c>
      <c r="J11" s="1850">
        <f t="shared" ca="1" si="2"/>
        <v>1.8599999999999998E-2</v>
      </c>
      <c r="K11" s="1850">
        <f t="shared" ca="1" si="3"/>
        <v>1.8599999999999998E-2</v>
      </c>
      <c r="L11" s="1851">
        <f ca="1">IFERROR($H11*44/12*参考2_エネ使用量経年!L12*参考2_エネ使用量経年!$H12,"")</f>
        <v>0</v>
      </c>
      <c r="M11" s="1851">
        <f ca="1">IFERROR($I11*44/12*参考2_エネ使用量経年!M12*参考2_エネ使用量経年!$I12,"")</f>
        <v>0</v>
      </c>
      <c r="N11" s="1851">
        <f ca="1">IFERROR($J11*44/12*参考2_エネ使用量経年!N12*参考2_エネ使用量経年!$J12,"")</f>
        <v>0</v>
      </c>
      <c r="O11" s="1851">
        <f ca="1">IFERROR($K11*44/12*参考2_エネ使用量経年!O12*参考2_エネ使用量経年!$K12,"")</f>
        <v>0</v>
      </c>
      <c r="P11" s="1852">
        <f ca="1">IFERROR($H11*44/12*参考2_エネ使用量経年!P12*参考2_エネ使用量経年!$H12,"")</f>
        <v>0</v>
      </c>
      <c r="Q11" s="1852">
        <f ca="1">IFERROR($I11*44/12*参考2_エネ使用量経年!Q12*参考2_エネ使用量経年!$I12,"")</f>
        <v>0</v>
      </c>
      <c r="R11" s="1852">
        <f ca="1">IFERROR($J11*44/12*参考2_エネ使用量経年!R12*参考2_エネ使用量経年!$J12,"")</f>
        <v>0</v>
      </c>
      <c r="S11" s="1852">
        <f ca="1">IFERROR($K11*44/12*参考2_エネ使用量経年!S12*参考2_エネ使用量経年!$K12,"")</f>
        <v>0</v>
      </c>
      <c r="T11" s="1851">
        <f ca="1">IFERROR($H11*44/12*参考2_エネ使用量経年!T12*参考2_エネ使用量経年!$H12,"")</f>
        <v>0</v>
      </c>
      <c r="U11" s="1851">
        <f ca="1">IFERROR($I11*44/12*参考2_エネ使用量経年!U12*参考2_エネ使用量経年!$I12,"")</f>
        <v>0</v>
      </c>
      <c r="V11" s="1851">
        <f ca="1">IFERROR($J11*44/12*参考2_エネ使用量経年!V12*参考2_エネ使用量経年!$J12,"")</f>
        <v>0</v>
      </c>
      <c r="W11" s="1851">
        <f ca="1">IFERROR($K11*44/12*参考2_エネ使用量経年!W12*参考2_エネ使用量経年!$K12,"")</f>
        <v>0</v>
      </c>
      <c r="X11" s="1853">
        <f ca="1">IFERROR($H11*44/12*参考2_エネ使用量経年!X12*参考2_エネ使用量経年!$H12,"")</f>
        <v>0</v>
      </c>
      <c r="Y11" s="1853">
        <f ca="1">IFERROR($I11*44/12*参考2_エネ使用量経年!Y12*参考2_エネ使用量経年!$I12,"")</f>
        <v>0</v>
      </c>
      <c r="Z11" s="1853">
        <f ca="1">IFERROR($J11*44/12*参考2_エネ使用量経年!Z12*参考2_エネ使用量経年!$J12,"")</f>
        <v>0</v>
      </c>
      <c r="AA11" s="1853">
        <f ca="1">IFERROR($K11*44/12*参考2_エネ使用量経年!AA12*参考2_エネ使用量経年!$K12,"")</f>
        <v>0</v>
      </c>
      <c r="AB11" s="1853"/>
      <c r="AC11" s="1853"/>
      <c r="AD11" s="1853"/>
      <c r="AE11" s="1853"/>
      <c r="AF11" s="1853"/>
      <c r="AG11" s="1853"/>
      <c r="AH11" s="1853"/>
      <c r="AI11" s="1853"/>
      <c r="AJ11" s="1853"/>
      <c r="AK11" s="1853"/>
      <c r="AL11" s="1853"/>
      <c r="AM11" s="1853"/>
      <c r="AN11" s="1853"/>
      <c r="AO11" s="1853"/>
      <c r="AP11" s="1853"/>
      <c r="AQ11" s="1853"/>
      <c r="AR11" s="1853"/>
      <c r="AS11" s="1853"/>
      <c r="AT11" s="1853"/>
      <c r="AU11" s="1853"/>
      <c r="AV11" s="1853"/>
      <c r="AW11" s="1853"/>
      <c r="AX11" s="1853"/>
      <c r="AY11" s="1853"/>
      <c r="AZ11" s="1853"/>
      <c r="BA11" s="1853"/>
      <c r="BB11" s="1853"/>
      <c r="BC11" s="1853"/>
      <c r="BD11" s="1853"/>
      <c r="BE11" s="1853"/>
      <c r="BF11" s="1853"/>
      <c r="BG11" s="1853"/>
      <c r="BH11" s="1853"/>
      <c r="BI11" s="1853"/>
      <c r="BJ11" s="1853"/>
      <c r="BK11" s="1853"/>
      <c r="BL11" s="1853"/>
      <c r="BM11" s="1853"/>
      <c r="BN11" s="1853"/>
      <c r="BO11" s="1853"/>
    </row>
    <row r="12" spans="1:68" ht="20.100000000000001" customHeight="1">
      <c r="A12" s="1845">
        <v>12</v>
      </c>
      <c r="B12" s="1854"/>
      <c r="C12" s="1847"/>
      <c r="D12" s="1848" t="s">
        <v>922</v>
      </c>
      <c r="E12" s="1848"/>
      <c r="F12" s="1849"/>
      <c r="G12" s="1225" t="s">
        <v>1109</v>
      </c>
      <c r="H12" s="1850">
        <f t="shared" ca="1" si="0"/>
        <v>1.8599999999999998E-2</v>
      </c>
      <c r="I12" s="1850">
        <f t="shared" ca="1" si="1"/>
        <v>1.8599999999999998E-2</v>
      </c>
      <c r="J12" s="1850">
        <f t="shared" ca="1" si="2"/>
        <v>1.8599999999999998E-2</v>
      </c>
      <c r="K12" s="1850">
        <f t="shared" ca="1" si="3"/>
        <v>1.8599999999999998E-2</v>
      </c>
      <c r="L12" s="1851">
        <f ca="1">IFERROR($H12*44/12*参考2_エネ使用量経年!L13*参考2_エネ使用量経年!$H13,"")</f>
        <v>0</v>
      </c>
      <c r="M12" s="1851">
        <f ca="1">IFERROR($I12*44/12*参考2_エネ使用量経年!M13*参考2_エネ使用量経年!$I13,"")</f>
        <v>0</v>
      </c>
      <c r="N12" s="1851">
        <f ca="1">IFERROR($J12*44/12*参考2_エネ使用量経年!N13*参考2_エネ使用量経年!$J13,"")</f>
        <v>0</v>
      </c>
      <c r="O12" s="1851">
        <f ca="1">IFERROR($K12*44/12*参考2_エネ使用量経年!O13*参考2_エネ使用量経年!$K13,"")</f>
        <v>0</v>
      </c>
      <c r="P12" s="1852">
        <f ca="1">IFERROR($H12*44/12*参考2_エネ使用量経年!P13*参考2_エネ使用量経年!$H13,"")</f>
        <v>0</v>
      </c>
      <c r="Q12" s="1852">
        <f ca="1">IFERROR($I12*44/12*参考2_エネ使用量経年!Q13*参考2_エネ使用量経年!$I13,"")</f>
        <v>0</v>
      </c>
      <c r="R12" s="1852">
        <f ca="1">IFERROR($J12*44/12*参考2_エネ使用量経年!R13*参考2_エネ使用量経年!$J13,"")</f>
        <v>0</v>
      </c>
      <c r="S12" s="1852">
        <f ca="1">IFERROR($K12*44/12*参考2_エネ使用量経年!S13*参考2_エネ使用量経年!$K13,"")</f>
        <v>0</v>
      </c>
      <c r="T12" s="1851">
        <f ca="1">IFERROR($H12*44/12*参考2_エネ使用量経年!T13*参考2_エネ使用量経年!$H13,"")</f>
        <v>0</v>
      </c>
      <c r="U12" s="1851">
        <f ca="1">IFERROR($I12*44/12*参考2_エネ使用量経年!U13*参考2_エネ使用量経年!$I13,"")</f>
        <v>0</v>
      </c>
      <c r="V12" s="1851">
        <f ca="1">IFERROR($J12*44/12*参考2_エネ使用量経年!V13*参考2_エネ使用量経年!$J13,"")</f>
        <v>0</v>
      </c>
      <c r="W12" s="1851">
        <f ca="1">IFERROR($K12*44/12*参考2_エネ使用量経年!W13*参考2_エネ使用量経年!$K13,"")</f>
        <v>0</v>
      </c>
      <c r="X12" s="1853">
        <f ca="1">IFERROR($H12*44/12*参考2_エネ使用量経年!X13*参考2_エネ使用量経年!$H13,"")</f>
        <v>0</v>
      </c>
      <c r="Y12" s="1853">
        <f ca="1">IFERROR($I12*44/12*参考2_エネ使用量経年!Y13*参考2_エネ使用量経年!$I13,"")</f>
        <v>0</v>
      </c>
      <c r="Z12" s="1853">
        <f ca="1">IFERROR($J12*44/12*参考2_エネ使用量経年!Z13*参考2_エネ使用量経年!$J13,"")</f>
        <v>0</v>
      </c>
      <c r="AA12" s="1853">
        <f ca="1">IFERROR($K12*44/12*参考2_エネ使用量経年!AA13*参考2_エネ使用量経年!$K13,"")</f>
        <v>0</v>
      </c>
      <c r="AB12" s="1853"/>
      <c r="AC12" s="1853"/>
      <c r="AD12" s="1853"/>
      <c r="AE12" s="1853"/>
      <c r="AF12" s="1853"/>
      <c r="AG12" s="1853"/>
      <c r="AH12" s="1853"/>
      <c r="AI12" s="1853"/>
      <c r="AJ12" s="1853"/>
      <c r="AK12" s="1853"/>
      <c r="AL12" s="1853"/>
      <c r="AM12" s="1853"/>
      <c r="AN12" s="1853"/>
      <c r="AO12" s="1853"/>
      <c r="AP12" s="1853"/>
      <c r="AQ12" s="1853"/>
      <c r="AR12" s="1853"/>
      <c r="AS12" s="1853"/>
      <c r="AT12" s="1853"/>
      <c r="AU12" s="1853"/>
      <c r="AV12" s="1853"/>
      <c r="AW12" s="1853"/>
      <c r="AX12" s="1853"/>
      <c r="AY12" s="1853"/>
      <c r="AZ12" s="1853"/>
      <c r="BA12" s="1853"/>
      <c r="BB12" s="1853"/>
      <c r="BC12" s="1853"/>
      <c r="BD12" s="1853"/>
      <c r="BE12" s="1853"/>
      <c r="BF12" s="1853"/>
      <c r="BG12" s="1853"/>
      <c r="BH12" s="1853"/>
      <c r="BI12" s="1853"/>
      <c r="BJ12" s="1853"/>
      <c r="BK12" s="1853"/>
      <c r="BL12" s="1853"/>
      <c r="BM12" s="1853"/>
      <c r="BN12" s="1853"/>
      <c r="BO12" s="1853"/>
    </row>
    <row r="13" spans="1:68" ht="20.100000000000001" customHeight="1">
      <c r="A13" s="1845">
        <v>13</v>
      </c>
      <c r="B13" s="1855"/>
      <c r="C13" s="1847"/>
      <c r="D13" s="1848" t="s">
        <v>543</v>
      </c>
      <c r="E13" s="1848"/>
      <c r="F13" s="1849"/>
      <c r="G13" s="1225" t="s">
        <v>1109</v>
      </c>
      <c r="H13" s="1850">
        <f t="shared" ca="1" si="0"/>
        <v>1.8700000000000001E-2</v>
      </c>
      <c r="I13" s="1850">
        <f t="shared" ca="1" si="1"/>
        <v>1.8700000000000001E-2</v>
      </c>
      <c r="J13" s="1850">
        <f t="shared" ca="1" si="2"/>
        <v>1.8700000000000001E-2</v>
      </c>
      <c r="K13" s="1850">
        <f t="shared" ca="1" si="3"/>
        <v>1.8700000000000001E-2</v>
      </c>
      <c r="L13" s="1851">
        <f ca="1">IFERROR($H13*44/12*参考2_エネ使用量経年!L14*参考2_エネ使用量経年!$H14,"")</f>
        <v>0</v>
      </c>
      <c r="M13" s="1851">
        <f ca="1">IFERROR($I13*44/12*参考2_エネ使用量経年!M14*参考2_エネ使用量経年!$I14,"")</f>
        <v>0</v>
      </c>
      <c r="N13" s="1851">
        <f ca="1">IFERROR($J13*44/12*参考2_エネ使用量経年!N14*参考2_エネ使用量経年!$J14,"")</f>
        <v>0</v>
      </c>
      <c r="O13" s="1851">
        <f ca="1">IFERROR($K13*44/12*参考2_エネ使用量経年!O14*参考2_エネ使用量経年!$K14,"")</f>
        <v>0</v>
      </c>
      <c r="P13" s="1852">
        <f ca="1">IFERROR($H13*44/12*参考2_エネ使用量経年!P14*参考2_エネ使用量経年!$H14,"")</f>
        <v>0</v>
      </c>
      <c r="Q13" s="1852">
        <f ca="1">IFERROR($I13*44/12*参考2_エネ使用量経年!Q14*参考2_エネ使用量経年!$I14,"")</f>
        <v>0</v>
      </c>
      <c r="R13" s="1852">
        <f ca="1">IFERROR($J13*44/12*参考2_エネ使用量経年!R14*参考2_エネ使用量経年!$J14,"")</f>
        <v>0</v>
      </c>
      <c r="S13" s="1852">
        <f ca="1">IFERROR($K13*44/12*参考2_エネ使用量経年!S14*参考2_エネ使用量経年!$K14,"")</f>
        <v>0</v>
      </c>
      <c r="T13" s="1851">
        <f ca="1">IFERROR($H13*44/12*参考2_エネ使用量経年!T14*参考2_エネ使用量経年!$H14,"")</f>
        <v>0</v>
      </c>
      <c r="U13" s="1851">
        <f ca="1">IFERROR($I13*44/12*参考2_エネ使用量経年!U14*参考2_エネ使用量経年!$I14,"")</f>
        <v>0</v>
      </c>
      <c r="V13" s="1851">
        <f ca="1">IFERROR($J13*44/12*参考2_エネ使用量経年!V14*参考2_エネ使用量経年!$J14,"")</f>
        <v>0</v>
      </c>
      <c r="W13" s="1851">
        <f ca="1">IFERROR($K13*44/12*参考2_エネ使用量経年!W14*参考2_エネ使用量経年!$K14,"")</f>
        <v>0</v>
      </c>
      <c r="X13" s="1853">
        <f ca="1">IFERROR($H13*44/12*参考2_エネ使用量経年!X14*参考2_エネ使用量経年!$H14,"")</f>
        <v>0</v>
      </c>
      <c r="Y13" s="1853">
        <f ca="1">IFERROR($I13*44/12*参考2_エネ使用量経年!Y14*参考2_エネ使用量経年!$I14,"")</f>
        <v>0</v>
      </c>
      <c r="Z13" s="1853">
        <f ca="1">IFERROR($J13*44/12*参考2_エネ使用量経年!Z14*参考2_エネ使用量経年!$J14,"")</f>
        <v>0</v>
      </c>
      <c r="AA13" s="1853">
        <f ca="1">IFERROR($K13*44/12*参考2_エネ使用量経年!AA14*参考2_エネ使用量経年!$K14,"")</f>
        <v>0</v>
      </c>
      <c r="AB13" s="1853"/>
      <c r="AC13" s="1853"/>
      <c r="AD13" s="1853"/>
      <c r="AE13" s="1853"/>
      <c r="AF13" s="1853"/>
      <c r="AG13" s="1853"/>
      <c r="AH13" s="1853"/>
      <c r="AI13" s="1853"/>
      <c r="AJ13" s="1853"/>
      <c r="AK13" s="1853"/>
      <c r="AL13" s="1853"/>
      <c r="AM13" s="1853"/>
      <c r="AN13" s="1853"/>
      <c r="AO13" s="1853"/>
      <c r="AP13" s="1853"/>
      <c r="AQ13" s="1853"/>
      <c r="AR13" s="1853"/>
      <c r="AS13" s="1853"/>
      <c r="AT13" s="1853"/>
      <c r="AU13" s="1853"/>
      <c r="AV13" s="1853"/>
      <c r="AW13" s="1853"/>
      <c r="AX13" s="1853"/>
      <c r="AY13" s="1853"/>
      <c r="AZ13" s="1853"/>
      <c r="BA13" s="1853"/>
      <c r="BB13" s="1853"/>
      <c r="BC13" s="1853"/>
      <c r="BD13" s="1853"/>
      <c r="BE13" s="1853"/>
      <c r="BF13" s="1853"/>
      <c r="BG13" s="1853"/>
      <c r="BH13" s="1853"/>
      <c r="BI13" s="1853"/>
      <c r="BJ13" s="1853"/>
      <c r="BK13" s="1853"/>
      <c r="BL13" s="1853"/>
      <c r="BM13" s="1853"/>
      <c r="BN13" s="1853"/>
      <c r="BO13" s="1853"/>
    </row>
    <row r="14" spans="1:68" ht="20.100000000000001" customHeight="1">
      <c r="A14" s="1845">
        <v>14</v>
      </c>
      <c r="B14" s="1855"/>
      <c r="C14" s="1847"/>
      <c r="D14" s="1848" t="s">
        <v>544</v>
      </c>
      <c r="E14" s="1848"/>
      <c r="F14" s="1849"/>
      <c r="G14" s="1225" t="s">
        <v>1109</v>
      </c>
      <c r="H14" s="1850">
        <f t="shared" ca="1" si="0"/>
        <v>1.8800000000000001E-2</v>
      </c>
      <c r="I14" s="1850">
        <f t="shared" ca="1" si="1"/>
        <v>1.8800000000000001E-2</v>
      </c>
      <c r="J14" s="1850">
        <f t="shared" ca="1" si="2"/>
        <v>1.8800000000000001E-2</v>
      </c>
      <c r="K14" s="1850">
        <f t="shared" ca="1" si="3"/>
        <v>1.8800000000000001E-2</v>
      </c>
      <c r="L14" s="1851">
        <f ca="1">IFERROR($H14*44/12*参考2_エネ使用量経年!L15*参考2_エネ使用量経年!$H15,"")</f>
        <v>0</v>
      </c>
      <c r="M14" s="1851">
        <f ca="1">IFERROR($I14*44/12*参考2_エネ使用量経年!M15*参考2_エネ使用量経年!$I15,"")</f>
        <v>0</v>
      </c>
      <c r="N14" s="1851">
        <f ca="1">IFERROR($J14*44/12*参考2_エネ使用量経年!N15*参考2_エネ使用量経年!$J15,"")</f>
        <v>0</v>
      </c>
      <c r="O14" s="1851">
        <f ca="1">IFERROR($K14*44/12*参考2_エネ使用量経年!O15*参考2_エネ使用量経年!$K15,"")</f>
        <v>0</v>
      </c>
      <c r="P14" s="1852">
        <f ca="1">IFERROR($H14*44/12*参考2_エネ使用量経年!P15*参考2_エネ使用量経年!$H15,"")</f>
        <v>0</v>
      </c>
      <c r="Q14" s="1852">
        <f ca="1">IFERROR($I14*44/12*参考2_エネ使用量経年!Q15*参考2_エネ使用量経年!$I15,"")</f>
        <v>0</v>
      </c>
      <c r="R14" s="1852">
        <f ca="1">IFERROR($J14*44/12*参考2_エネ使用量経年!R15*参考2_エネ使用量経年!$J15,"")</f>
        <v>0</v>
      </c>
      <c r="S14" s="1852">
        <f ca="1">IFERROR($K14*44/12*参考2_エネ使用量経年!S15*参考2_エネ使用量経年!$K15,"")</f>
        <v>0</v>
      </c>
      <c r="T14" s="1851">
        <f ca="1">IFERROR($H14*44/12*参考2_エネ使用量経年!T15*参考2_エネ使用量経年!$H15,"")</f>
        <v>0</v>
      </c>
      <c r="U14" s="1851">
        <f ca="1">IFERROR($I14*44/12*参考2_エネ使用量経年!U15*参考2_エネ使用量経年!$I15,"")</f>
        <v>0</v>
      </c>
      <c r="V14" s="1851">
        <f ca="1">IFERROR($J14*44/12*参考2_エネ使用量経年!V15*参考2_エネ使用量経年!$J15,"")</f>
        <v>0</v>
      </c>
      <c r="W14" s="1851">
        <f ca="1">IFERROR($K14*44/12*参考2_エネ使用量経年!W15*参考2_エネ使用量経年!$K15,"")</f>
        <v>0</v>
      </c>
      <c r="X14" s="1853">
        <f ca="1">IFERROR($H14*44/12*参考2_エネ使用量経年!X15*参考2_エネ使用量経年!$H15,"")</f>
        <v>0</v>
      </c>
      <c r="Y14" s="1853">
        <f ca="1">IFERROR($I14*44/12*参考2_エネ使用量経年!Y15*参考2_エネ使用量経年!$I15,"")</f>
        <v>0</v>
      </c>
      <c r="Z14" s="1853">
        <f ca="1">IFERROR($J14*44/12*参考2_エネ使用量経年!Z15*参考2_エネ使用量経年!$J15,"")</f>
        <v>0</v>
      </c>
      <c r="AA14" s="1853">
        <f ca="1">IFERROR($K14*44/12*参考2_エネ使用量経年!AA15*参考2_エネ使用量経年!$K15,"")</f>
        <v>0</v>
      </c>
      <c r="AB14" s="1853"/>
      <c r="AC14" s="1853"/>
      <c r="AD14" s="1853"/>
      <c r="AE14" s="1853"/>
      <c r="AF14" s="1853"/>
      <c r="AG14" s="1853"/>
      <c r="AH14" s="1853"/>
      <c r="AI14" s="1853"/>
      <c r="AJ14" s="1853"/>
      <c r="AK14" s="1853"/>
      <c r="AL14" s="1853"/>
      <c r="AM14" s="1853"/>
      <c r="AN14" s="1853"/>
      <c r="AO14" s="1853"/>
      <c r="AP14" s="1853"/>
      <c r="AQ14" s="1853"/>
      <c r="AR14" s="1853"/>
      <c r="AS14" s="1853"/>
      <c r="AT14" s="1853"/>
      <c r="AU14" s="1853"/>
      <c r="AV14" s="1853"/>
      <c r="AW14" s="1853"/>
      <c r="AX14" s="1853"/>
      <c r="AY14" s="1853"/>
      <c r="AZ14" s="1853"/>
      <c r="BA14" s="1853"/>
      <c r="BB14" s="1853"/>
      <c r="BC14" s="1853"/>
      <c r="BD14" s="1853"/>
      <c r="BE14" s="1853"/>
      <c r="BF14" s="1853"/>
      <c r="BG14" s="1853"/>
      <c r="BH14" s="1853"/>
      <c r="BI14" s="1853"/>
      <c r="BJ14" s="1853"/>
      <c r="BK14" s="1853"/>
      <c r="BL14" s="1853"/>
      <c r="BM14" s="1853"/>
      <c r="BN14" s="1853"/>
      <c r="BO14" s="1853"/>
    </row>
    <row r="15" spans="1:68" ht="20.100000000000001" customHeight="1">
      <c r="A15" s="1845">
        <v>15</v>
      </c>
      <c r="B15" s="1854"/>
      <c r="C15" s="1847"/>
      <c r="D15" s="1848" t="s">
        <v>545</v>
      </c>
      <c r="E15" s="1848"/>
      <c r="F15" s="1849"/>
      <c r="G15" s="1225" t="s">
        <v>1109</v>
      </c>
      <c r="H15" s="1850">
        <f t="shared" ca="1" si="0"/>
        <v>1.9300000000000001E-2</v>
      </c>
      <c r="I15" s="1850">
        <f t="shared" ca="1" si="1"/>
        <v>1.9300000000000001E-2</v>
      </c>
      <c r="J15" s="1850">
        <f t="shared" ca="1" si="2"/>
        <v>1.9300000000000001E-2</v>
      </c>
      <c r="K15" s="1850">
        <f t="shared" ca="1" si="3"/>
        <v>1.9300000000000001E-2</v>
      </c>
      <c r="L15" s="1851">
        <f ca="1">IFERROR($H15*44/12*参考2_エネ使用量経年!L16*参考2_エネ使用量経年!$H16,"")</f>
        <v>0</v>
      </c>
      <c r="M15" s="1851">
        <f ca="1">IFERROR($I15*44/12*参考2_エネ使用量経年!M16*参考2_エネ使用量経年!$I16,"")</f>
        <v>0</v>
      </c>
      <c r="N15" s="1851">
        <f ca="1">IFERROR($J15*44/12*参考2_エネ使用量経年!N16*参考2_エネ使用量経年!$J16,"")</f>
        <v>0</v>
      </c>
      <c r="O15" s="1851">
        <f ca="1">IFERROR($K15*44/12*参考2_エネ使用量経年!O16*参考2_エネ使用量経年!$K16,"")</f>
        <v>0</v>
      </c>
      <c r="P15" s="1852">
        <f ca="1">IFERROR($H15*44/12*参考2_エネ使用量経年!P16*参考2_エネ使用量経年!$H16,"")</f>
        <v>0</v>
      </c>
      <c r="Q15" s="1852">
        <f ca="1">IFERROR($I15*44/12*参考2_エネ使用量経年!Q16*参考2_エネ使用量経年!$I16,"")</f>
        <v>0</v>
      </c>
      <c r="R15" s="1852">
        <f ca="1">IFERROR($J15*44/12*参考2_エネ使用量経年!R16*参考2_エネ使用量経年!$J16,"")</f>
        <v>0</v>
      </c>
      <c r="S15" s="1852">
        <f ca="1">IFERROR($K15*44/12*参考2_エネ使用量経年!S16*参考2_エネ使用量経年!$K16,"")</f>
        <v>0</v>
      </c>
      <c r="T15" s="1851">
        <f ca="1">IFERROR($H15*44/12*参考2_エネ使用量経年!T16*参考2_エネ使用量経年!$H16,"")</f>
        <v>0</v>
      </c>
      <c r="U15" s="1851">
        <f ca="1">IFERROR($I15*44/12*参考2_エネ使用量経年!U16*参考2_エネ使用量経年!$I16,"")</f>
        <v>0</v>
      </c>
      <c r="V15" s="1851">
        <f ca="1">IFERROR($J15*44/12*参考2_エネ使用量経年!V16*参考2_エネ使用量経年!$J16,"")</f>
        <v>0</v>
      </c>
      <c r="W15" s="1851">
        <f ca="1">IFERROR($K15*44/12*参考2_エネ使用量経年!W16*参考2_エネ使用量経年!$K16,"")</f>
        <v>0</v>
      </c>
      <c r="X15" s="1853">
        <f ca="1">IFERROR($H15*44/12*参考2_エネ使用量経年!X16*参考2_エネ使用量経年!$H16,"")</f>
        <v>0</v>
      </c>
      <c r="Y15" s="1853">
        <f ca="1">IFERROR($I15*44/12*参考2_エネ使用量経年!Y16*参考2_エネ使用量経年!$I16,"")</f>
        <v>0</v>
      </c>
      <c r="Z15" s="1853">
        <f ca="1">IFERROR($J15*44/12*参考2_エネ使用量経年!Z16*参考2_エネ使用量経年!$J16,"")</f>
        <v>0</v>
      </c>
      <c r="AA15" s="1853">
        <f ca="1">IFERROR($K15*44/12*参考2_エネ使用量経年!AA16*参考2_エネ使用量経年!$K16,"")</f>
        <v>0</v>
      </c>
      <c r="AB15" s="1853"/>
      <c r="AC15" s="1853"/>
      <c r="AD15" s="1853"/>
      <c r="AE15" s="1853"/>
      <c r="AF15" s="1853"/>
      <c r="AG15" s="1853"/>
      <c r="AH15" s="1853"/>
      <c r="AI15" s="1853"/>
      <c r="AJ15" s="1853"/>
      <c r="AK15" s="1853"/>
      <c r="AL15" s="1853"/>
      <c r="AM15" s="1853"/>
      <c r="AN15" s="1853"/>
      <c r="AO15" s="1853"/>
      <c r="AP15" s="1853"/>
      <c r="AQ15" s="1853"/>
      <c r="AR15" s="1853"/>
      <c r="AS15" s="1853"/>
      <c r="AT15" s="1853"/>
      <c r="AU15" s="1853"/>
      <c r="AV15" s="1853"/>
      <c r="AW15" s="1853"/>
      <c r="AX15" s="1853"/>
      <c r="AY15" s="1853"/>
      <c r="AZ15" s="1853"/>
      <c r="BA15" s="1853"/>
      <c r="BB15" s="1853"/>
      <c r="BC15" s="1853"/>
      <c r="BD15" s="1853"/>
      <c r="BE15" s="1853"/>
      <c r="BF15" s="1853"/>
      <c r="BG15" s="1853"/>
      <c r="BH15" s="1853"/>
      <c r="BI15" s="1853"/>
      <c r="BJ15" s="1853"/>
      <c r="BK15" s="1853"/>
      <c r="BL15" s="1853"/>
      <c r="BM15" s="1853"/>
      <c r="BN15" s="1853"/>
      <c r="BO15" s="1853"/>
    </row>
    <row r="16" spans="1:68" ht="20.100000000000001" customHeight="1">
      <c r="A16" s="1845">
        <v>16</v>
      </c>
      <c r="B16" s="1854"/>
      <c r="C16" s="1847"/>
      <c r="D16" s="1848" t="s">
        <v>546</v>
      </c>
      <c r="E16" s="1837"/>
      <c r="F16" s="1849"/>
      <c r="G16" s="1225" t="s">
        <v>1109</v>
      </c>
      <c r="H16" s="1850">
        <f t="shared" ca="1" si="0"/>
        <v>2.0199999999999999E-2</v>
      </c>
      <c r="I16" s="1850">
        <f t="shared" ca="1" si="1"/>
        <v>2.0199999999999999E-2</v>
      </c>
      <c r="J16" s="1850">
        <f t="shared" ca="1" si="2"/>
        <v>2.0199999999999999E-2</v>
      </c>
      <c r="K16" s="1850">
        <f t="shared" ca="1" si="3"/>
        <v>2.0199999999999999E-2</v>
      </c>
      <c r="L16" s="1851">
        <f ca="1">IFERROR($H16*44/12*参考2_エネ使用量経年!L17*参考2_エネ使用量経年!$H17,"")</f>
        <v>0</v>
      </c>
      <c r="M16" s="1851">
        <f ca="1">IFERROR($I16*44/12*参考2_エネ使用量経年!M17*参考2_エネ使用量経年!$I17,"")</f>
        <v>0</v>
      </c>
      <c r="N16" s="1851">
        <f ca="1">IFERROR($J16*44/12*参考2_エネ使用量経年!N17*参考2_エネ使用量経年!$J17,"")</f>
        <v>0</v>
      </c>
      <c r="O16" s="1851">
        <f ca="1">IFERROR($K16*44/12*参考2_エネ使用量経年!O17*参考2_エネ使用量経年!$K17,"")</f>
        <v>0</v>
      </c>
      <c r="P16" s="1852">
        <f ca="1">IFERROR($H16*44/12*参考2_エネ使用量経年!P17*参考2_エネ使用量経年!$H17,"")</f>
        <v>0</v>
      </c>
      <c r="Q16" s="1852">
        <f ca="1">IFERROR($I16*44/12*参考2_エネ使用量経年!Q17*参考2_エネ使用量経年!$I17,"")</f>
        <v>0</v>
      </c>
      <c r="R16" s="1852">
        <f ca="1">IFERROR($J16*44/12*参考2_エネ使用量経年!R17*参考2_エネ使用量経年!$J17,"")</f>
        <v>0</v>
      </c>
      <c r="S16" s="1852">
        <f ca="1">IFERROR($K16*44/12*参考2_エネ使用量経年!S17*参考2_エネ使用量経年!$K17,"")</f>
        <v>0</v>
      </c>
      <c r="T16" s="1851">
        <f ca="1">IFERROR($H16*44/12*参考2_エネ使用量経年!T17*参考2_エネ使用量経年!$H17,"")</f>
        <v>0</v>
      </c>
      <c r="U16" s="1851">
        <f ca="1">IFERROR($I16*44/12*参考2_エネ使用量経年!U17*参考2_エネ使用量経年!$I17,"")</f>
        <v>0</v>
      </c>
      <c r="V16" s="1851">
        <f ca="1">IFERROR($J16*44/12*参考2_エネ使用量経年!V17*参考2_エネ使用量経年!$J17,"")</f>
        <v>0</v>
      </c>
      <c r="W16" s="1851">
        <f ca="1">IFERROR($K16*44/12*参考2_エネ使用量経年!W17*参考2_エネ使用量経年!$K17,"")</f>
        <v>0</v>
      </c>
      <c r="X16" s="1853">
        <f ca="1">IFERROR($H16*44/12*参考2_エネ使用量経年!X17*参考2_エネ使用量経年!$H17,"")</f>
        <v>0</v>
      </c>
      <c r="Y16" s="1853">
        <f ca="1">IFERROR($I16*44/12*参考2_エネ使用量経年!Y17*参考2_エネ使用量経年!$I17,"")</f>
        <v>0</v>
      </c>
      <c r="Z16" s="1853">
        <f ca="1">IFERROR($J16*44/12*参考2_エネ使用量経年!Z17*参考2_エネ使用量経年!$J17,"")</f>
        <v>0</v>
      </c>
      <c r="AA16" s="1853">
        <f ca="1">IFERROR($K16*44/12*参考2_エネ使用量経年!AA17*参考2_エネ使用量経年!$K17,"")</f>
        <v>0</v>
      </c>
      <c r="AB16" s="1853"/>
      <c r="AC16" s="1853"/>
      <c r="AD16" s="1853"/>
      <c r="AE16" s="1853"/>
      <c r="AF16" s="1853"/>
      <c r="AG16" s="1853"/>
      <c r="AH16" s="1853"/>
      <c r="AI16" s="1853"/>
      <c r="AJ16" s="1853"/>
      <c r="AK16" s="1853"/>
      <c r="AL16" s="1853"/>
      <c r="AM16" s="1853"/>
      <c r="AN16" s="1853"/>
      <c r="AO16" s="1853"/>
      <c r="AP16" s="1853"/>
      <c r="AQ16" s="1853"/>
      <c r="AR16" s="1853"/>
      <c r="AS16" s="1853"/>
      <c r="AT16" s="1853"/>
      <c r="AU16" s="1853"/>
      <c r="AV16" s="1853"/>
      <c r="AW16" s="1853"/>
      <c r="AX16" s="1853"/>
      <c r="AY16" s="1853"/>
      <c r="AZ16" s="1853"/>
      <c r="BA16" s="1853"/>
      <c r="BB16" s="1853"/>
      <c r="BC16" s="1853"/>
      <c r="BD16" s="1853"/>
      <c r="BE16" s="1853"/>
      <c r="BF16" s="1853"/>
      <c r="BG16" s="1853"/>
      <c r="BH16" s="1853"/>
      <c r="BI16" s="1853"/>
      <c r="BJ16" s="1853"/>
      <c r="BK16" s="1853"/>
      <c r="BL16" s="1853"/>
      <c r="BM16" s="1853"/>
      <c r="BN16" s="1853"/>
      <c r="BO16" s="1853"/>
    </row>
    <row r="17" spans="1:67" ht="20.100000000000001" customHeight="1">
      <c r="A17" s="1845">
        <v>17</v>
      </c>
      <c r="B17" s="1854"/>
      <c r="C17" s="1847"/>
      <c r="D17" s="1848" t="s">
        <v>547</v>
      </c>
      <c r="E17" s="1848"/>
      <c r="F17" s="1849"/>
      <c r="G17" s="1225" t="s">
        <v>1109</v>
      </c>
      <c r="H17" s="1850">
        <f t="shared" ca="1" si="0"/>
        <v>2.0400000000000001E-2</v>
      </c>
      <c r="I17" s="1850">
        <f t="shared" ca="1" si="1"/>
        <v>2.0400000000000001E-2</v>
      </c>
      <c r="J17" s="1850">
        <f t="shared" ca="1" si="2"/>
        <v>2.0400000000000001E-2</v>
      </c>
      <c r="K17" s="1850">
        <f t="shared" ca="1" si="3"/>
        <v>2.0400000000000001E-2</v>
      </c>
      <c r="L17" s="1851">
        <f ca="1">IFERROR($H17*44/12*参考2_エネ使用量経年!L18*参考2_エネ使用量経年!$H18,"")</f>
        <v>0</v>
      </c>
      <c r="M17" s="1851">
        <f ca="1">IFERROR($I17*44/12*参考2_エネ使用量経年!M18*参考2_エネ使用量経年!$I18,"")</f>
        <v>0</v>
      </c>
      <c r="N17" s="1851">
        <f ca="1">IFERROR($J17*44/12*参考2_エネ使用量経年!N18*参考2_エネ使用量経年!$J18,"")</f>
        <v>0</v>
      </c>
      <c r="O17" s="1851">
        <f ca="1">IFERROR($K17*44/12*参考2_エネ使用量経年!O18*参考2_エネ使用量経年!$K18,"")</f>
        <v>0</v>
      </c>
      <c r="P17" s="1852">
        <f ca="1">IFERROR($H17*44/12*参考2_エネ使用量経年!P18*参考2_エネ使用量経年!$H18,"")</f>
        <v>0</v>
      </c>
      <c r="Q17" s="1852">
        <f ca="1">IFERROR($I17*44/12*参考2_エネ使用量経年!Q18*参考2_エネ使用量経年!$I18,"")</f>
        <v>0</v>
      </c>
      <c r="R17" s="1852">
        <f ca="1">IFERROR($J17*44/12*参考2_エネ使用量経年!R18*参考2_エネ使用量経年!$J18,"")</f>
        <v>0</v>
      </c>
      <c r="S17" s="1852">
        <f ca="1">IFERROR($K17*44/12*参考2_エネ使用量経年!S18*参考2_エネ使用量経年!$K18,"")</f>
        <v>0</v>
      </c>
      <c r="T17" s="1851">
        <f ca="1">IFERROR($H17*44/12*参考2_エネ使用量経年!T18*参考2_エネ使用量経年!$H18,"")</f>
        <v>0</v>
      </c>
      <c r="U17" s="1851">
        <f ca="1">IFERROR($I17*44/12*参考2_エネ使用量経年!U18*参考2_エネ使用量経年!$I18,"")</f>
        <v>0</v>
      </c>
      <c r="V17" s="1851">
        <f ca="1">IFERROR($J17*44/12*参考2_エネ使用量経年!V18*参考2_エネ使用量経年!$J18,"")</f>
        <v>0</v>
      </c>
      <c r="W17" s="1851">
        <f ca="1">IFERROR($K17*44/12*参考2_エネ使用量経年!W18*参考2_エネ使用量経年!$K18,"")</f>
        <v>0</v>
      </c>
      <c r="X17" s="1853">
        <f ca="1">IFERROR($H17*44/12*参考2_エネ使用量経年!X18*参考2_エネ使用量経年!$H18,"")</f>
        <v>0</v>
      </c>
      <c r="Y17" s="1853">
        <f ca="1">IFERROR($I17*44/12*参考2_エネ使用量経年!Y18*参考2_エネ使用量経年!$I18,"")</f>
        <v>0</v>
      </c>
      <c r="Z17" s="1853">
        <f ca="1">IFERROR($J17*44/12*参考2_エネ使用量経年!Z18*参考2_エネ使用量経年!$J18,"")</f>
        <v>0</v>
      </c>
      <c r="AA17" s="1853">
        <f ca="1">IFERROR($K17*44/12*参考2_エネ使用量経年!AA18*参考2_エネ使用量経年!$K18,"")</f>
        <v>0</v>
      </c>
      <c r="AB17" s="1853"/>
      <c r="AC17" s="1853"/>
      <c r="AD17" s="1853"/>
      <c r="AE17" s="1853"/>
      <c r="AF17" s="1853"/>
      <c r="AG17" s="1853"/>
      <c r="AH17" s="1853"/>
      <c r="AI17" s="1853"/>
      <c r="AJ17" s="1853"/>
      <c r="AK17" s="1853"/>
      <c r="AL17" s="1853"/>
      <c r="AM17" s="1853"/>
      <c r="AN17" s="1853"/>
      <c r="AO17" s="1853"/>
      <c r="AP17" s="1853"/>
      <c r="AQ17" s="1853"/>
      <c r="AR17" s="1853"/>
      <c r="AS17" s="1853"/>
      <c r="AT17" s="1853"/>
      <c r="AU17" s="1853"/>
      <c r="AV17" s="1853"/>
      <c r="AW17" s="1853"/>
      <c r="AX17" s="1853"/>
      <c r="AY17" s="1853"/>
      <c r="AZ17" s="1853"/>
      <c r="BA17" s="1853"/>
      <c r="BB17" s="1853"/>
      <c r="BC17" s="1853"/>
      <c r="BD17" s="1853"/>
      <c r="BE17" s="1853"/>
      <c r="BF17" s="1853"/>
      <c r="BG17" s="1853"/>
      <c r="BH17" s="1853"/>
      <c r="BI17" s="1853"/>
      <c r="BJ17" s="1853"/>
      <c r="BK17" s="1853"/>
      <c r="BL17" s="1853"/>
      <c r="BM17" s="1853"/>
      <c r="BN17" s="1853"/>
      <c r="BO17" s="1853"/>
    </row>
    <row r="18" spans="1:67" ht="20.100000000000001" customHeight="1">
      <c r="A18" s="1845">
        <v>18</v>
      </c>
      <c r="B18" s="1854"/>
      <c r="C18" s="1847"/>
      <c r="D18" s="1848" t="s">
        <v>549</v>
      </c>
      <c r="E18" s="1848"/>
      <c r="F18" s="1849"/>
      <c r="G18" s="1225" t="s">
        <v>1109</v>
      </c>
      <c r="H18" s="1850">
        <f t="shared" ca="1" si="0"/>
        <v>2.5399999999999999E-2</v>
      </c>
      <c r="I18" s="1850">
        <f t="shared" ca="1" si="1"/>
        <v>2.5399999999999999E-2</v>
      </c>
      <c r="J18" s="1850">
        <f t="shared" ca="1" si="2"/>
        <v>2.5399999999999999E-2</v>
      </c>
      <c r="K18" s="1850">
        <f t="shared" ca="1" si="3"/>
        <v>2.5399999999999999E-2</v>
      </c>
      <c r="L18" s="1851">
        <f ca="1">IFERROR($H18*44/12*参考2_エネ使用量経年!L19*参考2_エネ使用量経年!$H19,"")</f>
        <v>0</v>
      </c>
      <c r="M18" s="1851">
        <f ca="1">IFERROR($I18*44/12*参考2_エネ使用量経年!M19*参考2_エネ使用量経年!$I19,"")</f>
        <v>0</v>
      </c>
      <c r="N18" s="1851">
        <f ca="1">IFERROR($J18*44/12*参考2_エネ使用量経年!N19*参考2_エネ使用量経年!$J19,"")</f>
        <v>0</v>
      </c>
      <c r="O18" s="1851">
        <f ca="1">IFERROR($K18*44/12*参考2_エネ使用量経年!O19*参考2_エネ使用量経年!$K19,"")</f>
        <v>0</v>
      </c>
      <c r="P18" s="1852">
        <f ca="1">IFERROR($H18*44/12*参考2_エネ使用量経年!P19*参考2_エネ使用量経年!$H19,"")</f>
        <v>0</v>
      </c>
      <c r="Q18" s="1852">
        <f ca="1">IFERROR($I18*44/12*参考2_エネ使用量経年!Q19*参考2_エネ使用量経年!$I19,"")</f>
        <v>0</v>
      </c>
      <c r="R18" s="1852">
        <f ca="1">IFERROR($J18*44/12*参考2_エネ使用量経年!R19*参考2_エネ使用量経年!$J19,"")</f>
        <v>0</v>
      </c>
      <c r="S18" s="1852">
        <f ca="1">IFERROR($K18*44/12*参考2_エネ使用量経年!S19*参考2_エネ使用量経年!$K19,"")</f>
        <v>0</v>
      </c>
      <c r="T18" s="1851">
        <f ca="1">IFERROR($H18*44/12*参考2_エネ使用量経年!T19*参考2_エネ使用量経年!$H19,"")</f>
        <v>0</v>
      </c>
      <c r="U18" s="1851">
        <f ca="1">IFERROR($I18*44/12*参考2_エネ使用量経年!U19*参考2_エネ使用量経年!$I19,"")</f>
        <v>0</v>
      </c>
      <c r="V18" s="1851">
        <f ca="1">IFERROR($J18*44/12*参考2_エネ使用量経年!V19*参考2_エネ使用量経年!$J19,"")</f>
        <v>0</v>
      </c>
      <c r="W18" s="1851">
        <f ca="1">IFERROR($K18*44/12*参考2_エネ使用量経年!W19*参考2_エネ使用量経年!$K19,"")</f>
        <v>0</v>
      </c>
      <c r="X18" s="1853">
        <f ca="1">IFERROR($H18*44/12*参考2_エネ使用量経年!X19*参考2_エネ使用量経年!$H19,"")</f>
        <v>0</v>
      </c>
      <c r="Y18" s="1853">
        <f ca="1">IFERROR($I18*44/12*参考2_エネ使用量経年!Y19*参考2_エネ使用量経年!$I19,"")</f>
        <v>0</v>
      </c>
      <c r="Z18" s="1853">
        <f ca="1">IFERROR($J18*44/12*参考2_エネ使用量経年!Z19*参考2_エネ使用量経年!$J19,"")</f>
        <v>0</v>
      </c>
      <c r="AA18" s="1853">
        <f ca="1">IFERROR($K18*44/12*参考2_エネ使用量経年!AA19*参考2_エネ使用量経年!$K19,"")</f>
        <v>0</v>
      </c>
      <c r="AB18" s="1853"/>
      <c r="AC18" s="1853"/>
      <c r="AD18" s="1853"/>
      <c r="AE18" s="1853"/>
      <c r="AF18" s="1853"/>
      <c r="AG18" s="1853"/>
      <c r="AH18" s="1853"/>
      <c r="AI18" s="1853"/>
      <c r="AJ18" s="1853"/>
      <c r="AK18" s="1853"/>
      <c r="AL18" s="1853"/>
      <c r="AM18" s="1853"/>
      <c r="AN18" s="1853"/>
      <c r="AO18" s="1853"/>
      <c r="AP18" s="1853"/>
      <c r="AQ18" s="1853"/>
      <c r="AR18" s="1853"/>
      <c r="AS18" s="1853"/>
      <c r="AT18" s="1853"/>
      <c r="AU18" s="1853"/>
      <c r="AV18" s="1853"/>
      <c r="AW18" s="1853"/>
      <c r="AX18" s="1853"/>
      <c r="AY18" s="1853"/>
      <c r="AZ18" s="1853"/>
      <c r="BA18" s="1853"/>
      <c r="BB18" s="1853"/>
      <c r="BC18" s="1853"/>
      <c r="BD18" s="1853"/>
      <c r="BE18" s="1853"/>
      <c r="BF18" s="1853"/>
      <c r="BG18" s="1853"/>
      <c r="BH18" s="1853"/>
      <c r="BI18" s="1853"/>
      <c r="BJ18" s="1853"/>
      <c r="BK18" s="1853"/>
      <c r="BL18" s="1853"/>
      <c r="BM18" s="1853"/>
      <c r="BN18" s="1853"/>
      <c r="BO18" s="1853"/>
    </row>
    <row r="19" spans="1:67" ht="20.100000000000001" customHeight="1">
      <c r="A19" s="1845">
        <v>19</v>
      </c>
      <c r="B19" s="1855"/>
      <c r="C19" s="1847"/>
      <c r="D19" s="1848" t="s">
        <v>923</v>
      </c>
      <c r="E19" s="1848"/>
      <c r="F19" s="1849"/>
      <c r="G19" s="1225" t="s">
        <v>1109</v>
      </c>
      <c r="H19" s="1850">
        <f t="shared" ca="1" si="0"/>
        <v>1.6299999999999999E-2</v>
      </c>
      <c r="I19" s="1850">
        <f t="shared" ca="1" si="1"/>
        <v>1.6299999999999999E-2</v>
      </c>
      <c r="J19" s="1850">
        <f t="shared" ca="1" si="2"/>
        <v>1.6299999999999999E-2</v>
      </c>
      <c r="K19" s="1850">
        <f t="shared" ca="1" si="3"/>
        <v>1.6299999999999999E-2</v>
      </c>
      <c r="L19" s="1851">
        <f ca="1">IFERROR($H19*44/12*参考2_エネ使用量経年!L20*参考2_エネ使用量経年!$H20,"")</f>
        <v>0</v>
      </c>
      <c r="M19" s="1851">
        <f ca="1">IFERROR($I19*44/12*参考2_エネ使用量経年!M20*参考2_エネ使用量経年!$I20,"")</f>
        <v>0</v>
      </c>
      <c r="N19" s="1851">
        <f ca="1">IFERROR($J19*44/12*参考2_エネ使用量経年!N20*参考2_エネ使用量経年!$J20,"")</f>
        <v>0</v>
      </c>
      <c r="O19" s="1851">
        <f ca="1">IFERROR($K19*44/12*参考2_エネ使用量経年!O20*参考2_エネ使用量経年!$K20,"")</f>
        <v>0</v>
      </c>
      <c r="P19" s="1852">
        <f ca="1">IFERROR($H19*44/12*参考2_エネ使用量経年!P20*参考2_エネ使用量経年!$H20,"")</f>
        <v>0</v>
      </c>
      <c r="Q19" s="1852">
        <f ca="1">IFERROR($I19*44/12*参考2_エネ使用量経年!Q20*参考2_エネ使用量経年!$I20,"")</f>
        <v>0</v>
      </c>
      <c r="R19" s="1852">
        <f ca="1">IFERROR($J19*44/12*参考2_エネ使用量経年!R20*参考2_エネ使用量経年!$J20,"")</f>
        <v>0</v>
      </c>
      <c r="S19" s="1852">
        <f ca="1">IFERROR($K19*44/12*参考2_エネ使用量経年!S20*参考2_エネ使用量経年!$K20,"")</f>
        <v>0</v>
      </c>
      <c r="T19" s="1851">
        <f ca="1">IFERROR($H19*44/12*参考2_エネ使用量経年!T20*参考2_エネ使用量経年!$H20,"")</f>
        <v>0</v>
      </c>
      <c r="U19" s="1851">
        <f ca="1">IFERROR($I19*44/12*参考2_エネ使用量経年!U20*参考2_エネ使用量経年!$I20,"")</f>
        <v>0</v>
      </c>
      <c r="V19" s="1851">
        <f ca="1">IFERROR($J19*44/12*参考2_エネ使用量経年!V20*参考2_エネ使用量経年!$J20,"")</f>
        <v>0</v>
      </c>
      <c r="W19" s="1851">
        <f ca="1">IFERROR($K19*44/12*参考2_エネ使用量経年!W20*参考2_エネ使用量経年!$K20,"")</f>
        <v>0</v>
      </c>
      <c r="X19" s="1853">
        <f ca="1">IFERROR($H19*44/12*参考2_エネ使用量経年!X20*参考2_エネ使用量経年!$H20,"")</f>
        <v>0</v>
      </c>
      <c r="Y19" s="1853">
        <f ca="1">IFERROR($I19*44/12*参考2_エネ使用量経年!Y20*参考2_エネ使用量経年!$I20,"")</f>
        <v>0</v>
      </c>
      <c r="Z19" s="1853">
        <f ca="1">IFERROR($J19*44/12*参考2_エネ使用量経年!Z20*参考2_エネ使用量経年!$J20,"")</f>
        <v>0</v>
      </c>
      <c r="AA19" s="1853">
        <f ca="1">IFERROR($K19*44/12*参考2_エネ使用量経年!AA20*参考2_エネ使用量経年!$K20,"")</f>
        <v>0</v>
      </c>
      <c r="AB19" s="1853"/>
      <c r="AC19" s="1853"/>
      <c r="AD19" s="1853"/>
      <c r="AE19" s="1853"/>
      <c r="AF19" s="1853"/>
      <c r="AG19" s="1853"/>
      <c r="AH19" s="1853"/>
      <c r="AI19" s="1853"/>
      <c r="AJ19" s="1853"/>
      <c r="AK19" s="1853"/>
      <c r="AL19" s="1853"/>
      <c r="AM19" s="1853"/>
      <c r="AN19" s="1853"/>
      <c r="AO19" s="1853"/>
      <c r="AP19" s="1853"/>
      <c r="AQ19" s="1853"/>
      <c r="AR19" s="1853"/>
      <c r="AS19" s="1853"/>
      <c r="AT19" s="1853"/>
      <c r="AU19" s="1853"/>
      <c r="AV19" s="1853"/>
      <c r="AW19" s="1853"/>
      <c r="AX19" s="1853"/>
      <c r="AY19" s="1853"/>
      <c r="AZ19" s="1853"/>
      <c r="BA19" s="1853"/>
      <c r="BB19" s="1853"/>
      <c r="BC19" s="1853"/>
      <c r="BD19" s="1853"/>
      <c r="BE19" s="1853"/>
      <c r="BF19" s="1853"/>
      <c r="BG19" s="1853"/>
      <c r="BH19" s="1853"/>
      <c r="BI19" s="1853"/>
      <c r="BJ19" s="1853"/>
      <c r="BK19" s="1853"/>
      <c r="BL19" s="1853"/>
      <c r="BM19" s="1853"/>
      <c r="BN19" s="1853"/>
      <c r="BO19" s="1853"/>
    </row>
    <row r="20" spans="1:67" ht="20.100000000000001" customHeight="1">
      <c r="A20" s="1845">
        <v>20</v>
      </c>
      <c r="B20" s="1854"/>
      <c r="C20" s="1847"/>
      <c r="D20" s="1848" t="s">
        <v>924</v>
      </c>
      <c r="E20" s="1848"/>
      <c r="F20" s="1849"/>
      <c r="G20" s="1225" t="s">
        <v>1109</v>
      </c>
      <c r="H20" s="1850">
        <f t="shared" ca="1" si="0"/>
        <v>1.44E-2</v>
      </c>
      <c r="I20" s="1850">
        <f t="shared" ca="1" si="1"/>
        <v>1.44E-2</v>
      </c>
      <c r="J20" s="1850">
        <f t="shared" ca="1" si="2"/>
        <v>1.44E-2</v>
      </c>
      <c r="K20" s="1850">
        <f t="shared" ca="1" si="3"/>
        <v>1.44E-2</v>
      </c>
      <c r="L20" s="1851">
        <f ca="1">IFERROR($H20*44/12*参考2_エネ使用量経年!L21*参考2_エネ使用量経年!$H21,"")</f>
        <v>0</v>
      </c>
      <c r="M20" s="1851">
        <f ca="1">IFERROR($I20*44/12*参考2_エネ使用量経年!M21*参考2_エネ使用量経年!$I21,"")</f>
        <v>0</v>
      </c>
      <c r="N20" s="1851">
        <f ca="1">IFERROR($J20*44/12*参考2_エネ使用量経年!N21*参考2_エネ使用量経年!$J21,"")</f>
        <v>0</v>
      </c>
      <c r="O20" s="1851">
        <f ca="1">IFERROR($K20*44/12*参考2_エネ使用量経年!O21*参考2_エネ使用量経年!$K21,"")</f>
        <v>0</v>
      </c>
      <c r="P20" s="1852">
        <f ca="1">IFERROR($H20*44/12*参考2_エネ使用量経年!P21*参考2_エネ使用量経年!$H21,"")</f>
        <v>0</v>
      </c>
      <c r="Q20" s="1852">
        <f ca="1">IFERROR($I20*44/12*参考2_エネ使用量経年!Q21*参考2_エネ使用量経年!$I21,"")</f>
        <v>0</v>
      </c>
      <c r="R20" s="1852">
        <f ca="1">IFERROR($J20*44/12*参考2_エネ使用量経年!R21*参考2_エネ使用量経年!$J21,"")</f>
        <v>0</v>
      </c>
      <c r="S20" s="1852">
        <f ca="1">IFERROR($K20*44/12*参考2_エネ使用量経年!S21*参考2_エネ使用量経年!$K21,"")</f>
        <v>0</v>
      </c>
      <c r="T20" s="1851">
        <f ca="1">IFERROR($H20*44/12*参考2_エネ使用量経年!T21*参考2_エネ使用量経年!$H21,"")</f>
        <v>0</v>
      </c>
      <c r="U20" s="1851">
        <f ca="1">IFERROR($I20*44/12*参考2_エネ使用量経年!U21*参考2_エネ使用量経年!$I21,"")</f>
        <v>0</v>
      </c>
      <c r="V20" s="1851">
        <f ca="1">IFERROR($J20*44/12*参考2_エネ使用量経年!V21*参考2_エネ使用量経年!$J21,"")</f>
        <v>0</v>
      </c>
      <c r="W20" s="1851">
        <f ca="1">IFERROR($K20*44/12*参考2_エネ使用量経年!W21*参考2_エネ使用量経年!$K21,"")</f>
        <v>0</v>
      </c>
      <c r="X20" s="1853">
        <f ca="1">IFERROR($H20*44/12*参考2_エネ使用量経年!X21*参考2_エネ使用量経年!$H21,"")</f>
        <v>0</v>
      </c>
      <c r="Y20" s="1853">
        <f ca="1">IFERROR($I20*44/12*参考2_エネ使用量経年!Y21*参考2_エネ使用量経年!$I21,"")</f>
        <v>0</v>
      </c>
      <c r="Z20" s="1853">
        <f ca="1">IFERROR($J20*44/12*参考2_エネ使用量経年!Z21*参考2_エネ使用量経年!$J21,"")</f>
        <v>0</v>
      </c>
      <c r="AA20" s="1853">
        <f ca="1">IFERROR($K20*44/12*参考2_エネ使用量経年!AA21*参考2_エネ使用量経年!$K21,"")</f>
        <v>0</v>
      </c>
      <c r="AB20" s="1853"/>
      <c r="AC20" s="1853"/>
      <c r="AD20" s="1853"/>
      <c r="AE20" s="1853"/>
      <c r="AF20" s="1853"/>
      <c r="AG20" s="1853"/>
      <c r="AH20" s="1853"/>
      <c r="AI20" s="1853"/>
      <c r="AJ20" s="1853"/>
      <c r="AK20" s="1853"/>
      <c r="AL20" s="1853"/>
      <c r="AM20" s="1853"/>
      <c r="AN20" s="1853"/>
      <c r="AO20" s="1853"/>
      <c r="AP20" s="1853"/>
      <c r="AQ20" s="1853"/>
      <c r="AR20" s="1853"/>
      <c r="AS20" s="1853"/>
      <c r="AT20" s="1853"/>
      <c r="AU20" s="1853"/>
      <c r="AV20" s="1853"/>
      <c r="AW20" s="1853"/>
      <c r="AX20" s="1853"/>
      <c r="AY20" s="1853"/>
      <c r="AZ20" s="1853"/>
      <c r="BA20" s="1853"/>
      <c r="BB20" s="1853"/>
      <c r="BC20" s="1853"/>
      <c r="BD20" s="1853"/>
      <c r="BE20" s="1853"/>
      <c r="BF20" s="1853"/>
      <c r="BG20" s="1853"/>
      <c r="BH20" s="1853"/>
      <c r="BI20" s="1853"/>
      <c r="BJ20" s="1853"/>
      <c r="BK20" s="1853"/>
      <c r="BL20" s="1853"/>
      <c r="BM20" s="1853"/>
      <c r="BN20" s="1853"/>
      <c r="BO20" s="1853"/>
    </row>
    <row r="21" spans="1:67" ht="20.100000000000001" customHeight="1">
      <c r="A21" s="1845">
        <v>21</v>
      </c>
      <c r="B21" s="1855"/>
      <c r="C21" s="1847"/>
      <c r="D21" s="1848" t="s">
        <v>925</v>
      </c>
      <c r="E21" s="1837"/>
      <c r="F21" s="1849"/>
      <c r="G21" s="1225" t="s">
        <v>1109</v>
      </c>
      <c r="H21" s="1850">
        <f t="shared" ca="1" si="0"/>
        <v>1.3899999999999999E-2</v>
      </c>
      <c r="I21" s="1850">
        <f t="shared" ca="1" si="1"/>
        <v>1.3899999999999999E-2</v>
      </c>
      <c r="J21" s="1850">
        <f t="shared" ca="1" si="2"/>
        <v>1.3899999999999999E-2</v>
      </c>
      <c r="K21" s="1850">
        <f t="shared" ca="1" si="3"/>
        <v>1.3899999999999999E-2</v>
      </c>
      <c r="L21" s="1851">
        <f ca="1">IFERROR($H21*44/12*参考2_エネ使用量経年!L22*参考2_エネ使用量経年!$H22,"")</f>
        <v>0</v>
      </c>
      <c r="M21" s="1851">
        <f ca="1">IFERROR($I21*44/12*参考2_エネ使用量経年!M22*参考2_エネ使用量経年!$I22,"")</f>
        <v>0</v>
      </c>
      <c r="N21" s="1851">
        <f ca="1">IFERROR($J21*44/12*参考2_エネ使用量経年!N22*参考2_エネ使用量経年!$J22,"")</f>
        <v>0</v>
      </c>
      <c r="O21" s="1851">
        <f ca="1">IFERROR($K21*44/12*参考2_エネ使用量経年!O22*参考2_エネ使用量経年!$K22,"")</f>
        <v>0</v>
      </c>
      <c r="P21" s="1852">
        <f ca="1">IFERROR($H21*44/12*参考2_エネ使用量経年!P22*参考2_エネ使用量経年!$H22,"")</f>
        <v>0</v>
      </c>
      <c r="Q21" s="1852">
        <f ca="1">IFERROR($I21*44/12*参考2_エネ使用量経年!Q22*参考2_エネ使用量経年!$I22,"")</f>
        <v>0</v>
      </c>
      <c r="R21" s="1852">
        <f ca="1">IFERROR($J21*44/12*参考2_エネ使用量経年!R22*参考2_エネ使用量経年!$J22,"")</f>
        <v>0</v>
      </c>
      <c r="S21" s="1852">
        <f ca="1">IFERROR($K21*44/12*参考2_エネ使用量経年!S22*参考2_エネ使用量経年!$K22,"")</f>
        <v>0</v>
      </c>
      <c r="T21" s="1851">
        <f ca="1">IFERROR($H21*44/12*参考2_エネ使用量経年!T22*参考2_エネ使用量経年!$H22,"")</f>
        <v>0</v>
      </c>
      <c r="U21" s="1851">
        <f ca="1">IFERROR($I21*44/12*参考2_エネ使用量経年!U22*参考2_エネ使用量経年!$I22,"")</f>
        <v>0</v>
      </c>
      <c r="V21" s="1851">
        <f ca="1">IFERROR($J21*44/12*参考2_エネ使用量経年!V22*参考2_エネ使用量経年!$J22,"")</f>
        <v>0</v>
      </c>
      <c r="W21" s="1851">
        <f ca="1">IFERROR($K21*44/12*参考2_エネ使用量経年!W22*参考2_エネ使用量経年!$K22,"")</f>
        <v>0</v>
      </c>
      <c r="X21" s="1853">
        <f ca="1">IFERROR($H21*44/12*参考2_エネ使用量経年!X22*参考2_エネ使用量経年!$H22,"")</f>
        <v>0</v>
      </c>
      <c r="Y21" s="1853">
        <f ca="1">IFERROR($I21*44/12*参考2_エネ使用量経年!Y22*参考2_エネ使用量経年!$I22,"")</f>
        <v>0</v>
      </c>
      <c r="Z21" s="1853">
        <f ca="1">IFERROR($J21*44/12*参考2_エネ使用量経年!Z22*参考2_エネ使用量経年!$J22,"")</f>
        <v>0</v>
      </c>
      <c r="AA21" s="1853">
        <f ca="1">IFERROR($K21*44/12*参考2_エネ使用量経年!AA22*参考2_エネ使用量経年!$K22,"")</f>
        <v>0</v>
      </c>
      <c r="AB21" s="1853"/>
      <c r="AC21" s="1853"/>
      <c r="AD21" s="1853"/>
      <c r="AE21" s="1853"/>
      <c r="AF21" s="1853"/>
      <c r="AG21" s="1853"/>
      <c r="AH21" s="1853"/>
      <c r="AI21" s="1853"/>
      <c r="AJ21" s="1853"/>
      <c r="AK21" s="1853"/>
      <c r="AL21" s="1853"/>
      <c r="AM21" s="1853"/>
      <c r="AN21" s="1853"/>
      <c r="AO21" s="1853"/>
      <c r="AP21" s="1853"/>
      <c r="AQ21" s="1853"/>
      <c r="AR21" s="1853"/>
      <c r="AS21" s="1853"/>
      <c r="AT21" s="1853"/>
      <c r="AU21" s="1853"/>
      <c r="AV21" s="1853"/>
      <c r="AW21" s="1853"/>
      <c r="AX21" s="1853"/>
      <c r="AY21" s="1853"/>
      <c r="AZ21" s="1853"/>
      <c r="BA21" s="1853"/>
      <c r="BB21" s="1853"/>
      <c r="BC21" s="1853"/>
      <c r="BD21" s="1853"/>
      <c r="BE21" s="1853"/>
      <c r="BF21" s="1853"/>
      <c r="BG21" s="1853"/>
      <c r="BH21" s="1853"/>
      <c r="BI21" s="1853"/>
      <c r="BJ21" s="1853"/>
      <c r="BK21" s="1853"/>
      <c r="BL21" s="1853"/>
      <c r="BM21" s="1853"/>
      <c r="BN21" s="1853"/>
      <c r="BO21" s="1853"/>
    </row>
    <row r="22" spans="1:67" ht="20.100000000000001" customHeight="1">
      <c r="A22" s="1845">
        <v>22</v>
      </c>
      <c r="B22" s="1854"/>
      <c r="C22" s="1847"/>
      <c r="D22" s="1848" t="s">
        <v>926</v>
      </c>
      <c r="E22" s="1848"/>
      <c r="F22" s="1849"/>
      <c r="G22" s="1225" t="s">
        <v>1109</v>
      </c>
      <c r="H22" s="1850">
        <f t="shared" ca="1" si="0"/>
        <v>1.3899999999999999E-2</v>
      </c>
      <c r="I22" s="1850">
        <f t="shared" ca="1" si="1"/>
        <v>1.3899999999999999E-2</v>
      </c>
      <c r="J22" s="1850">
        <f t="shared" ca="1" si="2"/>
        <v>1.3899999999999999E-2</v>
      </c>
      <c r="K22" s="1850">
        <f t="shared" ca="1" si="3"/>
        <v>1.3899999999999999E-2</v>
      </c>
      <c r="L22" s="1851">
        <f ca="1">IFERROR($H22*44/12*参考2_エネ使用量経年!L23*参考2_エネ使用量経年!$H23,"")</f>
        <v>0</v>
      </c>
      <c r="M22" s="1851">
        <f ca="1">IFERROR($I22*44/12*参考2_エネ使用量経年!M23*参考2_エネ使用量経年!$I23,"")</f>
        <v>0</v>
      </c>
      <c r="N22" s="1851">
        <f ca="1">IFERROR($J22*44/12*参考2_エネ使用量経年!N23*参考2_エネ使用量経年!$J23,"")</f>
        <v>0</v>
      </c>
      <c r="O22" s="1851">
        <f ca="1">IFERROR($K22*44/12*参考2_エネ使用量経年!O23*参考2_エネ使用量経年!$K23,"")</f>
        <v>0</v>
      </c>
      <c r="P22" s="1852">
        <f ca="1">IFERROR($H22*44/12*参考2_エネ使用量経年!P23*参考2_エネ使用量経年!$H23,"")</f>
        <v>0</v>
      </c>
      <c r="Q22" s="1852">
        <f ca="1">IFERROR($I22*44/12*参考2_エネ使用量経年!Q23*参考2_エネ使用量経年!$I23,"")</f>
        <v>0</v>
      </c>
      <c r="R22" s="1852">
        <f ca="1">IFERROR($J22*44/12*参考2_エネ使用量経年!R23*参考2_エネ使用量経年!$J23,"")</f>
        <v>0</v>
      </c>
      <c r="S22" s="1852">
        <f ca="1">IFERROR($K22*44/12*参考2_エネ使用量経年!S23*参考2_エネ使用量経年!$K23,"")</f>
        <v>0</v>
      </c>
      <c r="T22" s="1851">
        <f ca="1">IFERROR($H22*44/12*参考2_エネ使用量経年!T23*参考2_エネ使用量経年!$H23,"")</f>
        <v>0</v>
      </c>
      <c r="U22" s="1851">
        <f ca="1">IFERROR($I22*44/12*参考2_エネ使用量経年!U23*参考2_エネ使用量経年!$I23,"")</f>
        <v>0</v>
      </c>
      <c r="V22" s="1851">
        <f ca="1">IFERROR($J22*44/12*参考2_エネ使用量経年!V23*参考2_エネ使用量経年!$J23,"")</f>
        <v>0</v>
      </c>
      <c r="W22" s="1851">
        <f ca="1">IFERROR($K22*44/12*参考2_エネ使用量経年!W23*参考2_エネ使用量経年!$K23,"")</f>
        <v>0</v>
      </c>
      <c r="X22" s="1853">
        <f ca="1">IFERROR($H22*44/12*参考2_エネ使用量経年!X23*参考2_エネ使用量経年!$H23,"")</f>
        <v>0</v>
      </c>
      <c r="Y22" s="1853">
        <f ca="1">IFERROR($I22*44/12*参考2_エネ使用量経年!Y23*参考2_エネ使用量経年!$I23,"")</f>
        <v>0</v>
      </c>
      <c r="Z22" s="1853">
        <f ca="1">IFERROR($J22*44/12*参考2_エネ使用量経年!Z23*参考2_エネ使用量経年!$J23,"")</f>
        <v>0</v>
      </c>
      <c r="AA22" s="1853">
        <f ca="1">IFERROR($K22*44/12*参考2_エネ使用量経年!AA23*参考2_エネ使用量経年!$K23,"")</f>
        <v>0</v>
      </c>
      <c r="AB22" s="1853"/>
      <c r="AC22" s="1853"/>
      <c r="AD22" s="1853"/>
      <c r="AE22" s="1853"/>
      <c r="AF22" s="1853"/>
      <c r="AG22" s="1853"/>
      <c r="AH22" s="1853"/>
      <c r="AI22" s="1853"/>
      <c r="AJ22" s="1853"/>
      <c r="AK22" s="1853"/>
      <c r="AL22" s="1853"/>
      <c r="AM22" s="1853"/>
      <c r="AN22" s="1853"/>
      <c r="AO22" s="1853"/>
      <c r="AP22" s="1853"/>
      <c r="AQ22" s="1853"/>
      <c r="AR22" s="1853"/>
      <c r="AS22" s="1853"/>
      <c r="AT22" s="1853"/>
      <c r="AU22" s="1853"/>
      <c r="AV22" s="1853"/>
      <c r="AW22" s="1853"/>
      <c r="AX22" s="1853"/>
      <c r="AY22" s="1853"/>
      <c r="AZ22" s="1853"/>
      <c r="BA22" s="1853"/>
      <c r="BB22" s="1853"/>
      <c r="BC22" s="1853"/>
      <c r="BD22" s="1853"/>
      <c r="BE22" s="1853"/>
      <c r="BF22" s="1853"/>
      <c r="BG22" s="1853"/>
      <c r="BH22" s="1853"/>
      <c r="BI22" s="1853"/>
      <c r="BJ22" s="1853"/>
      <c r="BK22" s="1853"/>
      <c r="BL22" s="1853"/>
      <c r="BM22" s="1853"/>
      <c r="BN22" s="1853"/>
      <c r="BO22" s="1853"/>
    </row>
    <row r="23" spans="1:67" ht="20.100000000000001" customHeight="1">
      <c r="A23" s="1845">
        <v>23</v>
      </c>
      <c r="B23" s="1854"/>
      <c r="C23" s="1847"/>
      <c r="D23" s="1848" t="s">
        <v>927</v>
      </c>
      <c r="E23" s="1848"/>
      <c r="F23" s="1849"/>
      <c r="G23" s="1225" t="s">
        <v>1109</v>
      </c>
      <c r="H23" s="1850">
        <f t="shared" ca="1" si="0"/>
        <v>2.46E-2</v>
      </c>
      <c r="I23" s="1850">
        <f t="shared" ca="1" si="1"/>
        <v>2.46E-2</v>
      </c>
      <c r="J23" s="1850">
        <f t="shared" ca="1" si="2"/>
        <v>2.46E-2</v>
      </c>
      <c r="K23" s="1850">
        <f t="shared" ca="1" si="3"/>
        <v>2.46E-2</v>
      </c>
      <c r="L23" s="1851">
        <f ca="1">IFERROR($H23*44/12*参考2_エネ使用量経年!L24*参考2_エネ使用量経年!$H24,"")</f>
        <v>0</v>
      </c>
      <c r="M23" s="1851">
        <f ca="1">IFERROR($I23*44/12*参考2_エネ使用量経年!M24*参考2_エネ使用量経年!$I24,"")</f>
        <v>0</v>
      </c>
      <c r="N23" s="1851">
        <f ca="1">IFERROR($J23*44/12*参考2_エネ使用量経年!N24*参考2_エネ使用量経年!$J24,"")</f>
        <v>0</v>
      </c>
      <c r="O23" s="1851">
        <f ca="1">IFERROR($K23*44/12*参考2_エネ使用量経年!O24*参考2_エネ使用量経年!$K24,"")</f>
        <v>0</v>
      </c>
      <c r="P23" s="1852">
        <f ca="1">IFERROR($H23*44/12*参考2_エネ使用量経年!P24*参考2_エネ使用量経年!$H24,"")</f>
        <v>0</v>
      </c>
      <c r="Q23" s="1852">
        <f ca="1">IFERROR($I23*44/12*参考2_エネ使用量経年!Q24*参考2_エネ使用量経年!$I24,"")</f>
        <v>0</v>
      </c>
      <c r="R23" s="1852">
        <f ca="1">IFERROR($J23*44/12*参考2_エネ使用量経年!R24*参考2_エネ使用量経年!$J24,"")</f>
        <v>0</v>
      </c>
      <c r="S23" s="1852">
        <f ca="1">IFERROR($K23*44/12*参考2_エネ使用量経年!S24*参考2_エネ使用量経年!$K24,"")</f>
        <v>0</v>
      </c>
      <c r="T23" s="1851">
        <f ca="1">IFERROR($H23*44/12*参考2_エネ使用量経年!T24*参考2_エネ使用量経年!$H24,"")</f>
        <v>0</v>
      </c>
      <c r="U23" s="1851">
        <f ca="1">IFERROR($I23*44/12*参考2_エネ使用量経年!U24*参考2_エネ使用量経年!$I24,"")</f>
        <v>0</v>
      </c>
      <c r="V23" s="1851">
        <f ca="1">IFERROR($J23*44/12*参考2_エネ使用量経年!V24*参考2_エネ使用量経年!$J24,"")</f>
        <v>0</v>
      </c>
      <c r="W23" s="1851">
        <f ca="1">IFERROR($K23*44/12*参考2_エネ使用量経年!W24*参考2_エネ使用量経年!$K24,"")</f>
        <v>0</v>
      </c>
      <c r="X23" s="1853">
        <f ca="1">IFERROR($H23*44/12*参考2_エネ使用量経年!X24*参考2_エネ使用量経年!$H24,"")</f>
        <v>0</v>
      </c>
      <c r="Y23" s="1853">
        <f ca="1">IFERROR($I23*44/12*参考2_エネ使用量経年!Y24*参考2_エネ使用量経年!$I24,"")</f>
        <v>0</v>
      </c>
      <c r="Z23" s="1853">
        <f ca="1">IFERROR($J23*44/12*参考2_エネ使用量経年!Z24*参考2_エネ使用量経年!$J24,"")</f>
        <v>0</v>
      </c>
      <c r="AA23" s="1853">
        <f ca="1">IFERROR($K23*44/12*参考2_エネ使用量経年!AA24*参考2_エネ使用量経年!$K24,"")</f>
        <v>0</v>
      </c>
      <c r="AB23" s="1853"/>
      <c r="AC23" s="1853"/>
      <c r="AD23" s="1853"/>
      <c r="AE23" s="1853"/>
      <c r="AF23" s="1853"/>
      <c r="AG23" s="1853"/>
      <c r="AH23" s="1853"/>
      <c r="AI23" s="1853"/>
      <c r="AJ23" s="1853"/>
      <c r="AK23" s="1853"/>
      <c r="AL23" s="1853"/>
      <c r="AM23" s="1853"/>
      <c r="AN23" s="1853"/>
      <c r="AO23" s="1853"/>
      <c r="AP23" s="1853"/>
      <c r="AQ23" s="1853"/>
      <c r="AR23" s="1853"/>
      <c r="AS23" s="1853"/>
      <c r="AT23" s="1853"/>
      <c r="AU23" s="1853"/>
      <c r="AV23" s="1853"/>
      <c r="AW23" s="1853"/>
      <c r="AX23" s="1853"/>
      <c r="AY23" s="1853"/>
      <c r="AZ23" s="1853"/>
      <c r="BA23" s="1853"/>
      <c r="BB23" s="1853"/>
      <c r="BC23" s="1853"/>
      <c r="BD23" s="1853"/>
      <c r="BE23" s="1853"/>
      <c r="BF23" s="1853"/>
      <c r="BG23" s="1853"/>
      <c r="BH23" s="1853"/>
      <c r="BI23" s="1853"/>
      <c r="BJ23" s="1853"/>
      <c r="BK23" s="1853"/>
      <c r="BL23" s="1853"/>
      <c r="BM23" s="1853"/>
      <c r="BN23" s="1853"/>
      <c r="BO23" s="1853"/>
    </row>
    <row r="24" spans="1:67" ht="20.100000000000001" customHeight="1">
      <c r="A24" s="1845">
        <v>24</v>
      </c>
      <c r="B24" s="1854"/>
      <c r="C24" s="1847"/>
      <c r="D24" s="1848" t="s">
        <v>928</v>
      </c>
      <c r="E24" s="1837"/>
      <c r="F24" s="1849"/>
      <c r="G24" s="1225" t="s">
        <v>1109</v>
      </c>
      <c r="H24" s="1850">
        <f t="shared" ca="1" si="0"/>
        <v>2.4500000000000001E-2</v>
      </c>
      <c r="I24" s="1850">
        <f t="shared" ca="1" si="1"/>
        <v>2.4500000000000001E-2</v>
      </c>
      <c r="J24" s="1850">
        <f t="shared" ca="1" si="2"/>
        <v>2.4500000000000001E-2</v>
      </c>
      <c r="K24" s="1850">
        <f t="shared" ca="1" si="3"/>
        <v>2.4500000000000001E-2</v>
      </c>
      <c r="L24" s="1851">
        <f ca="1">IFERROR($H24*44/12*参考2_エネ使用量経年!L25*参考2_エネ使用量経年!$H25,"")</f>
        <v>0</v>
      </c>
      <c r="M24" s="1851">
        <f ca="1">IFERROR($I24*44/12*参考2_エネ使用量経年!M25*参考2_エネ使用量経年!$I25,"")</f>
        <v>0</v>
      </c>
      <c r="N24" s="1851">
        <f ca="1">IFERROR($J24*44/12*参考2_エネ使用量経年!N25*参考2_エネ使用量経年!$J25,"")</f>
        <v>0</v>
      </c>
      <c r="O24" s="1851">
        <f ca="1">IFERROR($K24*44/12*参考2_エネ使用量経年!O25*参考2_エネ使用量経年!$K25,"")</f>
        <v>0</v>
      </c>
      <c r="P24" s="1852">
        <f ca="1">IFERROR($H24*44/12*参考2_エネ使用量経年!P25*参考2_エネ使用量経年!$H25,"")</f>
        <v>0</v>
      </c>
      <c r="Q24" s="1852">
        <f ca="1">IFERROR($I24*44/12*参考2_エネ使用量経年!Q25*参考2_エネ使用量経年!$I25,"")</f>
        <v>0</v>
      </c>
      <c r="R24" s="1852">
        <f ca="1">IFERROR($J24*44/12*参考2_エネ使用量経年!R25*参考2_エネ使用量経年!$J25,"")</f>
        <v>0</v>
      </c>
      <c r="S24" s="1852">
        <f ca="1">IFERROR($K24*44/12*参考2_エネ使用量経年!S25*参考2_エネ使用量経年!$K25,"")</f>
        <v>0</v>
      </c>
      <c r="T24" s="1851">
        <f ca="1">IFERROR($H24*44/12*参考2_エネ使用量経年!T25*参考2_エネ使用量経年!$H25,"")</f>
        <v>0</v>
      </c>
      <c r="U24" s="1851">
        <f ca="1">IFERROR($I24*44/12*参考2_エネ使用量経年!U25*参考2_エネ使用量経年!$I25,"")</f>
        <v>0</v>
      </c>
      <c r="V24" s="1851">
        <f ca="1">IFERROR($J24*44/12*参考2_エネ使用量経年!V25*参考2_エネ使用量経年!$J25,"")</f>
        <v>0</v>
      </c>
      <c r="W24" s="1851">
        <f ca="1">IFERROR($K24*44/12*参考2_エネ使用量経年!W25*参考2_エネ使用量経年!$K25,"")</f>
        <v>0</v>
      </c>
      <c r="X24" s="1853">
        <f ca="1">IFERROR($H24*44/12*参考2_エネ使用量経年!X25*参考2_エネ使用量経年!$H25,"")</f>
        <v>0</v>
      </c>
      <c r="Y24" s="1853">
        <f ca="1">IFERROR($I24*44/12*参考2_エネ使用量経年!Y25*参考2_エネ使用量経年!$I25,"")</f>
        <v>0</v>
      </c>
      <c r="Z24" s="1853">
        <f ca="1">IFERROR($J24*44/12*参考2_エネ使用量経年!Z25*参考2_エネ使用量経年!$J25,"")</f>
        <v>0</v>
      </c>
      <c r="AA24" s="1853">
        <f ca="1">IFERROR($K24*44/12*参考2_エネ使用量経年!AA25*参考2_エネ使用量経年!$K25,"")</f>
        <v>0</v>
      </c>
      <c r="AB24" s="1853"/>
      <c r="AC24" s="1853"/>
      <c r="AD24" s="1853"/>
      <c r="AE24" s="1853"/>
      <c r="AF24" s="1853"/>
      <c r="AG24" s="1853"/>
      <c r="AH24" s="1853"/>
      <c r="AI24" s="1853"/>
      <c r="AJ24" s="1853"/>
      <c r="AK24" s="1853"/>
      <c r="AL24" s="1853"/>
      <c r="AM24" s="1853"/>
      <c r="AN24" s="1853"/>
      <c r="AO24" s="1853"/>
      <c r="AP24" s="1853"/>
      <c r="AQ24" s="1853"/>
      <c r="AR24" s="1853"/>
      <c r="AS24" s="1853"/>
      <c r="AT24" s="1853"/>
      <c r="AU24" s="1853"/>
      <c r="AV24" s="1853"/>
      <c r="AW24" s="1853"/>
      <c r="AX24" s="1853"/>
      <c r="AY24" s="1853"/>
      <c r="AZ24" s="1853"/>
      <c r="BA24" s="1853"/>
      <c r="BB24" s="1853"/>
      <c r="BC24" s="1853"/>
      <c r="BD24" s="1853"/>
      <c r="BE24" s="1853"/>
      <c r="BF24" s="1853"/>
      <c r="BG24" s="1853"/>
      <c r="BH24" s="1853"/>
      <c r="BI24" s="1853"/>
      <c r="BJ24" s="1853"/>
      <c r="BK24" s="1853"/>
      <c r="BL24" s="1853"/>
      <c r="BM24" s="1853"/>
      <c r="BN24" s="1853"/>
      <c r="BO24" s="1853"/>
    </row>
    <row r="25" spans="1:67" ht="20.100000000000001" customHeight="1">
      <c r="A25" s="1845">
        <v>25</v>
      </c>
      <c r="B25" s="1854"/>
      <c r="C25" s="1847"/>
      <c r="D25" s="1848" t="s">
        <v>929</v>
      </c>
      <c r="E25" s="1848"/>
      <c r="F25" s="1849"/>
      <c r="G25" s="1225" t="s">
        <v>1109</v>
      </c>
      <c r="H25" s="1850">
        <f t="shared" ca="1" si="0"/>
        <v>2.5100000000000001E-2</v>
      </c>
      <c r="I25" s="1850">
        <f t="shared" ca="1" si="1"/>
        <v>2.5100000000000001E-2</v>
      </c>
      <c r="J25" s="1850">
        <f t="shared" ca="1" si="2"/>
        <v>2.5100000000000001E-2</v>
      </c>
      <c r="K25" s="1850">
        <f t="shared" ca="1" si="3"/>
        <v>2.5100000000000001E-2</v>
      </c>
      <c r="L25" s="1851">
        <f ca="1">IFERROR($H25*44/12*参考2_エネ使用量経年!L26*参考2_エネ使用量経年!$H26,"")</f>
        <v>0</v>
      </c>
      <c r="M25" s="1851">
        <f ca="1">IFERROR($I25*44/12*参考2_エネ使用量経年!M26*参考2_エネ使用量経年!$I26,"")</f>
        <v>0</v>
      </c>
      <c r="N25" s="1851">
        <f ca="1">IFERROR($J25*44/12*参考2_エネ使用量経年!N26*参考2_エネ使用量経年!$J26,"")</f>
        <v>0</v>
      </c>
      <c r="O25" s="1851">
        <f ca="1">IFERROR($K25*44/12*参考2_エネ使用量経年!O26*参考2_エネ使用量経年!$K26,"")</f>
        <v>0</v>
      </c>
      <c r="P25" s="1852">
        <f ca="1">IFERROR($H25*44/12*参考2_エネ使用量経年!P26*参考2_エネ使用量経年!$H26,"")</f>
        <v>0</v>
      </c>
      <c r="Q25" s="1852">
        <f ca="1">IFERROR($I25*44/12*参考2_エネ使用量経年!Q26*参考2_エネ使用量経年!$I26,"")</f>
        <v>0</v>
      </c>
      <c r="R25" s="1852">
        <f ca="1">IFERROR($J25*44/12*参考2_エネ使用量経年!R26*参考2_エネ使用量経年!$J26,"")</f>
        <v>0</v>
      </c>
      <c r="S25" s="1852">
        <f ca="1">IFERROR($K25*44/12*参考2_エネ使用量経年!S26*参考2_エネ使用量経年!$K26,"")</f>
        <v>0</v>
      </c>
      <c r="T25" s="1851">
        <f ca="1">IFERROR($H25*44/12*参考2_エネ使用量経年!T26*参考2_エネ使用量経年!$H26,"")</f>
        <v>0</v>
      </c>
      <c r="U25" s="1851">
        <f ca="1">IFERROR($I25*44/12*参考2_エネ使用量経年!U26*参考2_エネ使用量経年!$I26,"")</f>
        <v>0</v>
      </c>
      <c r="V25" s="1851">
        <f ca="1">IFERROR($J25*44/12*参考2_エネ使用量経年!V26*参考2_エネ使用量経年!$J26,"")</f>
        <v>0</v>
      </c>
      <c r="W25" s="1851">
        <f ca="1">IFERROR($K25*44/12*参考2_エネ使用量経年!W26*参考2_エネ使用量経年!$K26,"")</f>
        <v>0</v>
      </c>
      <c r="X25" s="1853">
        <f ca="1">IFERROR($H25*44/12*参考2_エネ使用量経年!X26*参考2_エネ使用量経年!$H26,"")</f>
        <v>0</v>
      </c>
      <c r="Y25" s="1853">
        <f ca="1">IFERROR($I25*44/12*参考2_エネ使用量経年!Y26*参考2_エネ使用量経年!$I26,"")</f>
        <v>0</v>
      </c>
      <c r="Z25" s="1853">
        <f ca="1">IFERROR($J25*44/12*参考2_エネ使用量経年!Z26*参考2_エネ使用量経年!$J26,"")</f>
        <v>0</v>
      </c>
      <c r="AA25" s="1853">
        <f ca="1">IFERROR($K25*44/12*参考2_エネ使用量経年!AA26*参考2_エネ使用量経年!$K26,"")</f>
        <v>0</v>
      </c>
      <c r="AB25" s="1853"/>
      <c r="AC25" s="1853"/>
      <c r="AD25" s="1853"/>
      <c r="AE25" s="1853"/>
      <c r="AF25" s="1853"/>
      <c r="AG25" s="1853"/>
      <c r="AH25" s="1853"/>
      <c r="AI25" s="1853"/>
      <c r="AJ25" s="1853"/>
      <c r="AK25" s="1853"/>
      <c r="AL25" s="1853"/>
      <c r="AM25" s="1853"/>
      <c r="AN25" s="1853"/>
      <c r="AO25" s="1853"/>
      <c r="AP25" s="1853"/>
      <c r="AQ25" s="1853"/>
      <c r="AR25" s="1853"/>
      <c r="AS25" s="1853"/>
      <c r="AT25" s="1853"/>
      <c r="AU25" s="1853"/>
      <c r="AV25" s="1853"/>
      <c r="AW25" s="1853"/>
      <c r="AX25" s="1853"/>
      <c r="AY25" s="1853"/>
      <c r="AZ25" s="1853"/>
      <c r="BA25" s="1853"/>
      <c r="BB25" s="1853"/>
      <c r="BC25" s="1853"/>
      <c r="BD25" s="1853"/>
      <c r="BE25" s="1853"/>
      <c r="BF25" s="1853"/>
      <c r="BG25" s="1853"/>
      <c r="BH25" s="1853"/>
      <c r="BI25" s="1853"/>
      <c r="BJ25" s="1853"/>
      <c r="BK25" s="1853"/>
      <c r="BL25" s="1853"/>
      <c r="BM25" s="1853"/>
      <c r="BN25" s="1853"/>
      <c r="BO25" s="1853"/>
    </row>
    <row r="26" spans="1:67" ht="20.100000000000001" customHeight="1">
      <c r="A26" s="1845">
        <v>26</v>
      </c>
      <c r="B26" s="1854"/>
      <c r="C26" s="1847"/>
      <c r="D26" s="1848" t="s">
        <v>930</v>
      </c>
      <c r="E26" s="1848"/>
      <c r="F26" s="1849"/>
      <c r="G26" s="1225" t="s">
        <v>1109</v>
      </c>
      <c r="H26" s="1850">
        <f t="shared" ca="1" si="0"/>
        <v>2.4299999999999999E-2</v>
      </c>
      <c r="I26" s="1850">
        <f t="shared" ca="1" si="1"/>
        <v>2.4299999999999999E-2</v>
      </c>
      <c r="J26" s="1850">
        <f t="shared" ca="1" si="2"/>
        <v>2.4299999999999999E-2</v>
      </c>
      <c r="K26" s="1850">
        <f t="shared" ca="1" si="3"/>
        <v>2.4299999999999999E-2</v>
      </c>
      <c r="L26" s="1851">
        <f ca="1">IFERROR($H26*44/12*参考2_エネ使用量経年!L27*参考2_エネ使用量経年!$H27,"")</f>
        <v>0</v>
      </c>
      <c r="M26" s="1851">
        <f ca="1">IFERROR($I26*44/12*参考2_エネ使用量経年!M27*参考2_エネ使用量経年!$I27,"")</f>
        <v>0</v>
      </c>
      <c r="N26" s="1851">
        <f ca="1">IFERROR($J26*44/12*参考2_エネ使用量経年!N27*参考2_エネ使用量経年!$J27,"")</f>
        <v>0</v>
      </c>
      <c r="O26" s="1851">
        <f ca="1">IFERROR($K26*44/12*参考2_エネ使用量経年!O27*参考2_エネ使用量経年!$K27,"")</f>
        <v>0</v>
      </c>
      <c r="P26" s="1852">
        <f ca="1">IFERROR($H26*44/12*参考2_エネ使用量経年!P27*参考2_エネ使用量経年!$H27,"")</f>
        <v>0</v>
      </c>
      <c r="Q26" s="1852">
        <f ca="1">IFERROR($I26*44/12*参考2_エネ使用量経年!Q27*参考2_エネ使用量経年!$I27,"")</f>
        <v>0</v>
      </c>
      <c r="R26" s="1852">
        <f ca="1">IFERROR($J26*44/12*参考2_エネ使用量経年!R27*参考2_エネ使用量経年!$J27,"")</f>
        <v>0</v>
      </c>
      <c r="S26" s="1852">
        <f ca="1">IFERROR($K26*44/12*参考2_エネ使用量経年!S27*参考2_エネ使用量経年!$K27,"")</f>
        <v>0</v>
      </c>
      <c r="T26" s="1851">
        <f ca="1">IFERROR($H26*44/12*参考2_エネ使用量経年!T27*参考2_エネ使用量経年!$H27,"")</f>
        <v>0</v>
      </c>
      <c r="U26" s="1851">
        <f ca="1">IFERROR($I26*44/12*参考2_エネ使用量経年!U27*参考2_エネ使用量経年!$I27,"")</f>
        <v>0</v>
      </c>
      <c r="V26" s="1851">
        <f ca="1">IFERROR($J26*44/12*参考2_エネ使用量経年!V27*参考2_エネ使用量経年!$J27,"")</f>
        <v>0</v>
      </c>
      <c r="W26" s="1851">
        <f ca="1">IFERROR($K26*44/12*参考2_エネ使用量経年!W27*参考2_エネ使用量経年!$K27,"")</f>
        <v>0</v>
      </c>
      <c r="X26" s="1853">
        <f ca="1">IFERROR($H26*44/12*参考2_エネ使用量経年!X27*参考2_エネ使用量経年!$H27,"")</f>
        <v>0</v>
      </c>
      <c r="Y26" s="1853">
        <f ca="1">IFERROR($I26*44/12*参考2_エネ使用量経年!Y27*参考2_エネ使用量経年!$I27,"")</f>
        <v>0</v>
      </c>
      <c r="Z26" s="1853">
        <f ca="1">IFERROR($J26*44/12*参考2_エネ使用量経年!Z27*参考2_エネ使用量経年!$J27,"")</f>
        <v>0</v>
      </c>
      <c r="AA26" s="1853">
        <f ca="1">IFERROR($K26*44/12*参考2_エネ使用量経年!AA27*参考2_エネ使用量経年!$K27,"")</f>
        <v>0</v>
      </c>
      <c r="AB26" s="1853"/>
      <c r="AC26" s="1853"/>
      <c r="AD26" s="1853"/>
      <c r="AE26" s="1853"/>
      <c r="AF26" s="1853"/>
      <c r="AG26" s="1853"/>
      <c r="AH26" s="1853"/>
      <c r="AI26" s="1853"/>
      <c r="AJ26" s="1853"/>
      <c r="AK26" s="1853"/>
      <c r="AL26" s="1853"/>
      <c r="AM26" s="1853"/>
      <c r="AN26" s="1853"/>
      <c r="AO26" s="1853"/>
      <c r="AP26" s="1853"/>
      <c r="AQ26" s="1853"/>
      <c r="AR26" s="1853"/>
      <c r="AS26" s="1853"/>
      <c r="AT26" s="1853"/>
      <c r="AU26" s="1853"/>
      <c r="AV26" s="1853"/>
      <c r="AW26" s="1853"/>
      <c r="AX26" s="1853"/>
      <c r="AY26" s="1853"/>
      <c r="AZ26" s="1853"/>
      <c r="BA26" s="1853"/>
      <c r="BB26" s="1853"/>
      <c r="BC26" s="1853"/>
      <c r="BD26" s="1853"/>
      <c r="BE26" s="1853"/>
      <c r="BF26" s="1853"/>
      <c r="BG26" s="1853"/>
      <c r="BH26" s="1853"/>
      <c r="BI26" s="1853"/>
      <c r="BJ26" s="1853"/>
      <c r="BK26" s="1853"/>
      <c r="BL26" s="1853"/>
      <c r="BM26" s="1853"/>
      <c r="BN26" s="1853"/>
      <c r="BO26" s="1853"/>
    </row>
    <row r="27" spans="1:67" ht="20.100000000000001" customHeight="1">
      <c r="A27" s="1845">
        <v>27</v>
      </c>
      <c r="B27" s="1854"/>
      <c r="C27" s="1847"/>
      <c r="D27" s="1848" t="s">
        <v>931</v>
      </c>
      <c r="E27" s="1848"/>
      <c r="F27" s="1849"/>
      <c r="G27" s="1225" t="s">
        <v>1109</v>
      </c>
      <c r="H27" s="1850">
        <f t="shared" ca="1" si="0"/>
        <v>2.4199999999999999E-2</v>
      </c>
      <c r="I27" s="1850">
        <f t="shared" ca="1" si="1"/>
        <v>2.4199999999999999E-2</v>
      </c>
      <c r="J27" s="1850">
        <f t="shared" ca="1" si="2"/>
        <v>2.4199999999999999E-2</v>
      </c>
      <c r="K27" s="1850">
        <f t="shared" ca="1" si="3"/>
        <v>2.4199999999999999E-2</v>
      </c>
      <c r="L27" s="1851">
        <f ca="1">IFERROR($H27*44/12*参考2_エネ使用量経年!L28*参考2_エネ使用量経年!$H28,"")</f>
        <v>0</v>
      </c>
      <c r="M27" s="1851">
        <f ca="1">IFERROR($I27*44/12*参考2_エネ使用量経年!M28*参考2_エネ使用量経年!$I28,"")</f>
        <v>0</v>
      </c>
      <c r="N27" s="1851">
        <f ca="1">IFERROR($J27*44/12*参考2_エネ使用量経年!N28*参考2_エネ使用量経年!$J28,"")</f>
        <v>0</v>
      </c>
      <c r="O27" s="1851">
        <f ca="1">IFERROR($K27*44/12*参考2_エネ使用量経年!O28*参考2_エネ使用量経年!$K28,"")</f>
        <v>0</v>
      </c>
      <c r="P27" s="1852">
        <f ca="1">IFERROR($H27*44/12*参考2_エネ使用量経年!P28*参考2_エネ使用量経年!$H28,"")</f>
        <v>0</v>
      </c>
      <c r="Q27" s="1852">
        <f ca="1">IFERROR($I27*44/12*参考2_エネ使用量経年!Q28*参考2_エネ使用量経年!$I28,"")</f>
        <v>0</v>
      </c>
      <c r="R27" s="1852">
        <f ca="1">IFERROR($J27*44/12*参考2_エネ使用量経年!R28*参考2_エネ使用量経年!$J28,"")</f>
        <v>0</v>
      </c>
      <c r="S27" s="1852">
        <f ca="1">IFERROR($K27*44/12*参考2_エネ使用量経年!S28*参考2_エネ使用量経年!$K28,"")</f>
        <v>0</v>
      </c>
      <c r="T27" s="1851">
        <f ca="1">IFERROR($H27*44/12*参考2_エネ使用量経年!T28*参考2_エネ使用量経年!$H28,"")</f>
        <v>0</v>
      </c>
      <c r="U27" s="1851">
        <f ca="1">IFERROR($I27*44/12*参考2_エネ使用量経年!U28*参考2_エネ使用量経年!$I28,"")</f>
        <v>0</v>
      </c>
      <c r="V27" s="1851">
        <f ca="1">IFERROR($J27*44/12*参考2_エネ使用量経年!V28*参考2_エネ使用量経年!$J28,"")</f>
        <v>0</v>
      </c>
      <c r="W27" s="1851">
        <f ca="1">IFERROR($K27*44/12*参考2_エネ使用量経年!W28*参考2_エネ使用量経年!$K28,"")</f>
        <v>0</v>
      </c>
      <c r="X27" s="1853">
        <f ca="1">IFERROR($H27*44/12*参考2_エネ使用量経年!X28*参考2_エネ使用量経年!$H28,"")</f>
        <v>0</v>
      </c>
      <c r="Y27" s="1853">
        <f ca="1">IFERROR($I27*44/12*参考2_エネ使用量経年!Y28*参考2_エネ使用量経年!$I28,"")</f>
        <v>0</v>
      </c>
      <c r="Z27" s="1853">
        <f ca="1">IFERROR($J27*44/12*参考2_エネ使用量経年!Z28*参考2_エネ使用量経年!$J28,"")</f>
        <v>0</v>
      </c>
      <c r="AA27" s="1853">
        <f ca="1">IFERROR($K27*44/12*参考2_エネ使用量経年!AA28*参考2_エネ使用量経年!$K28,"")</f>
        <v>0</v>
      </c>
      <c r="AB27" s="1853"/>
      <c r="AC27" s="1853"/>
      <c r="AD27" s="1853"/>
      <c r="AE27" s="1853"/>
      <c r="AF27" s="1853"/>
      <c r="AG27" s="1853"/>
      <c r="AH27" s="1853"/>
      <c r="AI27" s="1853"/>
      <c r="AJ27" s="1853"/>
      <c r="AK27" s="1853"/>
      <c r="AL27" s="1853"/>
      <c r="AM27" s="1853"/>
      <c r="AN27" s="1853"/>
      <c r="AO27" s="1853"/>
      <c r="AP27" s="1853"/>
      <c r="AQ27" s="1853"/>
      <c r="AR27" s="1853"/>
      <c r="AS27" s="1853"/>
      <c r="AT27" s="1853"/>
      <c r="AU27" s="1853"/>
      <c r="AV27" s="1853"/>
      <c r="AW27" s="1853"/>
      <c r="AX27" s="1853"/>
      <c r="AY27" s="1853"/>
      <c r="AZ27" s="1853"/>
      <c r="BA27" s="1853"/>
      <c r="BB27" s="1853"/>
      <c r="BC27" s="1853"/>
      <c r="BD27" s="1853"/>
      <c r="BE27" s="1853"/>
      <c r="BF27" s="1853"/>
      <c r="BG27" s="1853"/>
      <c r="BH27" s="1853"/>
      <c r="BI27" s="1853"/>
      <c r="BJ27" s="1853"/>
      <c r="BK27" s="1853"/>
      <c r="BL27" s="1853"/>
      <c r="BM27" s="1853"/>
      <c r="BN27" s="1853"/>
      <c r="BO27" s="1853"/>
    </row>
    <row r="28" spans="1:67" ht="20.100000000000001" customHeight="1">
      <c r="A28" s="1845">
        <v>28</v>
      </c>
      <c r="B28" s="1854"/>
      <c r="C28" s="1847"/>
      <c r="D28" s="1848" t="s">
        <v>932</v>
      </c>
      <c r="E28" s="1848"/>
      <c r="F28" s="1849"/>
      <c r="G28" s="1225" t="s">
        <v>1109</v>
      </c>
      <c r="H28" s="1850">
        <f t="shared" ca="1" si="0"/>
        <v>2.5899999999999999E-2</v>
      </c>
      <c r="I28" s="1850">
        <f t="shared" ca="1" si="1"/>
        <v>2.5899999999999999E-2</v>
      </c>
      <c r="J28" s="1850">
        <f t="shared" ca="1" si="2"/>
        <v>2.5899999999999999E-2</v>
      </c>
      <c r="K28" s="1850">
        <f t="shared" ca="1" si="3"/>
        <v>2.5899999999999999E-2</v>
      </c>
      <c r="L28" s="1851">
        <f ca="1">IFERROR($H28*44/12*参考2_エネ使用量経年!L29*参考2_エネ使用量経年!$H29,"")</f>
        <v>0</v>
      </c>
      <c r="M28" s="1851">
        <f ca="1">IFERROR($I28*44/12*参考2_エネ使用量経年!M29*参考2_エネ使用量経年!$I29,"")</f>
        <v>0</v>
      </c>
      <c r="N28" s="1851">
        <f ca="1">IFERROR($J28*44/12*参考2_エネ使用量経年!N29*参考2_エネ使用量経年!$J29,"")</f>
        <v>0</v>
      </c>
      <c r="O28" s="1851">
        <f ca="1">IFERROR($K28*44/12*参考2_エネ使用量経年!O29*参考2_エネ使用量経年!$K29,"")</f>
        <v>0</v>
      </c>
      <c r="P28" s="1852">
        <f ca="1">IFERROR($H28*44/12*参考2_エネ使用量経年!P29*参考2_エネ使用量経年!$H29,"")</f>
        <v>0</v>
      </c>
      <c r="Q28" s="1852">
        <f ca="1">IFERROR($I28*44/12*参考2_エネ使用量経年!Q29*参考2_エネ使用量経年!$I29,"")</f>
        <v>0</v>
      </c>
      <c r="R28" s="1852">
        <f ca="1">IFERROR($J28*44/12*参考2_エネ使用量経年!R29*参考2_エネ使用量経年!$J29,"")</f>
        <v>0</v>
      </c>
      <c r="S28" s="1852">
        <f ca="1">IFERROR($K28*44/12*参考2_エネ使用量経年!S29*参考2_エネ使用量経年!$K29,"")</f>
        <v>0</v>
      </c>
      <c r="T28" s="1851">
        <f ca="1">IFERROR($H28*44/12*参考2_エネ使用量経年!T29*参考2_エネ使用量経年!$H29,"")</f>
        <v>0</v>
      </c>
      <c r="U28" s="1851">
        <f ca="1">IFERROR($I28*44/12*参考2_エネ使用量経年!U29*参考2_エネ使用量経年!$I29,"")</f>
        <v>0</v>
      </c>
      <c r="V28" s="1851">
        <f ca="1">IFERROR($J28*44/12*参考2_エネ使用量経年!V29*参考2_エネ使用量経年!$J29,"")</f>
        <v>0</v>
      </c>
      <c r="W28" s="1851">
        <f ca="1">IFERROR($K28*44/12*参考2_エネ使用量経年!W29*参考2_エネ使用量経年!$K29,"")</f>
        <v>0</v>
      </c>
      <c r="X28" s="1853">
        <f ca="1">IFERROR($H28*44/12*参考2_エネ使用量経年!X29*参考2_エネ使用量経年!$H29,"")</f>
        <v>0</v>
      </c>
      <c r="Y28" s="1853">
        <f ca="1">IFERROR($I28*44/12*参考2_エネ使用量経年!Y29*参考2_エネ使用量経年!$I29,"")</f>
        <v>0</v>
      </c>
      <c r="Z28" s="1853">
        <f ca="1">IFERROR($J28*44/12*参考2_エネ使用量経年!Z29*参考2_エネ使用量経年!$J29,"")</f>
        <v>0</v>
      </c>
      <c r="AA28" s="1853">
        <f ca="1">IFERROR($K28*44/12*参考2_エネ使用量経年!AA29*参考2_エネ使用量経年!$K29,"")</f>
        <v>0</v>
      </c>
      <c r="AB28" s="1853"/>
      <c r="AC28" s="1853"/>
      <c r="AD28" s="1853"/>
      <c r="AE28" s="1853"/>
      <c r="AF28" s="1853"/>
      <c r="AG28" s="1853"/>
      <c r="AH28" s="1853"/>
      <c r="AI28" s="1853"/>
      <c r="AJ28" s="1853"/>
      <c r="AK28" s="1853"/>
      <c r="AL28" s="1853"/>
      <c r="AM28" s="1853"/>
      <c r="AN28" s="1853"/>
      <c r="AO28" s="1853"/>
      <c r="AP28" s="1853"/>
      <c r="AQ28" s="1853"/>
      <c r="AR28" s="1853"/>
      <c r="AS28" s="1853"/>
      <c r="AT28" s="1853"/>
      <c r="AU28" s="1853"/>
      <c r="AV28" s="1853"/>
      <c r="AW28" s="1853"/>
      <c r="AX28" s="1853"/>
      <c r="AY28" s="1853"/>
      <c r="AZ28" s="1853"/>
      <c r="BA28" s="1853"/>
      <c r="BB28" s="1853"/>
      <c r="BC28" s="1853"/>
      <c r="BD28" s="1853"/>
      <c r="BE28" s="1853"/>
      <c r="BF28" s="1853"/>
      <c r="BG28" s="1853"/>
      <c r="BH28" s="1853"/>
      <c r="BI28" s="1853"/>
      <c r="BJ28" s="1853"/>
      <c r="BK28" s="1853"/>
      <c r="BL28" s="1853"/>
      <c r="BM28" s="1853"/>
      <c r="BN28" s="1853"/>
      <c r="BO28" s="1853"/>
    </row>
    <row r="29" spans="1:67" ht="20.100000000000001" customHeight="1">
      <c r="A29" s="1845">
        <v>29</v>
      </c>
      <c r="B29" s="1854"/>
      <c r="C29" s="1847"/>
      <c r="D29" s="1848" t="s">
        <v>558</v>
      </c>
      <c r="E29" s="1848"/>
      <c r="F29" s="1849"/>
      <c r="G29" s="1225" t="s">
        <v>1109</v>
      </c>
      <c r="H29" s="1850">
        <f t="shared" ca="1" si="0"/>
        <v>2.9899999999999999E-2</v>
      </c>
      <c r="I29" s="1850">
        <f t="shared" ca="1" si="1"/>
        <v>2.9899999999999999E-2</v>
      </c>
      <c r="J29" s="1850">
        <f t="shared" ca="1" si="2"/>
        <v>2.9899999999999999E-2</v>
      </c>
      <c r="K29" s="1850">
        <f t="shared" ca="1" si="3"/>
        <v>2.9899999999999999E-2</v>
      </c>
      <c r="L29" s="1851">
        <f ca="1">IFERROR($H29*44/12*参考2_エネ使用量経年!L30*参考2_エネ使用量経年!$H30,"")</f>
        <v>0</v>
      </c>
      <c r="M29" s="1851">
        <f ca="1">IFERROR($I29*44/12*参考2_エネ使用量経年!M30*参考2_エネ使用量経年!$I30,"")</f>
        <v>0</v>
      </c>
      <c r="N29" s="1851">
        <f ca="1">IFERROR($J29*44/12*参考2_エネ使用量経年!N30*参考2_エネ使用量経年!$J30,"")</f>
        <v>0</v>
      </c>
      <c r="O29" s="1851">
        <f ca="1">IFERROR($K29*44/12*参考2_エネ使用量経年!O30*参考2_エネ使用量経年!$K30,"")</f>
        <v>0</v>
      </c>
      <c r="P29" s="1852">
        <f ca="1">IFERROR($H29*44/12*参考2_エネ使用量経年!P30*参考2_エネ使用量経年!$H30,"")</f>
        <v>0</v>
      </c>
      <c r="Q29" s="1852">
        <f ca="1">IFERROR($I29*44/12*参考2_エネ使用量経年!Q30*参考2_エネ使用量経年!$I30,"")</f>
        <v>0</v>
      </c>
      <c r="R29" s="1852">
        <f ca="1">IFERROR($J29*44/12*参考2_エネ使用量経年!R30*参考2_エネ使用量経年!$J30,"")</f>
        <v>0</v>
      </c>
      <c r="S29" s="1852">
        <f ca="1">IFERROR($K29*44/12*参考2_エネ使用量経年!S30*参考2_エネ使用量経年!$K30,"")</f>
        <v>0</v>
      </c>
      <c r="T29" s="1851">
        <f ca="1">IFERROR($H29*44/12*参考2_エネ使用量経年!T30*参考2_エネ使用量経年!$H30,"")</f>
        <v>0</v>
      </c>
      <c r="U29" s="1851">
        <f ca="1">IFERROR($I29*44/12*参考2_エネ使用量経年!U30*参考2_エネ使用量経年!$I30,"")</f>
        <v>0</v>
      </c>
      <c r="V29" s="1851">
        <f ca="1">IFERROR($J29*44/12*参考2_エネ使用量経年!V30*参考2_エネ使用量経年!$J30,"")</f>
        <v>0</v>
      </c>
      <c r="W29" s="1851">
        <f ca="1">IFERROR($K29*44/12*参考2_エネ使用量経年!W30*参考2_エネ使用量経年!$K30,"")</f>
        <v>0</v>
      </c>
      <c r="X29" s="1853">
        <f ca="1">IFERROR($H29*44/12*参考2_エネ使用量経年!X30*参考2_エネ使用量経年!$H30,"")</f>
        <v>0</v>
      </c>
      <c r="Y29" s="1853">
        <f ca="1">IFERROR($I29*44/12*参考2_エネ使用量経年!Y30*参考2_エネ使用量経年!$I30,"")</f>
        <v>0</v>
      </c>
      <c r="Z29" s="1853">
        <f ca="1">IFERROR($J29*44/12*参考2_エネ使用量経年!Z30*参考2_エネ使用量経年!$J30,"")</f>
        <v>0</v>
      </c>
      <c r="AA29" s="1853">
        <f ca="1">IFERROR($K29*44/12*参考2_エネ使用量経年!AA30*参考2_エネ使用量経年!$K30,"")</f>
        <v>0</v>
      </c>
      <c r="AB29" s="1853"/>
      <c r="AC29" s="1853"/>
      <c r="AD29" s="1853"/>
      <c r="AE29" s="1853"/>
      <c r="AF29" s="1853"/>
      <c r="AG29" s="1853"/>
      <c r="AH29" s="1853"/>
      <c r="AI29" s="1853"/>
      <c r="AJ29" s="1853"/>
      <c r="AK29" s="1853"/>
      <c r="AL29" s="1853"/>
      <c r="AM29" s="1853"/>
      <c r="AN29" s="1853"/>
      <c r="AO29" s="1853"/>
      <c r="AP29" s="1853"/>
      <c r="AQ29" s="1853"/>
      <c r="AR29" s="1853"/>
      <c r="AS29" s="1853"/>
      <c r="AT29" s="1853"/>
      <c r="AU29" s="1853"/>
      <c r="AV29" s="1853"/>
      <c r="AW29" s="1853"/>
      <c r="AX29" s="1853"/>
      <c r="AY29" s="1853"/>
      <c r="AZ29" s="1853"/>
      <c r="BA29" s="1853"/>
      <c r="BB29" s="1853"/>
      <c r="BC29" s="1853"/>
      <c r="BD29" s="1853"/>
      <c r="BE29" s="1853"/>
      <c r="BF29" s="1853"/>
      <c r="BG29" s="1853"/>
      <c r="BH29" s="1853"/>
      <c r="BI29" s="1853"/>
      <c r="BJ29" s="1853"/>
      <c r="BK29" s="1853"/>
      <c r="BL29" s="1853"/>
      <c r="BM29" s="1853"/>
      <c r="BN29" s="1853"/>
      <c r="BO29" s="1853"/>
    </row>
    <row r="30" spans="1:67" ht="20.100000000000001" customHeight="1">
      <c r="A30" s="1845">
        <v>30</v>
      </c>
      <c r="B30" s="1854"/>
      <c r="C30" s="1847"/>
      <c r="D30" s="1848" t="s">
        <v>559</v>
      </c>
      <c r="E30" s="1837"/>
      <c r="F30" s="1849"/>
      <c r="G30" s="1225" t="s">
        <v>1109</v>
      </c>
      <c r="H30" s="1850">
        <f t="shared" ca="1" si="0"/>
        <v>2.0899999999999998E-2</v>
      </c>
      <c r="I30" s="1850">
        <f t="shared" ca="1" si="1"/>
        <v>2.0899999999999998E-2</v>
      </c>
      <c r="J30" s="1850">
        <f t="shared" ca="1" si="2"/>
        <v>2.0899999999999998E-2</v>
      </c>
      <c r="K30" s="1850">
        <f t="shared" ca="1" si="3"/>
        <v>2.0899999999999998E-2</v>
      </c>
      <c r="L30" s="1851">
        <f ca="1">IFERROR($H30*44/12*参考2_エネ使用量経年!L31*参考2_エネ使用量経年!$H31,"")</f>
        <v>0</v>
      </c>
      <c r="M30" s="1851">
        <f ca="1">IFERROR($I30*44/12*参考2_エネ使用量経年!M31*参考2_エネ使用量経年!$I31,"")</f>
        <v>0</v>
      </c>
      <c r="N30" s="1851">
        <f ca="1">IFERROR($J30*44/12*参考2_エネ使用量経年!N31*参考2_エネ使用量経年!$J31,"")</f>
        <v>0</v>
      </c>
      <c r="O30" s="1851">
        <f ca="1">IFERROR($K30*44/12*参考2_エネ使用量経年!O31*参考2_エネ使用量経年!$K31,"")</f>
        <v>0</v>
      </c>
      <c r="P30" s="1852">
        <f ca="1">IFERROR($H30*44/12*参考2_エネ使用量経年!P31*参考2_エネ使用量経年!$H31,"")</f>
        <v>0</v>
      </c>
      <c r="Q30" s="1852">
        <f ca="1">IFERROR($I30*44/12*参考2_エネ使用量経年!Q31*参考2_エネ使用量経年!$I31,"")</f>
        <v>0</v>
      </c>
      <c r="R30" s="1852">
        <f ca="1">IFERROR($J30*44/12*参考2_エネ使用量経年!R31*参考2_エネ使用量経年!$J31,"")</f>
        <v>0</v>
      </c>
      <c r="S30" s="1852">
        <f ca="1">IFERROR($K30*44/12*参考2_エネ使用量経年!S31*参考2_エネ使用量経年!$K31,"")</f>
        <v>0</v>
      </c>
      <c r="T30" s="1851">
        <f ca="1">IFERROR($H30*44/12*参考2_エネ使用量経年!T31*参考2_エネ使用量経年!$H31,"")</f>
        <v>0</v>
      </c>
      <c r="U30" s="1851">
        <f ca="1">IFERROR($I30*44/12*参考2_エネ使用量経年!U31*参考2_エネ使用量経年!$I31,"")</f>
        <v>0</v>
      </c>
      <c r="V30" s="1851">
        <f ca="1">IFERROR($J30*44/12*参考2_エネ使用量経年!V31*参考2_エネ使用量経年!$J31,"")</f>
        <v>0</v>
      </c>
      <c r="W30" s="1851">
        <f ca="1">IFERROR($K30*44/12*参考2_エネ使用量経年!W31*参考2_エネ使用量経年!$K31,"")</f>
        <v>0</v>
      </c>
      <c r="X30" s="1853">
        <f ca="1">IFERROR($H30*44/12*参考2_エネ使用量経年!X31*参考2_エネ使用量経年!$H31,"")</f>
        <v>0</v>
      </c>
      <c r="Y30" s="1853">
        <f ca="1">IFERROR($I30*44/12*参考2_エネ使用量経年!Y31*参考2_エネ使用量経年!$I31,"")</f>
        <v>0</v>
      </c>
      <c r="Z30" s="1853">
        <f ca="1">IFERROR($J30*44/12*参考2_エネ使用量経年!Z31*参考2_エネ使用量経年!$J31,"")</f>
        <v>0</v>
      </c>
      <c r="AA30" s="1853">
        <f ca="1">IFERROR($K30*44/12*参考2_エネ使用量経年!AA31*参考2_エネ使用量経年!$K31,"")</f>
        <v>0</v>
      </c>
      <c r="AB30" s="1853"/>
      <c r="AC30" s="1853"/>
      <c r="AD30" s="1853"/>
      <c r="AE30" s="1853"/>
      <c r="AF30" s="1853"/>
      <c r="AG30" s="1853"/>
      <c r="AH30" s="1853"/>
      <c r="AI30" s="1853"/>
      <c r="AJ30" s="1853"/>
      <c r="AK30" s="1853"/>
      <c r="AL30" s="1853"/>
      <c r="AM30" s="1853"/>
      <c r="AN30" s="1853"/>
      <c r="AO30" s="1853"/>
      <c r="AP30" s="1853"/>
      <c r="AQ30" s="1853"/>
      <c r="AR30" s="1853"/>
      <c r="AS30" s="1853"/>
      <c r="AT30" s="1853"/>
      <c r="AU30" s="1853"/>
      <c r="AV30" s="1853"/>
      <c r="AW30" s="1853"/>
      <c r="AX30" s="1853"/>
      <c r="AY30" s="1853"/>
      <c r="AZ30" s="1853"/>
      <c r="BA30" s="1853"/>
      <c r="BB30" s="1853"/>
      <c r="BC30" s="1853"/>
      <c r="BD30" s="1853"/>
      <c r="BE30" s="1853"/>
      <c r="BF30" s="1853"/>
      <c r="BG30" s="1853"/>
      <c r="BH30" s="1853"/>
      <c r="BI30" s="1853"/>
      <c r="BJ30" s="1853"/>
      <c r="BK30" s="1853"/>
      <c r="BL30" s="1853"/>
      <c r="BM30" s="1853"/>
      <c r="BN30" s="1853"/>
      <c r="BO30" s="1853"/>
    </row>
    <row r="31" spans="1:67" ht="20.100000000000001" customHeight="1">
      <c r="A31" s="1845">
        <v>31</v>
      </c>
      <c r="B31" s="1854"/>
      <c r="C31" s="1847"/>
      <c r="D31" s="1848" t="s">
        <v>560</v>
      </c>
      <c r="E31" s="1848"/>
      <c r="F31" s="1849"/>
      <c r="G31" s="1225" t="s">
        <v>1109</v>
      </c>
      <c r="H31" s="1850">
        <f t="shared" ca="1" si="0"/>
        <v>1.09E-2</v>
      </c>
      <c r="I31" s="1850">
        <f t="shared" ca="1" si="1"/>
        <v>1.09E-2</v>
      </c>
      <c r="J31" s="1850">
        <f t="shared" ca="1" si="2"/>
        <v>1.09E-2</v>
      </c>
      <c r="K31" s="1850">
        <f t="shared" ca="1" si="3"/>
        <v>1.09E-2</v>
      </c>
      <c r="L31" s="1851">
        <f ca="1">IFERROR($H31*44/12*参考2_エネ使用量経年!L32*参考2_エネ使用量経年!$H32,"")</f>
        <v>0</v>
      </c>
      <c r="M31" s="1851">
        <f ca="1">IFERROR($I31*44/12*参考2_エネ使用量経年!M32*参考2_エネ使用量経年!$I32,"")</f>
        <v>0</v>
      </c>
      <c r="N31" s="1851">
        <f ca="1">IFERROR($J31*44/12*参考2_エネ使用量経年!N32*参考2_エネ使用量経年!$J32,"")</f>
        <v>0</v>
      </c>
      <c r="O31" s="1851">
        <f ca="1">IFERROR($K31*44/12*参考2_エネ使用量経年!O32*参考2_エネ使用量経年!$K32,"")</f>
        <v>0</v>
      </c>
      <c r="P31" s="1852">
        <f ca="1">IFERROR($H31*44/12*参考2_エネ使用量経年!P32*参考2_エネ使用量経年!$H32,"")</f>
        <v>0</v>
      </c>
      <c r="Q31" s="1852">
        <f ca="1">IFERROR($I31*44/12*参考2_エネ使用量経年!Q32*参考2_エネ使用量経年!$I32,"")</f>
        <v>0</v>
      </c>
      <c r="R31" s="1852">
        <f ca="1">IFERROR($J31*44/12*参考2_エネ使用量経年!R32*参考2_エネ使用量経年!$J32,"")</f>
        <v>0</v>
      </c>
      <c r="S31" s="1852">
        <f ca="1">IFERROR($K31*44/12*参考2_エネ使用量経年!S32*参考2_エネ使用量経年!$K32,"")</f>
        <v>0</v>
      </c>
      <c r="T31" s="1851">
        <f ca="1">IFERROR($H31*44/12*参考2_エネ使用量経年!T32*参考2_エネ使用量経年!$H32,"")</f>
        <v>0</v>
      </c>
      <c r="U31" s="1851">
        <f ca="1">IFERROR($I31*44/12*参考2_エネ使用量経年!U32*参考2_エネ使用量経年!$I32,"")</f>
        <v>0</v>
      </c>
      <c r="V31" s="1851">
        <f ca="1">IFERROR($J31*44/12*参考2_エネ使用量経年!V32*参考2_エネ使用量経年!$J32,"")</f>
        <v>0</v>
      </c>
      <c r="W31" s="1851">
        <f ca="1">IFERROR($K31*44/12*参考2_エネ使用量経年!W32*参考2_エネ使用量経年!$K32,"")</f>
        <v>0</v>
      </c>
      <c r="X31" s="1853">
        <f ca="1">IFERROR($H31*44/12*参考2_エネ使用量経年!X32*参考2_エネ使用量経年!$H32,"")</f>
        <v>0</v>
      </c>
      <c r="Y31" s="1853">
        <f ca="1">IFERROR($I31*44/12*参考2_エネ使用量経年!Y32*参考2_エネ使用量経年!$I32,"")</f>
        <v>0</v>
      </c>
      <c r="Z31" s="1853">
        <f ca="1">IFERROR($J31*44/12*参考2_エネ使用量経年!Z32*参考2_エネ使用量経年!$J32,"")</f>
        <v>0</v>
      </c>
      <c r="AA31" s="1853">
        <f ca="1">IFERROR($K31*44/12*参考2_エネ使用量経年!AA32*参考2_エネ使用量経年!$K32,"")</f>
        <v>0</v>
      </c>
      <c r="AB31" s="1853"/>
      <c r="AC31" s="1853"/>
      <c r="AD31" s="1853"/>
      <c r="AE31" s="1853"/>
      <c r="AF31" s="1853"/>
      <c r="AG31" s="1853"/>
      <c r="AH31" s="1853"/>
      <c r="AI31" s="1853"/>
      <c r="AJ31" s="1853"/>
      <c r="AK31" s="1853"/>
      <c r="AL31" s="1853"/>
      <c r="AM31" s="1853"/>
      <c r="AN31" s="1853"/>
      <c r="AO31" s="1853"/>
      <c r="AP31" s="1853"/>
      <c r="AQ31" s="1853"/>
      <c r="AR31" s="1853"/>
      <c r="AS31" s="1853"/>
      <c r="AT31" s="1853"/>
      <c r="AU31" s="1853"/>
      <c r="AV31" s="1853"/>
      <c r="AW31" s="1853"/>
      <c r="AX31" s="1853"/>
      <c r="AY31" s="1853"/>
      <c r="AZ31" s="1853"/>
      <c r="BA31" s="1853"/>
      <c r="BB31" s="1853"/>
      <c r="BC31" s="1853"/>
      <c r="BD31" s="1853"/>
      <c r="BE31" s="1853"/>
      <c r="BF31" s="1853"/>
      <c r="BG31" s="1853"/>
      <c r="BH31" s="1853"/>
      <c r="BI31" s="1853"/>
      <c r="BJ31" s="1853"/>
      <c r="BK31" s="1853"/>
      <c r="BL31" s="1853"/>
      <c r="BM31" s="1853"/>
      <c r="BN31" s="1853"/>
      <c r="BO31" s="1853"/>
    </row>
    <row r="32" spans="1:67" ht="20.100000000000001" customHeight="1">
      <c r="A32" s="1845">
        <v>32</v>
      </c>
      <c r="B32" s="1854"/>
      <c r="C32" s="1847"/>
      <c r="D32" s="1848" t="s">
        <v>561</v>
      </c>
      <c r="E32" s="1848"/>
      <c r="F32" s="1849"/>
      <c r="G32" s="1225" t="s">
        <v>1109</v>
      </c>
      <c r="H32" s="1850">
        <f t="shared" ca="1" si="0"/>
        <v>2.64E-2</v>
      </c>
      <c r="I32" s="1850">
        <f t="shared" ca="1" si="1"/>
        <v>2.64E-2</v>
      </c>
      <c r="J32" s="1850">
        <f t="shared" ca="1" si="2"/>
        <v>2.64E-2</v>
      </c>
      <c r="K32" s="1850">
        <f t="shared" ca="1" si="3"/>
        <v>2.64E-2</v>
      </c>
      <c r="L32" s="1851">
        <f ca="1">IFERROR($H32*44/12*参考2_エネ使用量経年!L33*参考2_エネ使用量経年!$H33,"")</f>
        <v>0</v>
      </c>
      <c r="M32" s="1851">
        <f ca="1">IFERROR($I32*44/12*参考2_エネ使用量経年!M33*参考2_エネ使用量経年!$I33,"")</f>
        <v>0</v>
      </c>
      <c r="N32" s="1851">
        <f ca="1">IFERROR($J32*44/12*参考2_エネ使用量経年!N33*参考2_エネ使用量経年!$J33,"")</f>
        <v>0</v>
      </c>
      <c r="O32" s="1851">
        <f ca="1">IFERROR($K32*44/12*参考2_エネ使用量経年!O33*参考2_エネ使用量経年!$K33,"")</f>
        <v>0</v>
      </c>
      <c r="P32" s="1852">
        <f ca="1">IFERROR($H32*44/12*参考2_エネ使用量経年!P33*参考2_エネ使用量経年!$H33,"")</f>
        <v>0</v>
      </c>
      <c r="Q32" s="1852">
        <f ca="1">IFERROR($I32*44/12*参考2_エネ使用量経年!Q33*参考2_エネ使用量経年!$I33,"")</f>
        <v>0</v>
      </c>
      <c r="R32" s="1852">
        <f ca="1">IFERROR($J32*44/12*参考2_エネ使用量経年!R33*参考2_エネ使用量経年!$J33,"")</f>
        <v>0</v>
      </c>
      <c r="S32" s="1852">
        <f ca="1">IFERROR($K32*44/12*参考2_エネ使用量経年!S33*参考2_エネ使用量経年!$K33,"")</f>
        <v>0</v>
      </c>
      <c r="T32" s="1851">
        <f ca="1">IFERROR($H32*44/12*参考2_エネ使用量経年!T33*参考2_エネ使用量経年!$H33,"")</f>
        <v>0</v>
      </c>
      <c r="U32" s="1851">
        <f ca="1">IFERROR($I32*44/12*参考2_エネ使用量経年!U33*参考2_エネ使用量経年!$I33,"")</f>
        <v>0</v>
      </c>
      <c r="V32" s="1851">
        <f ca="1">IFERROR($J32*44/12*参考2_エネ使用量経年!V33*参考2_エネ使用量経年!$J33,"")</f>
        <v>0</v>
      </c>
      <c r="W32" s="1851">
        <f ca="1">IFERROR($K32*44/12*参考2_エネ使用量経年!W33*参考2_エネ使用量経年!$K33,"")</f>
        <v>0</v>
      </c>
      <c r="X32" s="1853">
        <f ca="1">IFERROR($H32*44/12*参考2_エネ使用量経年!X33*参考2_エネ使用量経年!$H33,"")</f>
        <v>0</v>
      </c>
      <c r="Y32" s="1853">
        <f ca="1">IFERROR($I32*44/12*参考2_エネ使用量経年!Y33*参考2_エネ使用量経年!$I33,"")</f>
        <v>0</v>
      </c>
      <c r="Z32" s="1853">
        <f ca="1">IFERROR($J32*44/12*参考2_エネ使用量経年!Z33*参考2_エネ使用量経年!$J33,"")</f>
        <v>0</v>
      </c>
      <c r="AA32" s="1853">
        <f ca="1">IFERROR($K32*44/12*参考2_エネ使用量経年!AA33*参考2_エネ使用量経年!$K33,"")</f>
        <v>0</v>
      </c>
      <c r="AB32" s="1853"/>
      <c r="AC32" s="1853"/>
      <c r="AD32" s="1853"/>
      <c r="AE32" s="1853"/>
      <c r="AF32" s="1853"/>
      <c r="AG32" s="1853"/>
      <c r="AH32" s="1853"/>
      <c r="AI32" s="1853"/>
      <c r="AJ32" s="1853"/>
      <c r="AK32" s="1853"/>
      <c r="AL32" s="1853"/>
      <c r="AM32" s="1853"/>
      <c r="AN32" s="1853"/>
      <c r="AO32" s="1853"/>
      <c r="AP32" s="1853"/>
      <c r="AQ32" s="1853"/>
      <c r="AR32" s="1853"/>
      <c r="AS32" s="1853"/>
      <c r="AT32" s="1853"/>
      <c r="AU32" s="1853"/>
      <c r="AV32" s="1853"/>
      <c r="AW32" s="1853"/>
      <c r="AX32" s="1853"/>
      <c r="AY32" s="1853"/>
      <c r="AZ32" s="1853"/>
      <c r="BA32" s="1853"/>
      <c r="BB32" s="1853"/>
      <c r="BC32" s="1853"/>
      <c r="BD32" s="1853"/>
      <c r="BE32" s="1853"/>
      <c r="BF32" s="1853"/>
      <c r="BG32" s="1853"/>
      <c r="BH32" s="1853"/>
      <c r="BI32" s="1853"/>
      <c r="BJ32" s="1853"/>
      <c r="BK32" s="1853"/>
      <c r="BL32" s="1853"/>
      <c r="BM32" s="1853"/>
      <c r="BN32" s="1853"/>
      <c r="BO32" s="1853"/>
    </row>
    <row r="33" spans="1:67" ht="20.100000000000001" customHeight="1">
      <c r="A33" s="1845">
        <v>33</v>
      </c>
      <c r="B33" s="1854"/>
      <c r="C33" s="1847"/>
      <c r="D33" s="1848" t="s">
        <v>933</v>
      </c>
      <c r="E33" s="1848"/>
      <c r="F33" s="1849"/>
      <c r="G33" s="1225" t="s">
        <v>1109</v>
      </c>
      <c r="H33" s="1850">
        <f t="shared" ca="1" si="0"/>
        <v>2.64E-2</v>
      </c>
      <c r="I33" s="1850">
        <f t="shared" ca="1" si="1"/>
        <v>2.64E-2</v>
      </c>
      <c r="J33" s="1850">
        <f t="shared" ca="1" si="2"/>
        <v>2.64E-2</v>
      </c>
      <c r="K33" s="1850">
        <f t="shared" ca="1" si="3"/>
        <v>2.64E-2</v>
      </c>
      <c r="L33" s="1851">
        <f ca="1">IFERROR($H33*44/12*参考2_エネ使用量経年!L34*参考2_エネ使用量経年!$H34,"")</f>
        <v>0</v>
      </c>
      <c r="M33" s="1851">
        <f ca="1">IFERROR($I33*44/12*参考2_エネ使用量経年!M34*参考2_エネ使用量経年!$I34,"")</f>
        <v>0</v>
      </c>
      <c r="N33" s="1851">
        <f ca="1">IFERROR($J33*44/12*参考2_エネ使用量経年!N34*参考2_エネ使用量経年!$J34,"")</f>
        <v>0</v>
      </c>
      <c r="O33" s="1851">
        <f ca="1">IFERROR($K33*44/12*参考2_エネ使用量経年!O34*参考2_エネ使用量経年!$K34,"")</f>
        <v>0</v>
      </c>
      <c r="P33" s="1852">
        <f ca="1">IFERROR($H33*44/12*参考2_エネ使用量経年!P34*参考2_エネ使用量経年!$H34,"")</f>
        <v>0</v>
      </c>
      <c r="Q33" s="1852">
        <f ca="1">IFERROR($I33*44/12*参考2_エネ使用量経年!Q34*参考2_エネ使用量経年!$I34,"")</f>
        <v>0</v>
      </c>
      <c r="R33" s="1852">
        <f ca="1">IFERROR($J33*44/12*参考2_エネ使用量経年!R34*参考2_エネ使用量経年!$J34,"")</f>
        <v>0</v>
      </c>
      <c r="S33" s="1852">
        <f ca="1">IFERROR($K33*44/12*参考2_エネ使用量経年!S34*参考2_エネ使用量経年!$K34,"")</f>
        <v>0</v>
      </c>
      <c r="T33" s="1851">
        <f ca="1">IFERROR($H33*44/12*参考2_エネ使用量経年!T34*参考2_エネ使用量経年!$H34,"")</f>
        <v>0</v>
      </c>
      <c r="U33" s="1851">
        <f ca="1">IFERROR($I33*44/12*参考2_エネ使用量経年!U34*参考2_エネ使用量経年!$I34,"")</f>
        <v>0</v>
      </c>
      <c r="V33" s="1851">
        <f ca="1">IFERROR($J33*44/12*参考2_エネ使用量経年!V34*参考2_エネ使用量経年!$J34,"")</f>
        <v>0</v>
      </c>
      <c r="W33" s="1851">
        <f ca="1">IFERROR($K33*44/12*参考2_エネ使用量経年!W34*参考2_エネ使用量経年!$K34,"")</f>
        <v>0</v>
      </c>
      <c r="X33" s="1853">
        <f ca="1">IFERROR($H33*44/12*参考2_エネ使用量経年!X34*参考2_エネ使用量経年!$H34,"")</f>
        <v>0</v>
      </c>
      <c r="Y33" s="1853">
        <f ca="1">IFERROR($I33*44/12*参考2_エネ使用量経年!Y34*参考2_エネ使用量経年!$I34,"")</f>
        <v>0</v>
      </c>
      <c r="Z33" s="1853">
        <f ca="1">IFERROR($J33*44/12*参考2_エネ使用量経年!Z34*参考2_エネ使用量経年!$J34,"")</f>
        <v>0</v>
      </c>
      <c r="AA33" s="1853">
        <f ca="1">IFERROR($K33*44/12*参考2_エネ使用量経年!AA34*参考2_エネ使用量経年!$K34,"")</f>
        <v>0</v>
      </c>
      <c r="AB33" s="1853"/>
      <c r="AC33" s="1853"/>
      <c r="AD33" s="1853"/>
      <c r="AE33" s="1853"/>
      <c r="AF33" s="1853"/>
      <c r="AG33" s="1853"/>
      <c r="AH33" s="1853"/>
      <c r="AI33" s="1853"/>
      <c r="AJ33" s="1853"/>
      <c r="AK33" s="1853"/>
      <c r="AL33" s="1853"/>
      <c r="AM33" s="1853"/>
      <c r="AN33" s="1853"/>
      <c r="AO33" s="1853"/>
      <c r="AP33" s="1853"/>
      <c r="AQ33" s="1853"/>
      <c r="AR33" s="1853"/>
      <c r="AS33" s="1853"/>
      <c r="AT33" s="1853"/>
      <c r="AU33" s="1853"/>
      <c r="AV33" s="1853"/>
      <c r="AW33" s="1853"/>
      <c r="AX33" s="1853"/>
      <c r="AY33" s="1853"/>
      <c r="AZ33" s="1853"/>
      <c r="BA33" s="1853"/>
      <c r="BB33" s="1853"/>
      <c r="BC33" s="1853"/>
      <c r="BD33" s="1853"/>
      <c r="BE33" s="1853"/>
      <c r="BF33" s="1853"/>
      <c r="BG33" s="1853"/>
      <c r="BH33" s="1853"/>
      <c r="BI33" s="1853"/>
      <c r="BJ33" s="1853"/>
      <c r="BK33" s="1853"/>
      <c r="BL33" s="1853"/>
      <c r="BM33" s="1853"/>
      <c r="BN33" s="1853"/>
      <c r="BO33" s="1853"/>
    </row>
    <row r="34" spans="1:67" ht="20.100000000000001" customHeight="1">
      <c r="A34" s="1845">
        <v>34</v>
      </c>
      <c r="B34" s="1854"/>
      <c r="C34" s="1847"/>
      <c r="D34" s="1848" t="s">
        <v>562</v>
      </c>
      <c r="E34" s="1848"/>
      <c r="F34" s="1849"/>
      <c r="G34" s="1225" t="s">
        <v>1109</v>
      </c>
      <c r="H34" s="1850">
        <f t="shared" ca="1" si="0"/>
        <v>4.2000000000000003E-2</v>
      </c>
      <c r="I34" s="1850">
        <f t="shared" ca="1" si="1"/>
        <v>4.2000000000000003E-2</v>
      </c>
      <c r="J34" s="1850">
        <f t="shared" ca="1" si="2"/>
        <v>4.2000000000000003E-2</v>
      </c>
      <c r="K34" s="1850">
        <f t="shared" ca="1" si="3"/>
        <v>4.2000000000000003E-2</v>
      </c>
      <c r="L34" s="1851">
        <f ca="1">IFERROR($H34*44/12*参考2_エネ使用量経年!L35*参考2_エネ使用量経年!$H35,"")</f>
        <v>0</v>
      </c>
      <c r="M34" s="1851">
        <f ca="1">IFERROR($I34*44/12*参考2_エネ使用量経年!M35*参考2_エネ使用量経年!$I35,"")</f>
        <v>0</v>
      </c>
      <c r="N34" s="1851">
        <f ca="1">IFERROR($J34*44/12*参考2_エネ使用量経年!N35*参考2_エネ使用量経年!$J35,"")</f>
        <v>0</v>
      </c>
      <c r="O34" s="1851">
        <f ca="1">IFERROR($K34*44/12*参考2_エネ使用量経年!O35*参考2_エネ使用量経年!$K35,"")</f>
        <v>0</v>
      </c>
      <c r="P34" s="1852">
        <f ca="1">IFERROR($H34*44/12*参考2_エネ使用量経年!P35*参考2_エネ使用量経年!$H35,"")</f>
        <v>0</v>
      </c>
      <c r="Q34" s="1852">
        <f ca="1">IFERROR($I34*44/12*参考2_エネ使用量経年!Q35*参考2_エネ使用量経年!$I35,"")</f>
        <v>0</v>
      </c>
      <c r="R34" s="1852">
        <f ca="1">IFERROR($J34*44/12*参考2_エネ使用量経年!R35*参考2_エネ使用量経年!$J35,"")</f>
        <v>0</v>
      </c>
      <c r="S34" s="1852">
        <f ca="1">IFERROR($K34*44/12*参考2_エネ使用量経年!S35*参考2_エネ使用量経年!$K35,"")</f>
        <v>0</v>
      </c>
      <c r="T34" s="1851">
        <f ca="1">IFERROR($H34*44/12*参考2_エネ使用量経年!T35*参考2_エネ使用量経年!$H35,"")</f>
        <v>0</v>
      </c>
      <c r="U34" s="1851">
        <f ca="1">IFERROR($I34*44/12*参考2_エネ使用量経年!U35*参考2_エネ使用量経年!$I35,"")</f>
        <v>0</v>
      </c>
      <c r="V34" s="1851">
        <f ca="1">IFERROR($J34*44/12*参考2_エネ使用量経年!V35*参考2_エネ使用量経年!$J35,"")</f>
        <v>0</v>
      </c>
      <c r="W34" s="1851">
        <f ca="1">IFERROR($K34*44/12*参考2_エネ使用量経年!W35*参考2_エネ使用量経年!$K35,"")</f>
        <v>0</v>
      </c>
      <c r="X34" s="1853">
        <f ca="1">IFERROR($H34*44/12*参考2_エネ使用量経年!X35*参考2_エネ使用量経年!$H35,"")</f>
        <v>0</v>
      </c>
      <c r="Y34" s="1853">
        <f ca="1">IFERROR($I34*44/12*参考2_エネ使用量経年!Y35*参考2_エネ使用量経年!$I35,"")</f>
        <v>0</v>
      </c>
      <c r="Z34" s="1853">
        <f ca="1">IFERROR($J34*44/12*参考2_エネ使用量経年!Z35*参考2_エネ使用量経年!$J35,"")</f>
        <v>0</v>
      </c>
      <c r="AA34" s="1853">
        <f ca="1">IFERROR($K34*44/12*参考2_エネ使用量経年!AA35*参考2_エネ使用量経年!$K35,"")</f>
        <v>0</v>
      </c>
      <c r="AB34" s="1853"/>
      <c r="AC34" s="1853"/>
      <c r="AD34" s="1853"/>
      <c r="AE34" s="1853"/>
      <c r="AF34" s="1853"/>
      <c r="AG34" s="1853"/>
      <c r="AH34" s="1853"/>
      <c r="AI34" s="1853"/>
      <c r="AJ34" s="1853"/>
      <c r="AK34" s="1853"/>
      <c r="AL34" s="1853"/>
      <c r="AM34" s="1853"/>
      <c r="AN34" s="1853"/>
      <c r="AO34" s="1853"/>
      <c r="AP34" s="1853"/>
      <c r="AQ34" s="1853"/>
      <c r="AR34" s="1853"/>
      <c r="AS34" s="1853"/>
      <c r="AT34" s="1853"/>
      <c r="AU34" s="1853"/>
      <c r="AV34" s="1853"/>
      <c r="AW34" s="1853"/>
      <c r="AX34" s="1853"/>
      <c r="AY34" s="1853"/>
      <c r="AZ34" s="1853"/>
      <c r="BA34" s="1853"/>
      <c r="BB34" s="1853"/>
      <c r="BC34" s="1853"/>
      <c r="BD34" s="1853"/>
      <c r="BE34" s="1853"/>
      <c r="BF34" s="1853"/>
      <c r="BG34" s="1853"/>
      <c r="BH34" s="1853"/>
      <c r="BI34" s="1853"/>
      <c r="BJ34" s="1853"/>
      <c r="BK34" s="1853"/>
      <c r="BL34" s="1853"/>
      <c r="BM34" s="1853"/>
      <c r="BN34" s="1853"/>
      <c r="BO34" s="1853"/>
    </row>
    <row r="35" spans="1:67" ht="20.100000000000001" customHeight="1">
      <c r="A35" s="1845">
        <v>7</v>
      </c>
      <c r="B35" s="1855"/>
      <c r="C35" s="1847"/>
      <c r="D35" s="1848" t="s">
        <v>934</v>
      </c>
      <c r="E35" s="1856"/>
      <c r="F35" s="1849"/>
      <c r="G35" s="1225" t="s">
        <v>1109</v>
      </c>
      <c r="H35" s="1857"/>
      <c r="I35" s="1857"/>
      <c r="J35" s="1857"/>
      <c r="K35" s="1857"/>
      <c r="L35" s="1852">
        <f ca="1">SUM(SUMIFS(OFFSET(A1_集計2024,$A35,9,1,200),OFFSET(貼付け_2024実績,4,9,1,200),{"横浜*","川崎*","県域*","エネルギー管理指定工場等*"}))</f>
        <v>0</v>
      </c>
      <c r="M35" s="1852">
        <f ca="1">SUM(SUMIFS(OFFSET(A1_集計2025,$A35,9,1,200),OFFSET(貼付け_2025実績,4,9,1,200),{"横浜*","川崎*","県域*","エネルギー管理指定工場等*"}))</f>
        <v>0</v>
      </c>
      <c r="N35" s="1852">
        <f ca="1">SUM(SUMIFS(OFFSET(A1_集計2026,$A35,9,1,200),OFFSET(貼付け_2026実績,4,9,1,200),{"横浜*","川崎*","県域*","エネルギー管理指定工場等*"}))</f>
        <v>0</v>
      </c>
      <c r="O35" s="1852">
        <f ca="1">SUM(SUMIFS(OFFSET(A1_集計2027,$A35,9,1,200),OFFSET(貼付け_2027実績,4,9,1,200),{"横浜*","川崎*","県域*","エネルギー管理指定工場等*"}))</f>
        <v>0</v>
      </c>
      <c r="P35" s="1852">
        <f ca="1">SUM(SUMIFS(OFFSET(A1_集計2024,$A35,9,1,200),OFFSET(貼付け_2024実績,4,9,1,200),{"横浜*","川崎*"}))</f>
        <v>0</v>
      </c>
      <c r="Q35" s="1852">
        <f ca="1">SUM(SUMIFS(OFFSET(A1_集計2025,$A35,9,1,200),OFFSET(貼付け_2025実績,4,9,1,200),{"横浜*","川崎*"}))</f>
        <v>0</v>
      </c>
      <c r="R35" s="1852">
        <f ca="1">SUM(SUMIFS(OFFSET(A1_集計2026,$A35,9,1,200),OFFSET(貼付け_2026実績,4,9,1,200),{"横浜*","川崎*"}))</f>
        <v>0</v>
      </c>
      <c r="S35" s="1852">
        <f ca="1">SUM(SUMIFS(OFFSET(A1_集計2027,$A35,9,1,200),OFFSET(貼付け_2027実績,4,9,1,200),{"横浜*","川崎*"}))</f>
        <v>0</v>
      </c>
      <c r="T35" s="1852">
        <f ca="1">SUM(SUMIFS(OFFSET(A1_集計2024,$A35,9,1,200),OFFSET(貼付け_2024実績,4,9,1,200),{"県域*","エネルギー管理指定工場等*"}))</f>
        <v>0</v>
      </c>
      <c r="U35" s="1852">
        <f ca="1">SUM(SUMIFS(OFFSET(A1_集計2025,$A35,9,1,200),OFFSET(貼付け_2025実績,4,9,1,200),{"県域*","エネルギー管理指定工場等*"}))</f>
        <v>0</v>
      </c>
      <c r="V35" s="1852">
        <f ca="1">SUM(SUMIFS(OFFSET(A1_集計2026,$A35,9,1,200),OFFSET(貼付け_2026実績,4,9,1,200),{"県域*","エネルギー管理指定工場等*"}))</f>
        <v>0</v>
      </c>
      <c r="W35" s="1852">
        <f ca="1">SUM(SUMIFS(OFFSET(A1_集計2027,$A35,9,1,200),OFFSET(貼付け_2027実績,4,9,1,200),{"県域*","エネルギー管理指定工場等*"}))</f>
        <v>0</v>
      </c>
      <c r="X35" s="1853">
        <f ca="1">SUMIFS(OFFSET(A1_集計2024,$A35,9,1,200),OFFSET(貼付け_2024実績,4,9,1,200),"県域*")</f>
        <v>0</v>
      </c>
      <c r="Y35" s="1853">
        <f ca="1">SUMIFS(OFFSET(A1_集計2025,$A35,9,1,200),OFFSET(貼付け_2025実績,4,9,1,200),"県域*")</f>
        <v>0</v>
      </c>
      <c r="Z35" s="1853">
        <f ca="1">SUMIFS(OFFSET(A1_集計2026,$A35,9,1,200),OFFSET(貼付け_2026実績,4,9,1,200),"県域*")</f>
        <v>0</v>
      </c>
      <c r="AA35" s="1853">
        <f ca="1">SUMIFS(OFFSET(A1_集計2027,$A35,9,1,200),OFFSET(貼付け_2027実績,4,9,1,200),"県域*")</f>
        <v>0</v>
      </c>
      <c r="AB35" s="1853"/>
      <c r="AC35" s="1853"/>
      <c r="AD35" s="1853"/>
      <c r="AE35" s="1853"/>
      <c r="AF35" s="1853"/>
      <c r="AG35" s="1853"/>
      <c r="AH35" s="1853"/>
      <c r="AI35" s="1853"/>
      <c r="AJ35" s="1853"/>
      <c r="AK35" s="1853"/>
      <c r="AL35" s="1853"/>
      <c r="AM35" s="1853"/>
      <c r="AN35" s="1853"/>
      <c r="AO35" s="1853"/>
      <c r="AP35" s="1853"/>
      <c r="AQ35" s="1853"/>
      <c r="AR35" s="1853"/>
      <c r="AS35" s="1853"/>
      <c r="AT35" s="1853"/>
      <c r="AU35" s="1853"/>
      <c r="AV35" s="1853"/>
      <c r="AW35" s="1853"/>
      <c r="AX35" s="1853"/>
      <c r="AY35" s="1853"/>
      <c r="AZ35" s="1853"/>
      <c r="BA35" s="1853"/>
      <c r="BB35" s="1853"/>
      <c r="BC35" s="1853"/>
      <c r="BD35" s="1853"/>
      <c r="BE35" s="1853"/>
      <c r="BF35" s="1853"/>
      <c r="BG35" s="1853"/>
      <c r="BH35" s="1853"/>
      <c r="BI35" s="1853"/>
      <c r="BJ35" s="1853"/>
      <c r="BK35" s="1853"/>
      <c r="BL35" s="1853"/>
      <c r="BM35" s="1853"/>
      <c r="BN35" s="1853"/>
      <c r="BO35" s="1853"/>
    </row>
    <row r="36" spans="1:67" ht="20.100000000000001" customHeight="1">
      <c r="A36" s="1845">
        <v>36</v>
      </c>
      <c r="B36" s="1854"/>
      <c r="C36" s="1847"/>
      <c r="D36" s="1848" t="s">
        <v>935</v>
      </c>
      <c r="E36" s="1858" t="str">
        <f ca="1">参考2_エネ使用量経年!E37</f>
        <v/>
      </c>
      <c r="F36" s="1849"/>
      <c r="G36" s="1225" t="s">
        <v>1109</v>
      </c>
      <c r="H36" s="1850">
        <f t="shared" ref="H36:H56" ca="1" si="4">IFERROR(OFFSET(貼付け_2024実績,$A36,6),"")</f>
        <v>0</v>
      </c>
      <c r="I36" s="1850">
        <f t="shared" ref="I36:I56" ca="1" si="5">IFERROR(OFFSET(貼付け_2025実績,$A36,6),"")</f>
        <v>0</v>
      </c>
      <c r="J36" s="1850">
        <f t="shared" ref="J36:J56" ca="1" si="6">IFERROR(OFFSET(貼付け_2026実績,$A36,6),"")</f>
        <v>0</v>
      </c>
      <c r="K36" s="1850">
        <f t="shared" ref="K36:K56" ca="1" si="7">IFERROR(OFFSET(貼付け_2027実績,$A36,6),"")</f>
        <v>0</v>
      </c>
      <c r="L36" s="1851">
        <f ca="1">IFERROR($H36*44/12*参考2_エネ使用量経年!L37*参考2_エネ使用量経年!$H37,"")</f>
        <v>0</v>
      </c>
      <c r="M36" s="1851">
        <f ca="1">IFERROR($I36*44/12*参考2_エネ使用量経年!M37*参考2_エネ使用量経年!$I37,"")</f>
        <v>0</v>
      </c>
      <c r="N36" s="1851">
        <f ca="1">IFERROR($J36*44/12*参考2_エネ使用量経年!N37*参考2_エネ使用量経年!$J37,"")</f>
        <v>0</v>
      </c>
      <c r="O36" s="1851">
        <f ca="1">IFERROR($K36*44/12*参考2_エネ使用量経年!O37*参考2_エネ使用量経年!$K37,"")</f>
        <v>0</v>
      </c>
      <c r="P36" s="1852">
        <f ca="1">IFERROR($H36*44/12*参考2_エネ使用量経年!P37*参考2_エネ使用量経年!$H37,"")</f>
        <v>0</v>
      </c>
      <c r="Q36" s="1852">
        <f ca="1">IFERROR($I36*44/12*参考2_エネ使用量経年!Q37*参考2_エネ使用量経年!$I37,"")</f>
        <v>0</v>
      </c>
      <c r="R36" s="1852">
        <f ca="1">IFERROR($J36*44/12*参考2_エネ使用量経年!R37*参考2_エネ使用量経年!$J37,"")</f>
        <v>0</v>
      </c>
      <c r="S36" s="1852">
        <f ca="1">IFERROR($K36*44/12*参考2_エネ使用量経年!S37*参考2_エネ使用量経年!$K37,"")</f>
        <v>0</v>
      </c>
      <c r="T36" s="1851">
        <f ca="1">IFERROR($H36*44/12*参考2_エネ使用量経年!T37*参考2_エネ使用量経年!$H37,"")</f>
        <v>0</v>
      </c>
      <c r="U36" s="1851">
        <f ca="1">IFERROR($I36*44/12*参考2_エネ使用量経年!U37*参考2_エネ使用量経年!$I37,"")</f>
        <v>0</v>
      </c>
      <c r="V36" s="1851">
        <f ca="1">IFERROR($J36*44/12*参考2_エネ使用量経年!V37*参考2_エネ使用量経年!$J37,"")</f>
        <v>0</v>
      </c>
      <c r="W36" s="1851">
        <f ca="1">IFERROR($K36*44/12*参考2_エネ使用量経年!W37*参考2_エネ使用量経年!$K37,"")</f>
        <v>0</v>
      </c>
      <c r="X36" s="1853">
        <f ca="1">IFERROR($H36*44/12*参考2_エネ使用量経年!X37*参考2_エネ使用量経年!$H37,"")</f>
        <v>0</v>
      </c>
      <c r="Y36" s="1853">
        <f ca="1">IFERROR($I36*44/12*参考2_エネ使用量経年!Y37*参考2_エネ使用量経年!$I37,"")</f>
        <v>0</v>
      </c>
      <c r="Z36" s="1853">
        <f ca="1">IFERROR($J36*44/12*参考2_エネ使用量経年!Z37*参考2_エネ使用量経年!$J37,"")</f>
        <v>0</v>
      </c>
      <c r="AA36" s="1853">
        <f ca="1">IFERROR($K36*44/12*参考2_エネ使用量経年!AA37*参考2_エネ使用量経年!$K37,"")</f>
        <v>0</v>
      </c>
      <c r="AB36" s="1853"/>
      <c r="AC36" s="1853"/>
      <c r="AD36" s="1853"/>
      <c r="AE36" s="1853"/>
      <c r="AF36" s="1853"/>
      <c r="AG36" s="1853"/>
      <c r="AH36" s="1853"/>
      <c r="AI36" s="1853"/>
      <c r="AJ36" s="1853"/>
      <c r="AK36" s="1853"/>
      <c r="AL36" s="1853"/>
      <c r="AM36" s="1853"/>
      <c r="AN36" s="1853"/>
      <c r="AO36" s="1853"/>
      <c r="AP36" s="1853"/>
      <c r="AQ36" s="1853"/>
      <c r="AR36" s="1853"/>
      <c r="AS36" s="1853"/>
      <c r="AT36" s="1853"/>
      <c r="AU36" s="1853"/>
      <c r="AV36" s="1853"/>
      <c r="AW36" s="1853"/>
      <c r="AX36" s="1853"/>
      <c r="AY36" s="1853"/>
      <c r="AZ36" s="1853"/>
      <c r="BA36" s="1853"/>
      <c r="BB36" s="1853"/>
      <c r="BC36" s="1853"/>
      <c r="BD36" s="1853"/>
      <c r="BE36" s="1853"/>
      <c r="BF36" s="1853"/>
      <c r="BG36" s="1853"/>
      <c r="BH36" s="1853"/>
      <c r="BI36" s="1853"/>
      <c r="BJ36" s="1853"/>
      <c r="BK36" s="1853"/>
      <c r="BL36" s="1853"/>
      <c r="BM36" s="1853"/>
      <c r="BN36" s="1853"/>
      <c r="BO36" s="1853"/>
    </row>
    <row r="37" spans="1:67" ht="20.100000000000001" customHeight="1">
      <c r="A37" s="1845">
        <v>37</v>
      </c>
      <c r="B37" s="1854"/>
      <c r="C37" s="1847" t="s">
        <v>936</v>
      </c>
      <c r="D37" s="1859" t="s">
        <v>937</v>
      </c>
      <c r="E37" s="1848"/>
      <c r="F37" s="1849"/>
      <c r="G37" s="1225" t="s">
        <v>1109</v>
      </c>
      <c r="H37" s="1850">
        <f t="shared" ca="1" si="4"/>
        <v>0</v>
      </c>
      <c r="I37" s="1850">
        <f t="shared" ca="1" si="5"/>
        <v>0</v>
      </c>
      <c r="J37" s="1850">
        <f t="shared" ca="1" si="6"/>
        <v>0</v>
      </c>
      <c r="K37" s="1850">
        <f t="shared" ca="1" si="7"/>
        <v>0</v>
      </c>
      <c r="L37" s="1851">
        <f ca="1">IFERROR($H37*44/12*参考2_エネ使用量経年!L38*参考2_エネ使用量経年!$H38,"")</f>
        <v>0</v>
      </c>
      <c r="M37" s="1851">
        <f ca="1">IFERROR($I37*44/12*参考2_エネ使用量経年!M38*参考2_エネ使用量経年!$I38,"")</f>
        <v>0</v>
      </c>
      <c r="N37" s="1851">
        <f ca="1">IFERROR($J37*44/12*参考2_エネ使用量経年!N38*参考2_エネ使用量経年!$J38,"")</f>
        <v>0</v>
      </c>
      <c r="O37" s="1851">
        <f ca="1">IFERROR($K37*44/12*参考2_エネ使用量経年!O38*参考2_エネ使用量経年!$K38,"")</f>
        <v>0</v>
      </c>
      <c r="P37" s="1852">
        <f ca="1">IFERROR($H37*44/12*参考2_エネ使用量経年!P38*参考2_エネ使用量経年!$H38,"")</f>
        <v>0</v>
      </c>
      <c r="Q37" s="1852">
        <f ca="1">IFERROR($I37*44/12*参考2_エネ使用量経年!Q38*参考2_エネ使用量経年!$I38,"")</f>
        <v>0</v>
      </c>
      <c r="R37" s="1852">
        <f ca="1">IFERROR($J37*44/12*参考2_エネ使用量経年!R38*参考2_エネ使用量経年!$J38,"")</f>
        <v>0</v>
      </c>
      <c r="S37" s="1852">
        <f ca="1">IFERROR($K37*44/12*参考2_エネ使用量経年!S38*参考2_エネ使用量経年!$K38,"")</f>
        <v>0</v>
      </c>
      <c r="T37" s="1851">
        <f ca="1">IFERROR($H37*44/12*参考2_エネ使用量経年!T38*参考2_エネ使用量経年!$H38,"")</f>
        <v>0</v>
      </c>
      <c r="U37" s="1851">
        <f ca="1">IFERROR($I37*44/12*参考2_エネ使用量経年!U38*参考2_エネ使用量経年!$I38,"")</f>
        <v>0</v>
      </c>
      <c r="V37" s="1851">
        <f ca="1">IFERROR($J37*44/12*参考2_エネ使用量経年!V38*参考2_エネ使用量経年!$J38,"")</f>
        <v>0</v>
      </c>
      <c r="W37" s="1851">
        <f ca="1">IFERROR($K37*44/12*参考2_エネ使用量経年!W38*参考2_エネ使用量経年!$K38,"")</f>
        <v>0</v>
      </c>
      <c r="X37" s="1853">
        <f ca="1">IFERROR($H37*44/12*参考2_エネ使用量経年!X38*参考2_エネ使用量経年!$H38,"")</f>
        <v>0</v>
      </c>
      <c r="Y37" s="1853">
        <f ca="1">IFERROR($I37*44/12*参考2_エネ使用量経年!Y38*参考2_エネ使用量経年!$I38,"")</f>
        <v>0</v>
      </c>
      <c r="Z37" s="1853">
        <f ca="1">IFERROR($J37*44/12*参考2_エネ使用量経年!Z38*参考2_エネ使用量経年!$J38,"")</f>
        <v>0</v>
      </c>
      <c r="AA37" s="1853">
        <f ca="1">IFERROR($K37*44/12*参考2_エネ使用量経年!AA38*参考2_エネ使用量経年!$K38,"")</f>
        <v>0</v>
      </c>
      <c r="AB37" s="1853"/>
      <c r="AC37" s="1853"/>
      <c r="AD37" s="1853"/>
      <c r="AE37" s="1853"/>
      <c r="AF37" s="1853"/>
      <c r="AG37" s="1853"/>
      <c r="AH37" s="1853"/>
      <c r="AI37" s="1853"/>
      <c r="AJ37" s="1853"/>
      <c r="AK37" s="1853"/>
      <c r="AL37" s="1853"/>
      <c r="AM37" s="1853"/>
      <c r="AN37" s="1853"/>
      <c r="AO37" s="1853"/>
      <c r="AP37" s="1853"/>
      <c r="AQ37" s="1853"/>
      <c r="AR37" s="1853"/>
      <c r="AS37" s="1853"/>
      <c r="AT37" s="1853"/>
      <c r="AU37" s="1853"/>
      <c r="AV37" s="1853"/>
      <c r="AW37" s="1853"/>
      <c r="AX37" s="1853"/>
      <c r="AY37" s="1853"/>
      <c r="AZ37" s="1853"/>
      <c r="BA37" s="1853"/>
      <c r="BB37" s="1853"/>
      <c r="BC37" s="1853"/>
      <c r="BD37" s="1853"/>
      <c r="BE37" s="1853"/>
      <c r="BF37" s="1853"/>
      <c r="BG37" s="1853"/>
      <c r="BH37" s="1853"/>
      <c r="BI37" s="1853"/>
      <c r="BJ37" s="1853"/>
      <c r="BK37" s="1853"/>
      <c r="BL37" s="1853"/>
      <c r="BM37" s="1853"/>
      <c r="BN37" s="1853"/>
      <c r="BO37" s="1853"/>
    </row>
    <row r="38" spans="1:67" ht="20.100000000000001" customHeight="1">
      <c r="A38" s="1845">
        <v>38</v>
      </c>
      <c r="B38" s="1854"/>
      <c r="C38" s="1847"/>
      <c r="D38" s="1859" t="s">
        <v>938</v>
      </c>
      <c r="E38" s="1848"/>
      <c r="F38" s="1849"/>
      <c r="G38" s="1225" t="s">
        <v>1109</v>
      </c>
      <c r="H38" s="1850">
        <f t="shared" ca="1" si="4"/>
        <v>0</v>
      </c>
      <c r="I38" s="1850">
        <f t="shared" ca="1" si="5"/>
        <v>0</v>
      </c>
      <c r="J38" s="1850">
        <f t="shared" ca="1" si="6"/>
        <v>0</v>
      </c>
      <c r="K38" s="1850">
        <f t="shared" ca="1" si="7"/>
        <v>0</v>
      </c>
      <c r="L38" s="1851">
        <f ca="1">IFERROR($H38*44/12*参考2_エネ使用量経年!L39*参考2_エネ使用量経年!$H39,"")</f>
        <v>0</v>
      </c>
      <c r="M38" s="1851">
        <f ca="1">IFERROR($I38*44/12*参考2_エネ使用量経年!M39*参考2_エネ使用量経年!$I39,"")</f>
        <v>0</v>
      </c>
      <c r="N38" s="1851">
        <f ca="1">IFERROR($J38*44/12*参考2_エネ使用量経年!N39*参考2_エネ使用量経年!$J39,"")</f>
        <v>0</v>
      </c>
      <c r="O38" s="1851">
        <f ca="1">IFERROR($K38*44/12*参考2_エネ使用量経年!O39*参考2_エネ使用量経年!$K39,"")</f>
        <v>0</v>
      </c>
      <c r="P38" s="1852">
        <f ca="1">IFERROR($H38*44/12*参考2_エネ使用量経年!P39*参考2_エネ使用量経年!$H39,"")</f>
        <v>0</v>
      </c>
      <c r="Q38" s="1852">
        <f ca="1">IFERROR($I38*44/12*参考2_エネ使用量経年!Q39*参考2_エネ使用量経年!$I39,"")</f>
        <v>0</v>
      </c>
      <c r="R38" s="1852">
        <f ca="1">IFERROR($J38*44/12*参考2_エネ使用量経年!R39*参考2_エネ使用量経年!$J39,"")</f>
        <v>0</v>
      </c>
      <c r="S38" s="1852">
        <f ca="1">IFERROR($K38*44/12*参考2_エネ使用量経年!S39*参考2_エネ使用量経年!$K39,"")</f>
        <v>0</v>
      </c>
      <c r="T38" s="1851">
        <f ca="1">IFERROR($H38*44/12*参考2_エネ使用量経年!T39*参考2_エネ使用量経年!$H39,"")</f>
        <v>0</v>
      </c>
      <c r="U38" s="1851">
        <f ca="1">IFERROR($I38*44/12*参考2_エネ使用量経年!U39*参考2_エネ使用量経年!$I39,"")</f>
        <v>0</v>
      </c>
      <c r="V38" s="1851">
        <f ca="1">IFERROR($J38*44/12*参考2_エネ使用量経年!V39*参考2_エネ使用量経年!$J39,"")</f>
        <v>0</v>
      </c>
      <c r="W38" s="1851">
        <f ca="1">IFERROR($K38*44/12*参考2_エネ使用量経年!W39*参考2_エネ使用量経年!$K39,"")</f>
        <v>0</v>
      </c>
      <c r="X38" s="1853">
        <f ca="1">IFERROR($H38*44/12*参考2_エネ使用量経年!X39*参考2_エネ使用量経年!$H39,"")</f>
        <v>0</v>
      </c>
      <c r="Y38" s="1853">
        <f ca="1">IFERROR($I38*44/12*参考2_エネ使用量経年!Y39*参考2_エネ使用量経年!$I39,"")</f>
        <v>0</v>
      </c>
      <c r="Z38" s="1853">
        <f ca="1">IFERROR($J38*44/12*参考2_エネ使用量経年!Z39*参考2_エネ使用量経年!$J39,"")</f>
        <v>0</v>
      </c>
      <c r="AA38" s="1853">
        <f ca="1">IFERROR($K38*44/12*参考2_エネ使用量経年!AA39*参考2_エネ使用量経年!$K39,"")</f>
        <v>0</v>
      </c>
      <c r="AB38" s="1853"/>
      <c r="AC38" s="1853"/>
      <c r="AD38" s="1853"/>
      <c r="AE38" s="1853"/>
      <c r="AF38" s="1853"/>
      <c r="AG38" s="1853"/>
      <c r="AH38" s="1853"/>
      <c r="AI38" s="1853"/>
      <c r="AJ38" s="1853"/>
      <c r="AK38" s="1853"/>
      <c r="AL38" s="1853"/>
      <c r="AM38" s="1853"/>
      <c r="AN38" s="1853"/>
      <c r="AO38" s="1853"/>
      <c r="AP38" s="1853"/>
      <c r="AQ38" s="1853"/>
      <c r="AR38" s="1853"/>
      <c r="AS38" s="1853"/>
      <c r="AT38" s="1853"/>
      <c r="AU38" s="1853"/>
      <c r="AV38" s="1853"/>
      <c r="AW38" s="1853"/>
      <c r="AX38" s="1853"/>
      <c r="AY38" s="1853"/>
      <c r="AZ38" s="1853"/>
      <c r="BA38" s="1853"/>
      <c r="BB38" s="1853"/>
      <c r="BC38" s="1853"/>
      <c r="BD38" s="1853"/>
      <c r="BE38" s="1853"/>
      <c r="BF38" s="1853"/>
      <c r="BG38" s="1853"/>
      <c r="BH38" s="1853"/>
      <c r="BI38" s="1853"/>
      <c r="BJ38" s="1853"/>
      <c r="BK38" s="1853"/>
      <c r="BL38" s="1853"/>
      <c r="BM38" s="1853"/>
      <c r="BN38" s="1853"/>
      <c r="BO38" s="1853"/>
    </row>
    <row r="39" spans="1:67" ht="20.100000000000001" customHeight="1">
      <c r="A39" s="1845">
        <v>39</v>
      </c>
      <c r="B39" s="1854"/>
      <c r="C39" s="1847"/>
      <c r="D39" s="1859" t="s">
        <v>939</v>
      </c>
      <c r="E39" s="1837"/>
      <c r="F39" s="1849"/>
      <c r="G39" s="1225" t="s">
        <v>1109</v>
      </c>
      <c r="H39" s="1850">
        <f t="shared" ca="1" si="4"/>
        <v>0</v>
      </c>
      <c r="I39" s="1850">
        <f t="shared" ca="1" si="5"/>
        <v>0</v>
      </c>
      <c r="J39" s="1850">
        <f t="shared" ca="1" si="6"/>
        <v>0</v>
      </c>
      <c r="K39" s="1850">
        <f t="shared" ca="1" si="7"/>
        <v>0</v>
      </c>
      <c r="L39" s="1851">
        <f ca="1">IFERROR($H39*44/12*参考2_エネ使用量経年!L40*参考2_エネ使用量経年!$H40,"")</f>
        <v>0</v>
      </c>
      <c r="M39" s="1851">
        <f ca="1">IFERROR($I39*44/12*参考2_エネ使用量経年!M40*参考2_エネ使用量経年!$I40,"")</f>
        <v>0</v>
      </c>
      <c r="N39" s="1851">
        <f ca="1">IFERROR($J39*44/12*参考2_エネ使用量経年!N40*参考2_エネ使用量経年!$J40,"")</f>
        <v>0</v>
      </c>
      <c r="O39" s="1851">
        <f ca="1">IFERROR($K39*44/12*参考2_エネ使用量経年!O40*参考2_エネ使用量経年!$K40,"")</f>
        <v>0</v>
      </c>
      <c r="P39" s="1852">
        <f ca="1">IFERROR($H39*44/12*参考2_エネ使用量経年!P40*参考2_エネ使用量経年!$H40,"")</f>
        <v>0</v>
      </c>
      <c r="Q39" s="1852">
        <f ca="1">IFERROR($I39*44/12*参考2_エネ使用量経年!Q40*参考2_エネ使用量経年!$I40,"")</f>
        <v>0</v>
      </c>
      <c r="R39" s="1852">
        <f ca="1">IFERROR($J39*44/12*参考2_エネ使用量経年!R40*参考2_エネ使用量経年!$J40,"")</f>
        <v>0</v>
      </c>
      <c r="S39" s="1852">
        <f ca="1">IFERROR($K39*44/12*参考2_エネ使用量経年!S40*参考2_エネ使用量経年!$K40,"")</f>
        <v>0</v>
      </c>
      <c r="T39" s="1851">
        <f ca="1">IFERROR($H39*44/12*参考2_エネ使用量経年!T40*参考2_エネ使用量経年!$H40,"")</f>
        <v>0</v>
      </c>
      <c r="U39" s="1851">
        <f ca="1">IFERROR($I39*44/12*参考2_エネ使用量経年!U40*参考2_エネ使用量経年!$I40,"")</f>
        <v>0</v>
      </c>
      <c r="V39" s="1851">
        <f ca="1">IFERROR($J39*44/12*参考2_エネ使用量経年!V40*参考2_エネ使用量経年!$J40,"")</f>
        <v>0</v>
      </c>
      <c r="W39" s="1851">
        <f ca="1">IFERROR($K39*44/12*参考2_エネ使用量経年!W40*参考2_エネ使用量経年!$K40,"")</f>
        <v>0</v>
      </c>
      <c r="X39" s="1853">
        <f ca="1">IFERROR($H39*44/12*参考2_エネ使用量経年!X40*参考2_エネ使用量経年!$H40,"")</f>
        <v>0</v>
      </c>
      <c r="Y39" s="1853">
        <f ca="1">IFERROR($I39*44/12*参考2_エネ使用量経年!Y40*参考2_エネ使用量経年!$I40,"")</f>
        <v>0</v>
      </c>
      <c r="Z39" s="1853">
        <f ca="1">IFERROR($J39*44/12*参考2_エネ使用量経年!Z40*参考2_エネ使用量経年!$J40,"")</f>
        <v>0</v>
      </c>
      <c r="AA39" s="1853">
        <f ca="1">IFERROR($K39*44/12*参考2_エネ使用量経年!AA40*参考2_エネ使用量経年!$K40,"")</f>
        <v>0</v>
      </c>
      <c r="AB39" s="1853"/>
      <c r="AC39" s="1853"/>
      <c r="AD39" s="1853"/>
      <c r="AE39" s="1853"/>
      <c r="AF39" s="1853"/>
      <c r="AG39" s="1853"/>
      <c r="AH39" s="1853"/>
      <c r="AI39" s="1853"/>
      <c r="AJ39" s="1853"/>
      <c r="AK39" s="1853"/>
      <c r="AL39" s="1853"/>
      <c r="AM39" s="1853"/>
      <c r="AN39" s="1853"/>
      <c r="AO39" s="1853"/>
      <c r="AP39" s="1853"/>
      <c r="AQ39" s="1853"/>
      <c r="AR39" s="1853"/>
      <c r="AS39" s="1853"/>
      <c r="AT39" s="1853"/>
      <c r="AU39" s="1853"/>
      <c r="AV39" s="1853"/>
      <c r="AW39" s="1853"/>
      <c r="AX39" s="1853"/>
      <c r="AY39" s="1853"/>
      <c r="AZ39" s="1853"/>
      <c r="BA39" s="1853"/>
      <c r="BB39" s="1853"/>
      <c r="BC39" s="1853"/>
      <c r="BD39" s="1853"/>
      <c r="BE39" s="1853"/>
      <c r="BF39" s="1853"/>
      <c r="BG39" s="1853"/>
      <c r="BH39" s="1853"/>
      <c r="BI39" s="1853"/>
      <c r="BJ39" s="1853"/>
      <c r="BK39" s="1853"/>
      <c r="BL39" s="1853"/>
      <c r="BM39" s="1853"/>
      <c r="BN39" s="1853"/>
      <c r="BO39" s="1853"/>
    </row>
    <row r="40" spans="1:67" ht="20.100000000000001" customHeight="1">
      <c r="A40" s="1845">
        <v>40</v>
      </c>
      <c r="B40" s="1854"/>
      <c r="C40" s="1847"/>
      <c r="D40" s="1848" t="s">
        <v>564</v>
      </c>
      <c r="E40" s="1848"/>
      <c r="F40" s="1849"/>
      <c r="G40" s="1225" t="s">
        <v>1109</v>
      </c>
      <c r="H40" s="1850">
        <f t="shared" ca="1" si="4"/>
        <v>0</v>
      </c>
      <c r="I40" s="1850">
        <f t="shared" ca="1" si="5"/>
        <v>0</v>
      </c>
      <c r="J40" s="1850">
        <f t="shared" ca="1" si="6"/>
        <v>0</v>
      </c>
      <c r="K40" s="1850">
        <f t="shared" ca="1" si="7"/>
        <v>0</v>
      </c>
      <c r="L40" s="1851">
        <f ca="1">IFERROR($H40*44/12*参考2_エネ使用量経年!L41*参考2_エネ使用量経年!$H41,"")</f>
        <v>0</v>
      </c>
      <c r="M40" s="1851">
        <f ca="1">IFERROR($I40*44/12*参考2_エネ使用量経年!M41*参考2_エネ使用量経年!$I41,"")</f>
        <v>0</v>
      </c>
      <c r="N40" s="1851">
        <f ca="1">IFERROR($J40*44/12*参考2_エネ使用量経年!N41*参考2_エネ使用量経年!$J41,"")</f>
        <v>0</v>
      </c>
      <c r="O40" s="1851">
        <f ca="1">IFERROR($K40*44/12*参考2_エネ使用量経年!O41*参考2_エネ使用量経年!$K41,"")</f>
        <v>0</v>
      </c>
      <c r="P40" s="1852">
        <f ca="1">IFERROR($H40*44/12*参考2_エネ使用量経年!P41*参考2_エネ使用量経年!$H41,"")</f>
        <v>0</v>
      </c>
      <c r="Q40" s="1852">
        <f ca="1">IFERROR($I40*44/12*参考2_エネ使用量経年!Q41*参考2_エネ使用量経年!$I41,"")</f>
        <v>0</v>
      </c>
      <c r="R40" s="1852">
        <f ca="1">IFERROR($J40*44/12*参考2_エネ使用量経年!R41*参考2_エネ使用量経年!$J41,"")</f>
        <v>0</v>
      </c>
      <c r="S40" s="1852">
        <f ca="1">IFERROR($K40*44/12*参考2_エネ使用量経年!S41*参考2_エネ使用量経年!$K41,"")</f>
        <v>0</v>
      </c>
      <c r="T40" s="1851">
        <f ca="1">IFERROR($H40*44/12*参考2_エネ使用量経年!T41*参考2_エネ使用量経年!$H41,"")</f>
        <v>0</v>
      </c>
      <c r="U40" s="1851">
        <f ca="1">IFERROR($I40*44/12*参考2_エネ使用量経年!U41*参考2_エネ使用量経年!$I41,"")</f>
        <v>0</v>
      </c>
      <c r="V40" s="1851">
        <f ca="1">IFERROR($J40*44/12*参考2_エネ使用量経年!V41*参考2_エネ使用量経年!$J41,"")</f>
        <v>0</v>
      </c>
      <c r="W40" s="1851">
        <f ca="1">IFERROR($K40*44/12*参考2_エネ使用量経年!W41*参考2_エネ使用量経年!$K41,"")</f>
        <v>0</v>
      </c>
      <c r="X40" s="1853">
        <f ca="1">IFERROR($H40*44/12*参考2_エネ使用量経年!X41*参考2_エネ使用量経年!$H41,"")</f>
        <v>0</v>
      </c>
      <c r="Y40" s="1853">
        <f ca="1">IFERROR($I40*44/12*参考2_エネ使用量経年!Y41*参考2_エネ使用量経年!$I41,"")</f>
        <v>0</v>
      </c>
      <c r="Z40" s="1853">
        <f ca="1">IFERROR($J40*44/12*参考2_エネ使用量経年!Z41*参考2_エネ使用量経年!$J41,"")</f>
        <v>0</v>
      </c>
      <c r="AA40" s="1853">
        <f ca="1">IFERROR($K40*44/12*参考2_エネ使用量経年!AA41*参考2_エネ使用量経年!$K41,"")</f>
        <v>0</v>
      </c>
      <c r="AB40" s="1853"/>
      <c r="AC40" s="1853"/>
      <c r="AD40" s="1853"/>
      <c r="AE40" s="1853"/>
      <c r="AF40" s="1853"/>
      <c r="AG40" s="1853"/>
      <c r="AH40" s="1853"/>
      <c r="AI40" s="1853"/>
      <c r="AJ40" s="1853"/>
      <c r="AK40" s="1853"/>
      <c r="AL40" s="1853"/>
      <c r="AM40" s="1853"/>
      <c r="AN40" s="1853"/>
      <c r="AO40" s="1853"/>
      <c r="AP40" s="1853"/>
      <c r="AQ40" s="1853"/>
      <c r="AR40" s="1853"/>
      <c r="AS40" s="1853"/>
      <c r="AT40" s="1853"/>
      <c r="AU40" s="1853"/>
      <c r="AV40" s="1853"/>
      <c r="AW40" s="1853"/>
      <c r="AX40" s="1853"/>
      <c r="AY40" s="1853"/>
      <c r="AZ40" s="1853"/>
      <c r="BA40" s="1853"/>
      <c r="BB40" s="1853"/>
      <c r="BC40" s="1853"/>
      <c r="BD40" s="1853"/>
      <c r="BE40" s="1853"/>
      <c r="BF40" s="1853"/>
      <c r="BG40" s="1853"/>
      <c r="BH40" s="1853"/>
      <c r="BI40" s="1853"/>
      <c r="BJ40" s="1853"/>
      <c r="BK40" s="1853"/>
      <c r="BL40" s="1853"/>
      <c r="BM40" s="1853"/>
      <c r="BN40" s="1853"/>
      <c r="BO40" s="1853"/>
    </row>
    <row r="41" spans="1:67" ht="20.100000000000001" customHeight="1">
      <c r="A41" s="1845">
        <v>41</v>
      </c>
      <c r="B41" s="1854"/>
      <c r="C41" s="1847"/>
      <c r="D41" s="1848" t="s">
        <v>565</v>
      </c>
      <c r="E41" s="1848"/>
      <c r="F41" s="1849"/>
      <c r="G41" s="1225" t="s">
        <v>1109</v>
      </c>
      <c r="H41" s="1850">
        <f t="shared" ca="1" si="4"/>
        <v>0</v>
      </c>
      <c r="I41" s="1850">
        <f t="shared" ca="1" si="5"/>
        <v>0</v>
      </c>
      <c r="J41" s="1850">
        <f t="shared" ca="1" si="6"/>
        <v>0</v>
      </c>
      <c r="K41" s="1850">
        <f t="shared" ca="1" si="7"/>
        <v>0</v>
      </c>
      <c r="L41" s="1851">
        <f ca="1">IFERROR($H41*44/12*参考2_エネ使用量経年!L42*参考2_エネ使用量経年!$H42,"")</f>
        <v>0</v>
      </c>
      <c r="M41" s="1851">
        <f ca="1">IFERROR($I41*44/12*参考2_エネ使用量経年!M42*参考2_エネ使用量経年!$I42,"")</f>
        <v>0</v>
      </c>
      <c r="N41" s="1851">
        <f ca="1">IFERROR($J41*44/12*参考2_エネ使用量経年!N42*参考2_エネ使用量経年!$J42,"")</f>
        <v>0</v>
      </c>
      <c r="O41" s="1851">
        <f ca="1">IFERROR($K41*44/12*参考2_エネ使用量経年!O42*参考2_エネ使用量経年!$K42,"")</f>
        <v>0</v>
      </c>
      <c r="P41" s="1852">
        <f ca="1">IFERROR($H41*44/12*参考2_エネ使用量経年!P42*参考2_エネ使用量経年!$H42,"")</f>
        <v>0</v>
      </c>
      <c r="Q41" s="1852">
        <f ca="1">IFERROR($I41*44/12*参考2_エネ使用量経年!Q42*参考2_エネ使用量経年!$I42,"")</f>
        <v>0</v>
      </c>
      <c r="R41" s="1852">
        <f ca="1">IFERROR($J41*44/12*参考2_エネ使用量経年!R42*参考2_エネ使用量経年!$J42,"")</f>
        <v>0</v>
      </c>
      <c r="S41" s="1852">
        <f ca="1">IFERROR($K41*44/12*参考2_エネ使用量経年!S42*参考2_エネ使用量経年!$K42,"")</f>
        <v>0</v>
      </c>
      <c r="T41" s="1851">
        <f ca="1">IFERROR($H41*44/12*参考2_エネ使用量経年!T42*参考2_エネ使用量経年!$H42,"")</f>
        <v>0</v>
      </c>
      <c r="U41" s="1851">
        <f ca="1">IFERROR($I41*44/12*参考2_エネ使用量経年!U42*参考2_エネ使用量経年!$I42,"")</f>
        <v>0</v>
      </c>
      <c r="V41" s="1851">
        <f ca="1">IFERROR($J41*44/12*参考2_エネ使用量経年!V42*参考2_エネ使用量経年!$J42,"")</f>
        <v>0</v>
      </c>
      <c r="W41" s="1851">
        <f ca="1">IFERROR($K41*44/12*参考2_エネ使用量経年!W42*参考2_エネ使用量経年!$K42,"")</f>
        <v>0</v>
      </c>
      <c r="X41" s="1853">
        <f ca="1">IFERROR($H41*44/12*参考2_エネ使用量経年!X42*参考2_エネ使用量経年!$H42,"")</f>
        <v>0</v>
      </c>
      <c r="Y41" s="1853">
        <f ca="1">IFERROR($I41*44/12*参考2_エネ使用量経年!Y42*参考2_エネ使用量経年!$I42,"")</f>
        <v>0</v>
      </c>
      <c r="Z41" s="1853">
        <f ca="1">IFERROR($J41*44/12*参考2_エネ使用量経年!Z42*参考2_エネ使用量経年!$J42,"")</f>
        <v>0</v>
      </c>
      <c r="AA41" s="1853">
        <f ca="1">IFERROR($K41*44/12*参考2_エネ使用量経年!AA42*参考2_エネ使用量経年!$K42,"")</f>
        <v>0</v>
      </c>
      <c r="AB41" s="1853"/>
      <c r="AC41" s="1853"/>
      <c r="AD41" s="1853"/>
      <c r="AE41" s="1853"/>
      <c r="AF41" s="1853"/>
      <c r="AG41" s="1853"/>
      <c r="AH41" s="1853"/>
      <c r="AI41" s="1853"/>
      <c r="AJ41" s="1853"/>
      <c r="AK41" s="1853"/>
      <c r="AL41" s="1853"/>
      <c r="AM41" s="1853"/>
      <c r="AN41" s="1853"/>
      <c r="AO41" s="1853"/>
      <c r="AP41" s="1853"/>
      <c r="AQ41" s="1853"/>
      <c r="AR41" s="1853"/>
      <c r="AS41" s="1853"/>
      <c r="AT41" s="1853"/>
      <c r="AU41" s="1853"/>
      <c r="AV41" s="1853"/>
      <c r="AW41" s="1853"/>
      <c r="AX41" s="1853"/>
      <c r="AY41" s="1853"/>
      <c r="AZ41" s="1853"/>
      <c r="BA41" s="1853"/>
      <c r="BB41" s="1853"/>
      <c r="BC41" s="1853"/>
      <c r="BD41" s="1853"/>
      <c r="BE41" s="1853"/>
      <c r="BF41" s="1853"/>
      <c r="BG41" s="1853"/>
      <c r="BH41" s="1853"/>
      <c r="BI41" s="1853"/>
      <c r="BJ41" s="1853"/>
      <c r="BK41" s="1853"/>
      <c r="BL41" s="1853"/>
      <c r="BM41" s="1853"/>
      <c r="BN41" s="1853"/>
      <c r="BO41" s="1853"/>
    </row>
    <row r="42" spans="1:67" ht="20.100000000000001" customHeight="1">
      <c r="A42" s="1845">
        <v>42</v>
      </c>
      <c r="B42" s="1854"/>
      <c r="C42" s="1847"/>
      <c r="D42" s="1848" t="s">
        <v>566</v>
      </c>
      <c r="E42" s="1848"/>
      <c r="F42" s="1849"/>
      <c r="G42" s="1225" t="s">
        <v>1109</v>
      </c>
      <c r="H42" s="1850">
        <f t="shared" ca="1" si="4"/>
        <v>0</v>
      </c>
      <c r="I42" s="1850">
        <f t="shared" ca="1" si="5"/>
        <v>0</v>
      </c>
      <c r="J42" s="1850">
        <f t="shared" ca="1" si="6"/>
        <v>0</v>
      </c>
      <c r="K42" s="1850">
        <f t="shared" ca="1" si="7"/>
        <v>0</v>
      </c>
      <c r="L42" s="1851">
        <f ca="1">IFERROR($H42*44/12*参考2_エネ使用量経年!L43*参考2_エネ使用量経年!$H43,"")</f>
        <v>0</v>
      </c>
      <c r="M42" s="1851">
        <f ca="1">IFERROR($I42*44/12*参考2_エネ使用量経年!M43*参考2_エネ使用量経年!$I43,"")</f>
        <v>0</v>
      </c>
      <c r="N42" s="1851">
        <f ca="1">IFERROR($J42*44/12*参考2_エネ使用量経年!N43*参考2_エネ使用量経年!$J43,"")</f>
        <v>0</v>
      </c>
      <c r="O42" s="1851">
        <f ca="1">IFERROR($K42*44/12*参考2_エネ使用量経年!O43*参考2_エネ使用量経年!$K43,"")</f>
        <v>0</v>
      </c>
      <c r="P42" s="1852">
        <f ca="1">IFERROR($H42*44/12*参考2_エネ使用量経年!P43*参考2_エネ使用量経年!$H43,"")</f>
        <v>0</v>
      </c>
      <c r="Q42" s="1852">
        <f ca="1">IFERROR($I42*44/12*参考2_エネ使用量経年!Q43*参考2_エネ使用量経年!$I43,"")</f>
        <v>0</v>
      </c>
      <c r="R42" s="1852">
        <f ca="1">IFERROR($J42*44/12*参考2_エネ使用量経年!R43*参考2_エネ使用量経年!$J43,"")</f>
        <v>0</v>
      </c>
      <c r="S42" s="1852">
        <f ca="1">IFERROR($K42*44/12*参考2_エネ使用量経年!S43*参考2_エネ使用量経年!$K43,"")</f>
        <v>0</v>
      </c>
      <c r="T42" s="1851">
        <f ca="1">IFERROR($H42*44/12*参考2_エネ使用量経年!T43*参考2_エネ使用量経年!$H43,"")</f>
        <v>0</v>
      </c>
      <c r="U42" s="1851">
        <f ca="1">IFERROR($I42*44/12*参考2_エネ使用量経年!U43*参考2_エネ使用量経年!$I43,"")</f>
        <v>0</v>
      </c>
      <c r="V42" s="1851">
        <f ca="1">IFERROR($J42*44/12*参考2_エネ使用量経年!V43*参考2_エネ使用量経年!$J43,"")</f>
        <v>0</v>
      </c>
      <c r="W42" s="1851">
        <f ca="1">IFERROR($K42*44/12*参考2_エネ使用量経年!W43*参考2_エネ使用量経年!$K43,"")</f>
        <v>0</v>
      </c>
      <c r="X42" s="1853">
        <f ca="1">IFERROR($H42*44/12*参考2_エネ使用量経年!X43*参考2_エネ使用量経年!$H43,"")</f>
        <v>0</v>
      </c>
      <c r="Y42" s="1853">
        <f ca="1">IFERROR($I42*44/12*参考2_エネ使用量経年!Y43*参考2_エネ使用量経年!$I43,"")</f>
        <v>0</v>
      </c>
      <c r="Z42" s="1853">
        <f ca="1">IFERROR($J42*44/12*参考2_エネ使用量経年!Z43*参考2_エネ使用量経年!$J43,"")</f>
        <v>0</v>
      </c>
      <c r="AA42" s="1853">
        <f ca="1">IFERROR($K42*44/12*参考2_エネ使用量経年!AA43*参考2_エネ使用量経年!$K43,"")</f>
        <v>0</v>
      </c>
      <c r="AB42" s="1853"/>
      <c r="AC42" s="1853"/>
      <c r="AD42" s="1853"/>
      <c r="AE42" s="1853"/>
      <c r="AF42" s="1853"/>
      <c r="AG42" s="1853"/>
      <c r="AH42" s="1853"/>
      <c r="AI42" s="1853"/>
      <c r="AJ42" s="1853"/>
      <c r="AK42" s="1853"/>
      <c r="AL42" s="1853"/>
      <c r="AM42" s="1853"/>
      <c r="AN42" s="1853"/>
      <c r="AO42" s="1853"/>
      <c r="AP42" s="1853"/>
      <c r="AQ42" s="1853"/>
      <c r="AR42" s="1853"/>
      <c r="AS42" s="1853"/>
      <c r="AT42" s="1853"/>
      <c r="AU42" s="1853"/>
      <c r="AV42" s="1853"/>
      <c r="AW42" s="1853"/>
      <c r="AX42" s="1853"/>
      <c r="AY42" s="1853"/>
      <c r="AZ42" s="1853"/>
      <c r="BA42" s="1853"/>
      <c r="BB42" s="1853"/>
      <c r="BC42" s="1853"/>
      <c r="BD42" s="1853"/>
      <c r="BE42" s="1853"/>
      <c r="BF42" s="1853"/>
      <c r="BG42" s="1853"/>
      <c r="BH42" s="1853"/>
      <c r="BI42" s="1853"/>
      <c r="BJ42" s="1853"/>
      <c r="BK42" s="1853"/>
      <c r="BL42" s="1853"/>
      <c r="BM42" s="1853"/>
      <c r="BN42" s="1853"/>
      <c r="BO42" s="1853"/>
    </row>
    <row r="43" spans="1:67" ht="20.100000000000001" customHeight="1">
      <c r="A43" s="1845">
        <v>43</v>
      </c>
      <c r="B43" s="1854"/>
      <c r="C43" s="1847"/>
      <c r="D43" s="1848" t="s">
        <v>940</v>
      </c>
      <c r="E43" s="1858" t="str">
        <f ca="1">参考2_エネ使用量経年!E44</f>
        <v/>
      </c>
      <c r="F43" s="1860"/>
      <c r="G43" s="1225" t="s">
        <v>1109</v>
      </c>
      <c r="H43" s="1850">
        <f t="shared" ca="1" si="4"/>
        <v>0</v>
      </c>
      <c r="I43" s="1850">
        <f t="shared" ca="1" si="5"/>
        <v>0</v>
      </c>
      <c r="J43" s="1850">
        <f t="shared" ca="1" si="6"/>
        <v>0</v>
      </c>
      <c r="K43" s="1850">
        <f t="shared" ca="1" si="7"/>
        <v>0</v>
      </c>
      <c r="L43" s="1851">
        <f ca="1">IFERROR($H43*44/12*参考2_エネ使用量経年!L44*参考2_エネ使用量経年!$H44,"")</f>
        <v>0</v>
      </c>
      <c r="M43" s="1851">
        <f ca="1">IFERROR($I43*44/12*参考2_エネ使用量経年!M44*参考2_エネ使用量経年!$I44,"")</f>
        <v>0</v>
      </c>
      <c r="N43" s="1851">
        <f ca="1">IFERROR($J43*44/12*参考2_エネ使用量経年!N44*参考2_エネ使用量経年!$J44,"")</f>
        <v>0</v>
      </c>
      <c r="O43" s="1851">
        <f ca="1">IFERROR($K43*44/12*参考2_エネ使用量経年!O44*参考2_エネ使用量経年!$K44,"")</f>
        <v>0</v>
      </c>
      <c r="P43" s="1852">
        <f ca="1">IFERROR($H43*44/12*参考2_エネ使用量経年!P44*参考2_エネ使用量経年!$H44,"")</f>
        <v>0</v>
      </c>
      <c r="Q43" s="1852">
        <f ca="1">IFERROR($I43*44/12*参考2_エネ使用量経年!Q44*参考2_エネ使用量経年!$I44,"")</f>
        <v>0</v>
      </c>
      <c r="R43" s="1852">
        <f ca="1">IFERROR($J43*44/12*参考2_エネ使用量経年!R44*参考2_エネ使用量経年!$J44,"")</f>
        <v>0</v>
      </c>
      <c r="S43" s="1852">
        <f ca="1">IFERROR($K43*44/12*参考2_エネ使用量経年!S44*参考2_エネ使用量経年!$K44,"")</f>
        <v>0</v>
      </c>
      <c r="T43" s="1851">
        <f ca="1">IFERROR($H43*44/12*参考2_エネ使用量経年!T44*参考2_エネ使用量経年!$H44,"")</f>
        <v>0</v>
      </c>
      <c r="U43" s="1851">
        <f ca="1">IFERROR($I43*44/12*参考2_エネ使用量経年!U44*参考2_エネ使用量経年!$I44,"")</f>
        <v>0</v>
      </c>
      <c r="V43" s="1851">
        <f ca="1">IFERROR($J43*44/12*参考2_エネ使用量経年!V44*参考2_エネ使用量経年!$J44,"")</f>
        <v>0</v>
      </c>
      <c r="W43" s="1851">
        <f ca="1">IFERROR($K43*44/12*参考2_エネ使用量経年!W44*参考2_エネ使用量経年!$K44,"")</f>
        <v>0</v>
      </c>
      <c r="X43" s="1853">
        <f ca="1">IFERROR($H43*44/12*参考2_エネ使用量経年!X44*参考2_エネ使用量経年!$H44,"")</f>
        <v>0</v>
      </c>
      <c r="Y43" s="1853">
        <f ca="1">IFERROR($I43*44/12*参考2_エネ使用量経年!Y44*参考2_エネ使用量経年!$I44,"")</f>
        <v>0</v>
      </c>
      <c r="Z43" s="1853">
        <f ca="1">IFERROR($J43*44/12*参考2_エネ使用量経年!Z44*参考2_エネ使用量経年!$J44,"")</f>
        <v>0</v>
      </c>
      <c r="AA43" s="1853">
        <f ca="1">IFERROR($K43*44/12*参考2_エネ使用量経年!AA44*参考2_エネ使用量経年!$K44,"")</f>
        <v>0</v>
      </c>
      <c r="AB43" s="1853"/>
      <c r="AC43" s="1853"/>
      <c r="AD43" s="1853"/>
      <c r="AE43" s="1853"/>
      <c r="AF43" s="1853"/>
      <c r="AG43" s="1853"/>
      <c r="AH43" s="1853"/>
      <c r="AI43" s="1853"/>
      <c r="AJ43" s="1853"/>
      <c r="AK43" s="1853"/>
      <c r="AL43" s="1853"/>
      <c r="AM43" s="1853"/>
      <c r="AN43" s="1853"/>
      <c r="AO43" s="1853"/>
      <c r="AP43" s="1853"/>
      <c r="AQ43" s="1853"/>
      <c r="AR43" s="1853"/>
      <c r="AS43" s="1853"/>
      <c r="AT43" s="1853"/>
      <c r="AU43" s="1853"/>
      <c r="AV43" s="1853"/>
      <c r="AW43" s="1853"/>
      <c r="AX43" s="1853"/>
      <c r="AY43" s="1853"/>
      <c r="AZ43" s="1853"/>
      <c r="BA43" s="1853"/>
      <c r="BB43" s="1853"/>
      <c r="BC43" s="1853"/>
      <c r="BD43" s="1853"/>
      <c r="BE43" s="1853"/>
      <c r="BF43" s="1853"/>
      <c r="BG43" s="1853"/>
      <c r="BH43" s="1853"/>
      <c r="BI43" s="1853"/>
      <c r="BJ43" s="1853"/>
      <c r="BK43" s="1853"/>
      <c r="BL43" s="1853"/>
      <c r="BM43" s="1853"/>
      <c r="BN43" s="1853"/>
      <c r="BO43" s="1853"/>
    </row>
    <row r="44" spans="1:67" ht="20.100000000000001" customHeight="1">
      <c r="A44" s="1845">
        <v>44</v>
      </c>
      <c r="B44" s="1854"/>
      <c r="C44" s="1847"/>
      <c r="D44" s="1859" t="s">
        <v>567</v>
      </c>
      <c r="E44" s="1848"/>
      <c r="F44" s="1849"/>
      <c r="G44" s="1225" t="s">
        <v>1109</v>
      </c>
      <c r="H44" s="1850">
        <f t="shared" ca="1" si="4"/>
        <v>1.6199999999999999E-2</v>
      </c>
      <c r="I44" s="1850">
        <f t="shared" ca="1" si="5"/>
        <v>1.6199999999999999E-2</v>
      </c>
      <c r="J44" s="1850">
        <f t="shared" ca="1" si="6"/>
        <v>1.6199999999999999E-2</v>
      </c>
      <c r="K44" s="1850">
        <f t="shared" ca="1" si="7"/>
        <v>1.6199999999999999E-2</v>
      </c>
      <c r="L44" s="1851">
        <f ca="1">IFERROR($H44*44/12*参考2_エネ使用量経年!L45*参考2_エネ使用量経年!$H45,"")</f>
        <v>0</v>
      </c>
      <c r="M44" s="1851">
        <f ca="1">IFERROR($I44*44/12*参考2_エネ使用量経年!M45*参考2_エネ使用量経年!$I45,"")</f>
        <v>0</v>
      </c>
      <c r="N44" s="1851">
        <f ca="1">IFERROR($J44*44/12*参考2_エネ使用量経年!N45*参考2_エネ使用量経年!$J45,"")</f>
        <v>0</v>
      </c>
      <c r="O44" s="1851">
        <f ca="1">IFERROR($K44*44/12*参考2_エネ使用量経年!O45*参考2_エネ使用量経年!$K45,"")</f>
        <v>0</v>
      </c>
      <c r="P44" s="1852">
        <f ca="1">IFERROR($H44*44/12*参考2_エネ使用量経年!P45*参考2_エネ使用量経年!$H45,"")</f>
        <v>0</v>
      </c>
      <c r="Q44" s="1852">
        <f ca="1">IFERROR($I44*44/12*参考2_エネ使用量経年!Q45*参考2_エネ使用量経年!$I45,"")</f>
        <v>0</v>
      </c>
      <c r="R44" s="1852">
        <f ca="1">IFERROR($J44*44/12*参考2_エネ使用量経年!R45*参考2_エネ使用量経年!$J45,"")</f>
        <v>0</v>
      </c>
      <c r="S44" s="1852">
        <f ca="1">IFERROR($K44*44/12*参考2_エネ使用量経年!S45*参考2_エネ使用量経年!$K45,"")</f>
        <v>0</v>
      </c>
      <c r="T44" s="1851">
        <f ca="1">IFERROR($H44*44/12*参考2_エネ使用量経年!T45*参考2_エネ使用量経年!$H45,"")</f>
        <v>0</v>
      </c>
      <c r="U44" s="1851">
        <f ca="1">IFERROR($I44*44/12*参考2_エネ使用量経年!U45*参考2_エネ使用量経年!$I45,"")</f>
        <v>0</v>
      </c>
      <c r="V44" s="1851">
        <f ca="1">IFERROR($J44*44/12*参考2_エネ使用量経年!V45*参考2_エネ使用量経年!$J45,"")</f>
        <v>0</v>
      </c>
      <c r="W44" s="1851">
        <f ca="1">IFERROR($K44*44/12*参考2_エネ使用量経年!W45*参考2_エネ使用量経年!$K45,"")</f>
        <v>0</v>
      </c>
      <c r="X44" s="1853">
        <f ca="1">IFERROR($H44*44/12*参考2_エネ使用量経年!X45*参考2_エネ使用量経年!$H45,"")</f>
        <v>0</v>
      </c>
      <c r="Y44" s="1853">
        <f ca="1">IFERROR($I44*44/12*参考2_エネ使用量経年!Y45*参考2_エネ使用量経年!$I45,"")</f>
        <v>0</v>
      </c>
      <c r="Z44" s="1853">
        <f ca="1">IFERROR($J44*44/12*参考2_エネ使用量経年!Z45*参考2_エネ使用量経年!$J45,"")</f>
        <v>0</v>
      </c>
      <c r="AA44" s="1853">
        <f ca="1">IFERROR($K44*44/12*参考2_エネ使用量経年!AA45*参考2_エネ使用量経年!$K45,"")</f>
        <v>0</v>
      </c>
      <c r="AB44" s="1853"/>
      <c r="AC44" s="1853"/>
      <c r="AD44" s="1853"/>
      <c r="AE44" s="1853"/>
      <c r="AF44" s="1853"/>
      <c r="AG44" s="1853"/>
      <c r="AH44" s="1853"/>
      <c r="AI44" s="1853"/>
      <c r="AJ44" s="1853"/>
      <c r="AK44" s="1853"/>
      <c r="AL44" s="1853"/>
      <c r="AM44" s="1853"/>
      <c r="AN44" s="1853"/>
      <c r="AO44" s="1853"/>
      <c r="AP44" s="1853"/>
      <c r="AQ44" s="1853"/>
      <c r="AR44" s="1853"/>
      <c r="AS44" s="1853"/>
      <c r="AT44" s="1853"/>
      <c r="AU44" s="1853"/>
      <c r="AV44" s="1853"/>
      <c r="AW44" s="1853"/>
      <c r="AX44" s="1853"/>
      <c r="AY44" s="1853"/>
      <c r="AZ44" s="1853"/>
      <c r="BA44" s="1853"/>
      <c r="BB44" s="1853"/>
      <c r="BC44" s="1853"/>
      <c r="BD44" s="1853"/>
      <c r="BE44" s="1853"/>
      <c r="BF44" s="1853"/>
      <c r="BG44" s="1853"/>
      <c r="BH44" s="1853"/>
      <c r="BI44" s="1853"/>
      <c r="BJ44" s="1853"/>
      <c r="BK44" s="1853"/>
      <c r="BL44" s="1853"/>
      <c r="BM44" s="1853"/>
      <c r="BN44" s="1853"/>
      <c r="BO44" s="1853"/>
    </row>
    <row r="45" spans="1:67" ht="20.100000000000001" customHeight="1">
      <c r="A45" s="1845">
        <v>45</v>
      </c>
      <c r="B45" s="1854"/>
      <c r="C45" s="1847"/>
      <c r="D45" s="1859" t="s">
        <v>568</v>
      </c>
      <c r="E45" s="1861"/>
      <c r="F45" s="1849"/>
      <c r="G45" s="1225" t="s">
        <v>1109</v>
      </c>
      <c r="H45" s="1850">
        <f t="shared" ca="1" si="4"/>
        <v>1.66E-2</v>
      </c>
      <c r="I45" s="1850">
        <f t="shared" ca="1" si="5"/>
        <v>1.66E-2</v>
      </c>
      <c r="J45" s="1850">
        <f t="shared" ca="1" si="6"/>
        <v>1.66E-2</v>
      </c>
      <c r="K45" s="1850">
        <f t="shared" ca="1" si="7"/>
        <v>1.66E-2</v>
      </c>
      <c r="L45" s="1851">
        <f ca="1">IFERROR($H45*44/12*参考2_エネ使用量経年!L46*参考2_エネ使用量経年!$H46,"")</f>
        <v>0</v>
      </c>
      <c r="M45" s="1851">
        <f ca="1">IFERROR($I45*44/12*参考2_エネ使用量経年!M46*参考2_エネ使用量経年!$I46,"")</f>
        <v>0</v>
      </c>
      <c r="N45" s="1851">
        <f ca="1">IFERROR($J45*44/12*参考2_エネ使用量経年!N46*参考2_エネ使用量経年!$J46,"")</f>
        <v>0</v>
      </c>
      <c r="O45" s="1851">
        <f ca="1">IFERROR($K45*44/12*参考2_エネ使用量経年!O46*参考2_エネ使用量経年!$K46,"")</f>
        <v>0</v>
      </c>
      <c r="P45" s="1852">
        <f ca="1">IFERROR($H45*44/12*参考2_エネ使用量経年!P46*参考2_エネ使用量経年!$H46,"")</f>
        <v>0</v>
      </c>
      <c r="Q45" s="1852">
        <f ca="1">IFERROR($I45*44/12*参考2_エネ使用量経年!Q46*参考2_エネ使用量経年!$I46,"")</f>
        <v>0</v>
      </c>
      <c r="R45" s="1852">
        <f ca="1">IFERROR($J45*44/12*参考2_エネ使用量経年!R46*参考2_エネ使用量経年!$J46,"")</f>
        <v>0</v>
      </c>
      <c r="S45" s="1852">
        <f ca="1">IFERROR($K45*44/12*参考2_エネ使用量経年!S46*参考2_エネ使用量経年!$K46,"")</f>
        <v>0</v>
      </c>
      <c r="T45" s="1851">
        <f ca="1">IFERROR($H45*44/12*参考2_エネ使用量経年!T46*参考2_エネ使用量経年!$H46,"")</f>
        <v>0</v>
      </c>
      <c r="U45" s="1851">
        <f ca="1">IFERROR($I45*44/12*参考2_エネ使用量経年!U46*参考2_エネ使用量経年!$I46,"")</f>
        <v>0</v>
      </c>
      <c r="V45" s="1851">
        <f ca="1">IFERROR($J45*44/12*参考2_エネ使用量経年!V46*参考2_エネ使用量経年!$J46,"")</f>
        <v>0</v>
      </c>
      <c r="W45" s="1851">
        <f ca="1">IFERROR($K45*44/12*参考2_エネ使用量経年!W46*参考2_エネ使用量経年!$K46,"")</f>
        <v>0</v>
      </c>
      <c r="X45" s="1853">
        <f ca="1">IFERROR($H45*44/12*参考2_エネ使用量経年!X46*参考2_エネ使用量経年!$H46,"")</f>
        <v>0</v>
      </c>
      <c r="Y45" s="1853">
        <f ca="1">IFERROR($I45*44/12*参考2_エネ使用量経年!Y46*参考2_エネ使用量経年!$I46,"")</f>
        <v>0</v>
      </c>
      <c r="Z45" s="1853">
        <f ca="1">IFERROR($J45*44/12*参考2_エネ使用量経年!Z46*参考2_エネ使用量経年!$J46,"")</f>
        <v>0</v>
      </c>
      <c r="AA45" s="1853">
        <f ca="1">IFERROR($K45*44/12*参考2_エネ使用量経年!AA46*参考2_エネ使用量経年!$K46,"")</f>
        <v>0</v>
      </c>
      <c r="AB45" s="1853"/>
      <c r="AC45" s="1853"/>
      <c r="AD45" s="1853"/>
      <c r="AE45" s="1853"/>
      <c r="AF45" s="1853"/>
      <c r="AG45" s="1853"/>
      <c r="AH45" s="1853"/>
      <c r="AI45" s="1853"/>
      <c r="AJ45" s="1853"/>
      <c r="AK45" s="1853"/>
      <c r="AL45" s="1853"/>
      <c r="AM45" s="1853"/>
      <c r="AN45" s="1853"/>
      <c r="AO45" s="1853"/>
      <c r="AP45" s="1853"/>
      <c r="AQ45" s="1853"/>
      <c r="AR45" s="1853"/>
      <c r="AS45" s="1853"/>
      <c r="AT45" s="1853"/>
      <c r="AU45" s="1853"/>
      <c r="AV45" s="1853"/>
      <c r="AW45" s="1853"/>
      <c r="AX45" s="1853"/>
      <c r="AY45" s="1853"/>
      <c r="AZ45" s="1853"/>
      <c r="BA45" s="1853"/>
      <c r="BB45" s="1853"/>
      <c r="BC45" s="1853"/>
      <c r="BD45" s="1853"/>
      <c r="BE45" s="1853"/>
      <c r="BF45" s="1853"/>
      <c r="BG45" s="1853"/>
      <c r="BH45" s="1853"/>
      <c r="BI45" s="1853"/>
      <c r="BJ45" s="1853"/>
      <c r="BK45" s="1853"/>
      <c r="BL45" s="1853"/>
      <c r="BM45" s="1853"/>
      <c r="BN45" s="1853"/>
      <c r="BO45" s="1853"/>
    </row>
    <row r="46" spans="1:67" ht="20.100000000000001" customHeight="1">
      <c r="A46" s="1845">
        <v>46</v>
      </c>
      <c r="B46" s="1854"/>
      <c r="C46" s="1847"/>
      <c r="D46" s="1859" t="s">
        <v>941</v>
      </c>
      <c r="E46" s="1837"/>
      <c r="F46" s="1849"/>
      <c r="G46" s="1225" t="s">
        <v>1109</v>
      </c>
      <c r="H46" s="1850">
        <f t="shared" ca="1" si="4"/>
        <v>1.35E-2</v>
      </c>
      <c r="I46" s="1850">
        <f t="shared" ca="1" si="5"/>
        <v>1.35E-2</v>
      </c>
      <c r="J46" s="1850">
        <f t="shared" ca="1" si="6"/>
        <v>1.35E-2</v>
      </c>
      <c r="K46" s="1850">
        <f t="shared" ca="1" si="7"/>
        <v>1.35E-2</v>
      </c>
      <c r="L46" s="1851">
        <f ca="1">IFERROR($H46*44/12*参考2_エネ使用量経年!L47*参考2_エネ使用量経年!$H47,"")</f>
        <v>0</v>
      </c>
      <c r="M46" s="1851">
        <f ca="1">IFERROR($I46*44/12*参考2_エネ使用量経年!M47*参考2_エネ使用量経年!$I47,"")</f>
        <v>0</v>
      </c>
      <c r="N46" s="1851">
        <f ca="1">IFERROR($J46*44/12*参考2_エネ使用量経年!N47*参考2_エネ使用量経年!$J47,"")</f>
        <v>0</v>
      </c>
      <c r="O46" s="1851">
        <f ca="1">IFERROR($K46*44/12*参考2_エネ使用量経年!O47*参考2_エネ使用量経年!$K47,"")</f>
        <v>0</v>
      </c>
      <c r="P46" s="1852">
        <f ca="1">IFERROR($H46*44/12*参考2_エネ使用量経年!P47*参考2_エネ使用量経年!$H47,"")</f>
        <v>0</v>
      </c>
      <c r="Q46" s="1852">
        <f ca="1">IFERROR($I46*44/12*参考2_エネ使用量経年!Q47*参考2_エネ使用量経年!$I47,"")</f>
        <v>0</v>
      </c>
      <c r="R46" s="1852">
        <f ca="1">IFERROR($J46*44/12*参考2_エネ使用量経年!R47*参考2_エネ使用量経年!$J47,"")</f>
        <v>0</v>
      </c>
      <c r="S46" s="1852">
        <f ca="1">IFERROR($K46*44/12*参考2_エネ使用量経年!S47*参考2_エネ使用量経年!$K47,"")</f>
        <v>0</v>
      </c>
      <c r="T46" s="1851">
        <f ca="1">IFERROR($H46*44/12*参考2_エネ使用量経年!T47*参考2_エネ使用量経年!$H47,"")</f>
        <v>0</v>
      </c>
      <c r="U46" s="1851">
        <f ca="1">IFERROR($I46*44/12*参考2_エネ使用量経年!U47*参考2_エネ使用量経年!$I47,"")</f>
        <v>0</v>
      </c>
      <c r="V46" s="1851">
        <f ca="1">IFERROR($J46*44/12*参考2_エネ使用量経年!V47*参考2_エネ使用量経年!$J47,"")</f>
        <v>0</v>
      </c>
      <c r="W46" s="1851">
        <f ca="1">IFERROR($K46*44/12*参考2_エネ使用量経年!W47*参考2_エネ使用量経年!$K47,"")</f>
        <v>0</v>
      </c>
      <c r="X46" s="1853">
        <f ca="1">IFERROR($H46*44/12*参考2_エネ使用量経年!X47*参考2_エネ使用量経年!$H47,"")</f>
        <v>0</v>
      </c>
      <c r="Y46" s="1853">
        <f ca="1">IFERROR($I46*44/12*参考2_エネ使用量経年!Y47*参考2_エネ使用量経年!$I47,"")</f>
        <v>0</v>
      </c>
      <c r="Z46" s="1853">
        <f ca="1">IFERROR($J46*44/12*参考2_エネ使用量経年!Z47*参考2_エネ使用量経年!$J47,"")</f>
        <v>0</v>
      </c>
      <c r="AA46" s="1853">
        <f ca="1">IFERROR($K46*44/12*参考2_エネ使用量経年!AA47*参考2_エネ使用量経年!$K47,"")</f>
        <v>0</v>
      </c>
      <c r="AB46" s="1853"/>
      <c r="AC46" s="1853"/>
      <c r="AD46" s="1853"/>
      <c r="AE46" s="1853"/>
      <c r="AF46" s="1853"/>
      <c r="AG46" s="1853"/>
      <c r="AH46" s="1853"/>
      <c r="AI46" s="1853"/>
      <c r="AJ46" s="1853"/>
      <c r="AK46" s="1853"/>
      <c r="AL46" s="1853"/>
      <c r="AM46" s="1853"/>
      <c r="AN46" s="1853"/>
      <c r="AO46" s="1853"/>
      <c r="AP46" s="1853"/>
      <c r="AQ46" s="1853"/>
      <c r="AR46" s="1853"/>
      <c r="AS46" s="1853"/>
      <c r="AT46" s="1853"/>
      <c r="AU46" s="1853"/>
      <c r="AV46" s="1853"/>
      <c r="AW46" s="1853"/>
      <c r="AX46" s="1853"/>
      <c r="AY46" s="1853"/>
      <c r="AZ46" s="1853"/>
      <c r="BA46" s="1853"/>
      <c r="BB46" s="1853"/>
      <c r="BC46" s="1853"/>
      <c r="BD46" s="1853"/>
      <c r="BE46" s="1853"/>
      <c r="BF46" s="1853"/>
      <c r="BG46" s="1853"/>
      <c r="BH46" s="1853"/>
      <c r="BI46" s="1853"/>
      <c r="BJ46" s="1853"/>
      <c r="BK46" s="1853"/>
      <c r="BL46" s="1853"/>
      <c r="BM46" s="1853"/>
      <c r="BN46" s="1853"/>
      <c r="BO46" s="1853"/>
    </row>
    <row r="47" spans="1:67" ht="20.100000000000001" customHeight="1">
      <c r="A47" s="1845">
        <v>47</v>
      </c>
      <c r="B47" s="1855"/>
      <c r="C47" s="1847"/>
      <c r="D47" s="1859" t="s">
        <v>942</v>
      </c>
      <c r="E47" s="1848"/>
      <c r="F47" s="1849"/>
      <c r="G47" s="1225" t="s">
        <v>1109</v>
      </c>
      <c r="H47" s="1850">
        <f t="shared" ca="1" si="4"/>
        <v>2.5700000000000001E-2</v>
      </c>
      <c r="I47" s="1850">
        <f t="shared" ca="1" si="5"/>
        <v>2.5700000000000001E-2</v>
      </c>
      <c r="J47" s="1850">
        <f t="shared" ca="1" si="6"/>
        <v>2.5700000000000001E-2</v>
      </c>
      <c r="K47" s="1850">
        <f t="shared" ca="1" si="7"/>
        <v>2.5700000000000001E-2</v>
      </c>
      <c r="L47" s="1851">
        <f ca="1">IFERROR($H47*44/12*参考2_エネ使用量経年!L48*参考2_エネ使用量経年!$H48,"")</f>
        <v>0</v>
      </c>
      <c r="M47" s="1851">
        <f ca="1">IFERROR($I47*44/12*参考2_エネ使用量経年!M48*参考2_エネ使用量経年!$I48,"")</f>
        <v>0</v>
      </c>
      <c r="N47" s="1851">
        <f ca="1">IFERROR($J47*44/12*参考2_エネ使用量経年!N48*参考2_エネ使用量経年!$J48,"")</f>
        <v>0</v>
      </c>
      <c r="O47" s="1851">
        <f ca="1">IFERROR($K47*44/12*参考2_エネ使用量経年!O48*参考2_エネ使用量経年!$K48,"")</f>
        <v>0</v>
      </c>
      <c r="P47" s="1852">
        <f ca="1">IFERROR($H47*44/12*参考2_エネ使用量経年!P48*参考2_エネ使用量経年!$H48,"")</f>
        <v>0</v>
      </c>
      <c r="Q47" s="1852">
        <f ca="1">IFERROR($I47*44/12*参考2_エネ使用量経年!Q48*参考2_エネ使用量経年!$I48,"")</f>
        <v>0</v>
      </c>
      <c r="R47" s="1852">
        <f ca="1">IFERROR($J47*44/12*参考2_エネ使用量経年!R48*参考2_エネ使用量経年!$J48,"")</f>
        <v>0</v>
      </c>
      <c r="S47" s="1852">
        <f ca="1">IFERROR($K47*44/12*参考2_エネ使用量経年!S48*参考2_エネ使用量経年!$K48,"")</f>
        <v>0</v>
      </c>
      <c r="T47" s="1851">
        <f ca="1">IFERROR($H47*44/12*参考2_エネ使用量経年!T48*参考2_エネ使用量経年!$H48,"")</f>
        <v>0</v>
      </c>
      <c r="U47" s="1851">
        <f ca="1">IFERROR($I47*44/12*参考2_エネ使用量経年!U48*参考2_エネ使用量経年!$I48,"")</f>
        <v>0</v>
      </c>
      <c r="V47" s="1851">
        <f ca="1">IFERROR($J47*44/12*参考2_エネ使用量経年!V48*参考2_エネ使用量経年!$J48,"")</f>
        <v>0</v>
      </c>
      <c r="W47" s="1851">
        <f ca="1">IFERROR($K47*44/12*参考2_エネ使用量経年!W48*参考2_エネ使用量経年!$K48,"")</f>
        <v>0</v>
      </c>
      <c r="X47" s="1853">
        <f ca="1">IFERROR($H47*44/12*参考2_エネ使用量経年!X48*参考2_エネ使用量経年!$H48,"")</f>
        <v>0</v>
      </c>
      <c r="Y47" s="1853">
        <f ca="1">IFERROR($I47*44/12*参考2_エネ使用量経年!Y48*参考2_エネ使用量経年!$I48,"")</f>
        <v>0</v>
      </c>
      <c r="Z47" s="1853">
        <f ca="1">IFERROR($J47*44/12*参考2_エネ使用量経年!Z48*参考2_エネ使用量経年!$J48,"")</f>
        <v>0</v>
      </c>
      <c r="AA47" s="1853">
        <f ca="1">IFERROR($K47*44/12*参考2_エネ使用量経年!AA48*参考2_エネ使用量経年!$K48,"")</f>
        <v>0</v>
      </c>
      <c r="AB47" s="1853"/>
      <c r="AC47" s="1853"/>
      <c r="AD47" s="1853"/>
      <c r="AE47" s="1853"/>
      <c r="AF47" s="1853"/>
      <c r="AG47" s="1853"/>
      <c r="AH47" s="1853"/>
      <c r="AI47" s="1853"/>
      <c r="AJ47" s="1853"/>
      <c r="AK47" s="1853"/>
      <c r="AL47" s="1853"/>
      <c r="AM47" s="1853"/>
      <c r="AN47" s="1853"/>
      <c r="AO47" s="1853"/>
      <c r="AP47" s="1853"/>
      <c r="AQ47" s="1853"/>
      <c r="AR47" s="1853"/>
      <c r="AS47" s="1853"/>
      <c r="AT47" s="1853"/>
      <c r="AU47" s="1853"/>
      <c r="AV47" s="1853"/>
      <c r="AW47" s="1853"/>
      <c r="AX47" s="1853"/>
      <c r="AY47" s="1853"/>
      <c r="AZ47" s="1853"/>
      <c r="BA47" s="1853"/>
      <c r="BB47" s="1853"/>
      <c r="BC47" s="1853"/>
      <c r="BD47" s="1853"/>
      <c r="BE47" s="1853"/>
      <c r="BF47" s="1853"/>
      <c r="BG47" s="1853"/>
      <c r="BH47" s="1853"/>
      <c r="BI47" s="1853"/>
      <c r="BJ47" s="1853"/>
      <c r="BK47" s="1853"/>
      <c r="BL47" s="1853"/>
      <c r="BM47" s="1853"/>
      <c r="BN47" s="1853"/>
      <c r="BO47" s="1853"/>
    </row>
    <row r="48" spans="1:67" ht="20.100000000000001" customHeight="1">
      <c r="A48" s="1845">
        <v>48</v>
      </c>
      <c r="B48" s="1855"/>
      <c r="C48" s="1847"/>
      <c r="D48" s="1859" t="s">
        <v>943</v>
      </c>
      <c r="E48" s="1848"/>
      <c r="F48" s="1849"/>
      <c r="G48" s="1225" t="s">
        <v>1109</v>
      </c>
      <c r="H48" s="1850">
        <f t="shared" ca="1" si="4"/>
        <v>2.3900000000000001E-2</v>
      </c>
      <c r="I48" s="1850">
        <f t="shared" ca="1" si="5"/>
        <v>2.3900000000000001E-2</v>
      </c>
      <c r="J48" s="1850">
        <f t="shared" ca="1" si="6"/>
        <v>2.3900000000000001E-2</v>
      </c>
      <c r="K48" s="1850">
        <f t="shared" ca="1" si="7"/>
        <v>2.3900000000000001E-2</v>
      </c>
      <c r="L48" s="1851">
        <f ca="1">IFERROR($H48*44/12*参考2_エネ使用量経年!L49*参考2_エネ使用量経年!$H49,"")</f>
        <v>0</v>
      </c>
      <c r="M48" s="1851">
        <f ca="1">IFERROR($I48*44/12*参考2_エネ使用量経年!M49*参考2_エネ使用量経年!$I49,"")</f>
        <v>0</v>
      </c>
      <c r="N48" s="1851">
        <f ca="1">IFERROR($J48*44/12*参考2_エネ使用量経年!N49*参考2_エネ使用量経年!$J49,"")</f>
        <v>0</v>
      </c>
      <c r="O48" s="1851">
        <f ca="1">IFERROR($K48*44/12*参考2_エネ使用量経年!O49*参考2_エネ使用量経年!$K49,"")</f>
        <v>0</v>
      </c>
      <c r="P48" s="1852">
        <f ca="1">IFERROR($H48*44/12*参考2_エネ使用量経年!P49*参考2_エネ使用量経年!$H49,"")</f>
        <v>0</v>
      </c>
      <c r="Q48" s="1852">
        <f ca="1">IFERROR($I48*44/12*参考2_エネ使用量経年!Q49*参考2_エネ使用量経年!$I49,"")</f>
        <v>0</v>
      </c>
      <c r="R48" s="1852">
        <f ca="1">IFERROR($J48*44/12*参考2_エネ使用量経年!R49*参考2_エネ使用量経年!$J49,"")</f>
        <v>0</v>
      </c>
      <c r="S48" s="1852">
        <f ca="1">IFERROR($K48*44/12*参考2_エネ使用量経年!S49*参考2_エネ使用量経年!$K49,"")</f>
        <v>0</v>
      </c>
      <c r="T48" s="1851">
        <f ca="1">IFERROR($H48*44/12*参考2_エネ使用量経年!T49*参考2_エネ使用量経年!$H49,"")</f>
        <v>0</v>
      </c>
      <c r="U48" s="1851">
        <f ca="1">IFERROR($I48*44/12*参考2_エネ使用量経年!U49*参考2_エネ使用量経年!$I49,"")</f>
        <v>0</v>
      </c>
      <c r="V48" s="1851">
        <f ca="1">IFERROR($J48*44/12*参考2_エネ使用量経年!V49*参考2_エネ使用量経年!$J49,"")</f>
        <v>0</v>
      </c>
      <c r="W48" s="1851">
        <f ca="1">IFERROR($K48*44/12*参考2_エネ使用量経年!W49*参考2_エネ使用量経年!$K49,"")</f>
        <v>0</v>
      </c>
      <c r="X48" s="1853">
        <f ca="1">IFERROR($H48*44/12*参考2_エネ使用量経年!X49*参考2_エネ使用量経年!$H49,"")</f>
        <v>0</v>
      </c>
      <c r="Y48" s="1853">
        <f ca="1">IFERROR($I48*44/12*参考2_エネ使用量経年!Y49*参考2_エネ使用量経年!$I49,"")</f>
        <v>0</v>
      </c>
      <c r="Z48" s="1853">
        <f ca="1">IFERROR($J48*44/12*参考2_エネ使用量経年!Z49*参考2_エネ使用量経年!$J49,"")</f>
        <v>0</v>
      </c>
      <c r="AA48" s="1853">
        <f ca="1">IFERROR($K48*44/12*参考2_エネ使用量経年!AA49*参考2_エネ使用量経年!$K49,"")</f>
        <v>0</v>
      </c>
      <c r="AB48" s="1853"/>
      <c r="AC48" s="1853"/>
      <c r="AD48" s="1853"/>
      <c r="AE48" s="1853"/>
      <c r="AF48" s="1853"/>
      <c r="AG48" s="1853"/>
      <c r="AH48" s="1853"/>
      <c r="AI48" s="1853"/>
      <c r="AJ48" s="1853"/>
      <c r="AK48" s="1853"/>
      <c r="AL48" s="1853"/>
      <c r="AM48" s="1853"/>
      <c r="AN48" s="1853"/>
      <c r="AO48" s="1853"/>
      <c r="AP48" s="1853"/>
      <c r="AQ48" s="1853"/>
      <c r="AR48" s="1853"/>
      <c r="AS48" s="1853"/>
      <c r="AT48" s="1853"/>
      <c r="AU48" s="1853"/>
      <c r="AV48" s="1853"/>
      <c r="AW48" s="1853"/>
      <c r="AX48" s="1853"/>
      <c r="AY48" s="1853"/>
      <c r="AZ48" s="1853"/>
      <c r="BA48" s="1853"/>
      <c r="BB48" s="1853"/>
      <c r="BC48" s="1853"/>
      <c r="BD48" s="1853"/>
      <c r="BE48" s="1853"/>
      <c r="BF48" s="1853"/>
      <c r="BG48" s="1853"/>
      <c r="BH48" s="1853"/>
      <c r="BI48" s="1853"/>
      <c r="BJ48" s="1853"/>
      <c r="BK48" s="1853"/>
      <c r="BL48" s="1853"/>
      <c r="BM48" s="1853"/>
      <c r="BN48" s="1853"/>
      <c r="BO48" s="1853"/>
    </row>
    <row r="49" spans="1:68" ht="20.100000000000001" customHeight="1">
      <c r="A49" s="1845">
        <v>49</v>
      </c>
      <c r="B49" s="1855"/>
      <c r="C49" s="1847"/>
      <c r="D49" s="1859" t="s">
        <v>944</v>
      </c>
      <c r="E49" s="1848"/>
      <c r="F49" s="1849"/>
      <c r="G49" s="1225" t="s">
        <v>1109</v>
      </c>
      <c r="H49" s="1850">
        <f t="shared" ca="1" si="4"/>
        <v>1.7899999999999999E-2</v>
      </c>
      <c r="I49" s="1850">
        <f t="shared" ca="1" si="5"/>
        <v>1.7899999999999999E-2</v>
      </c>
      <c r="J49" s="1850">
        <f t="shared" ca="1" si="6"/>
        <v>1.7899999999999999E-2</v>
      </c>
      <c r="K49" s="1850">
        <f t="shared" ca="1" si="7"/>
        <v>1.7899999999999999E-2</v>
      </c>
      <c r="L49" s="1851">
        <f ca="1">IFERROR($H49*44/12*参考2_エネ使用量経年!L50*参考2_エネ使用量経年!$H50,"")</f>
        <v>0</v>
      </c>
      <c r="M49" s="1851">
        <f ca="1">IFERROR($I49*44/12*参考2_エネ使用量経年!M50*参考2_エネ使用量経年!$I50,"")</f>
        <v>0</v>
      </c>
      <c r="N49" s="1851">
        <f ca="1">IFERROR($J49*44/12*参考2_エネ使用量経年!N50*参考2_エネ使用量経年!$J50,"")</f>
        <v>0</v>
      </c>
      <c r="O49" s="1851">
        <f ca="1">IFERROR($K49*44/12*参考2_エネ使用量経年!O50*参考2_エネ使用量経年!$K50,"")</f>
        <v>0</v>
      </c>
      <c r="P49" s="1852">
        <f ca="1">IFERROR($H49*44/12*参考2_エネ使用量経年!P50*参考2_エネ使用量経年!$H50,"")</f>
        <v>0</v>
      </c>
      <c r="Q49" s="1852">
        <f ca="1">IFERROR($I49*44/12*参考2_エネ使用量経年!Q50*参考2_エネ使用量経年!$I50,"")</f>
        <v>0</v>
      </c>
      <c r="R49" s="1852">
        <f ca="1">IFERROR($J49*44/12*参考2_エネ使用量経年!R50*参考2_エネ使用量経年!$J50,"")</f>
        <v>0</v>
      </c>
      <c r="S49" s="1852">
        <f ca="1">IFERROR($K49*44/12*参考2_エネ使用量経年!S50*参考2_エネ使用量経年!$K50,"")</f>
        <v>0</v>
      </c>
      <c r="T49" s="1851">
        <f ca="1">IFERROR($H49*44/12*参考2_エネ使用量経年!T50*参考2_エネ使用量経年!$H50,"")</f>
        <v>0</v>
      </c>
      <c r="U49" s="1851">
        <f ca="1">IFERROR($I49*44/12*参考2_エネ使用量経年!U50*参考2_エネ使用量経年!$I50,"")</f>
        <v>0</v>
      </c>
      <c r="V49" s="1851">
        <f ca="1">IFERROR($J49*44/12*参考2_エネ使用量経年!V50*参考2_エネ使用量経年!$J50,"")</f>
        <v>0</v>
      </c>
      <c r="W49" s="1851">
        <f ca="1">IFERROR($K49*44/12*参考2_エネ使用量経年!W50*参考2_エネ使用量経年!$K50,"")</f>
        <v>0</v>
      </c>
      <c r="X49" s="1853">
        <f ca="1">IFERROR($H49*44/12*参考2_エネ使用量経年!X50*参考2_エネ使用量経年!$H50,"")</f>
        <v>0</v>
      </c>
      <c r="Y49" s="1853">
        <f ca="1">IFERROR($I49*44/12*参考2_エネ使用量経年!Y50*参考2_エネ使用量経年!$I50,"")</f>
        <v>0</v>
      </c>
      <c r="Z49" s="1853">
        <f ca="1">IFERROR($J49*44/12*参考2_エネ使用量経年!Z50*参考2_エネ使用量経年!$J50,"")</f>
        <v>0</v>
      </c>
      <c r="AA49" s="1853">
        <f ca="1">IFERROR($K49*44/12*参考2_エネ使用量経年!AA50*参考2_エネ使用量経年!$K50,"")</f>
        <v>0</v>
      </c>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row>
    <row r="50" spans="1:68" ht="20.100000000000001" customHeight="1">
      <c r="A50" s="1845">
        <v>50</v>
      </c>
      <c r="B50" s="1854"/>
      <c r="C50" s="1847"/>
      <c r="D50" s="1848" t="s">
        <v>945</v>
      </c>
      <c r="E50" s="1848"/>
      <c r="F50" s="1849"/>
      <c r="G50" s="1225" t="s">
        <v>1109</v>
      </c>
      <c r="H50" s="1850">
        <f t="shared" ca="1" si="4"/>
        <v>0</v>
      </c>
      <c r="I50" s="1850">
        <f t="shared" ca="1" si="5"/>
        <v>0</v>
      </c>
      <c r="J50" s="1850">
        <f t="shared" ca="1" si="6"/>
        <v>0</v>
      </c>
      <c r="K50" s="1850">
        <f t="shared" ca="1" si="7"/>
        <v>0</v>
      </c>
      <c r="L50" s="1851">
        <f ca="1">IFERROR($H50*44/12*参考2_エネ使用量経年!L51*参考2_エネ使用量経年!$H51,"")</f>
        <v>0</v>
      </c>
      <c r="M50" s="1851">
        <f ca="1">IFERROR($I50*44/12*参考2_エネ使用量経年!M51*参考2_エネ使用量経年!$I51,"")</f>
        <v>0</v>
      </c>
      <c r="N50" s="1851">
        <f ca="1">IFERROR($J50*44/12*参考2_エネ使用量経年!N51*参考2_エネ使用量経年!$J51,"")</f>
        <v>0</v>
      </c>
      <c r="O50" s="1851">
        <f ca="1">IFERROR($K50*44/12*参考2_エネ使用量経年!O51*参考2_エネ使用量経年!$K51,"")</f>
        <v>0</v>
      </c>
      <c r="P50" s="1852">
        <f ca="1">IFERROR($H50*44/12*参考2_エネ使用量経年!P51*参考2_エネ使用量経年!$H51,"")</f>
        <v>0</v>
      </c>
      <c r="Q50" s="1852">
        <f ca="1">IFERROR($I50*44/12*参考2_エネ使用量経年!Q51*参考2_エネ使用量経年!$I51,"")</f>
        <v>0</v>
      </c>
      <c r="R50" s="1852">
        <f ca="1">IFERROR($J50*44/12*参考2_エネ使用量経年!R51*参考2_エネ使用量経年!$J51,"")</f>
        <v>0</v>
      </c>
      <c r="S50" s="1852">
        <f ca="1">IFERROR($K50*44/12*参考2_エネ使用量経年!S51*参考2_エネ使用量経年!$K51,"")</f>
        <v>0</v>
      </c>
      <c r="T50" s="1851">
        <f ca="1">IFERROR($H50*44/12*参考2_エネ使用量経年!T51*参考2_エネ使用量経年!$H51,"")</f>
        <v>0</v>
      </c>
      <c r="U50" s="1851">
        <f ca="1">IFERROR($I50*44/12*参考2_エネ使用量経年!U51*参考2_エネ使用量経年!$I51,"")</f>
        <v>0</v>
      </c>
      <c r="V50" s="1851">
        <f ca="1">IFERROR($J50*44/12*参考2_エネ使用量経年!V51*参考2_エネ使用量経年!$J51,"")</f>
        <v>0</v>
      </c>
      <c r="W50" s="1851">
        <f ca="1">IFERROR($K50*44/12*参考2_エネ使用量経年!W51*参考2_エネ使用量経年!$K51,"")</f>
        <v>0</v>
      </c>
      <c r="X50" s="1853">
        <f ca="1">IFERROR($H50*44/12*参考2_エネ使用量経年!X51*参考2_エネ使用量経年!$H51,"")</f>
        <v>0</v>
      </c>
      <c r="Y50" s="1853">
        <f ca="1">IFERROR($I50*44/12*参考2_エネ使用量経年!Y51*参考2_エネ使用量経年!$I51,"")</f>
        <v>0</v>
      </c>
      <c r="Z50" s="1853">
        <f ca="1">IFERROR($J50*44/12*参考2_エネ使用量経年!Z51*参考2_エネ使用量経年!$J51,"")</f>
        <v>0</v>
      </c>
      <c r="AA50" s="1853">
        <f ca="1">IFERROR($K50*44/12*参考2_エネ使用量経年!AA51*参考2_エネ使用量経年!$K51,"")</f>
        <v>0</v>
      </c>
      <c r="AB50" s="1853"/>
      <c r="AC50" s="1853"/>
      <c r="AD50" s="1853"/>
      <c r="AE50" s="1853"/>
      <c r="AF50" s="1853"/>
      <c r="AG50" s="1853"/>
      <c r="AH50" s="1853"/>
      <c r="AI50" s="1853"/>
      <c r="AJ50" s="1853"/>
      <c r="AK50" s="1853"/>
      <c r="AL50" s="1853"/>
      <c r="AM50" s="1853"/>
      <c r="AN50" s="1853"/>
      <c r="AO50" s="1853"/>
      <c r="AP50" s="1853"/>
      <c r="AQ50" s="1853"/>
      <c r="AR50" s="1853"/>
      <c r="AS50" s="1853"/>
      <c r="AT50" s="1853"/>
      <c r="AU50" s="1853"/>
      <c r="AV50" s="1853"/>
      <c r="AW50" s="1853"/>
      <c r="AX50" s="1853"/>
      <c r="AY50" s="1853"/>
      <c r="AZ50" s="1853"/>
      <c r="BA50" s="1853"/>
      <c r="BB50" s="1853"/>
      <c r="BC50" s="1853"/>
      <c r="BD50" s="1853"/>
      <c r="BE50" s="1853"/>
      <c r="BF50" s="1853"/>
      <c r="BG50" s="1853"/>
      <c r="BH50" s="1853"/>
      <c r="BI50" s="1853"/>
      <c r="BJ50" s="1853"/>
      <c r="BK50" s="1853"/>
      <c r="BL50" s="1853"/>
      <c r="BM50" s="1853"/>
      <c r="BN50" s="1853"/>
      <c r="BO50" s="1853"/>
    </row>
    <row r="51" spans="1:68" ht="20.100000000000001" customHeight="1">
      <c r="A51" s="1845">
        <v>51</v>
      </c>
      <c r="B51" s="1854"/>
      <c r="C51" s="1847"/>
      <c r="D51" s="1848" t="s">
        <v>946</v>
      </c>
      <c r="E51" s="1848"/>
      <c r="F51" s="1849"/>
      <c r="G51" s="1225" t="s">
        <v>1109</v>
      </c>
      <c r="H51" s="1850">
        <f t="shared" ca="1" si="4"/>
        <v>0</v>
      </c>
      <c r="I51" s="1850">
        <f t="shared" ca="1" si="5"/>
        <v>0</v>
      </c>
      <c r="J51" s="1850">
        <f t="shared" ca="1" si="6"/>
        <v>0</v>
      </c>
      <c r="K51" s="1850">
        <f t="shared" ca="1" si="7"/>
        <v>0</v>
      </c>
      <c r="L51" s="1851">
        <f ca="1">IFERROR($H51*44/12*参考2_エネ使用量経年!L52*参考2_エネ使用量経年!$H52,"")</f>
        <v>0</v>
      </c>
      <c r="M51" s="1851">
        <f ca="1">IFERROR($I51*44/12*参考2_エネ使用量経年!M52*参考2_エネ使用量経年!$I52,"")</f>
        <v>0</v>
      </c>
      <c r="N51" s="1851">
        <f ca="1">IFERROR($J51*44/12*参考2_エネ使用量経年!N52*参考2_エネ使用量経年!$J52,"")</f>
        <v>0</v>
      </c>
      <c r="O51" s="1851">
        <f ca="1">IFERROR($K51*44/12*参考2_エネ使用量経年!O52*参考2_エネ使用量経年!$K52,"")</f>
        <v>0</v>
      </c>
      <c r="P51" s="1852">
        <f ca="1">IFERROR($H51*44/12*参考2_エネ使用量経年!P52*参考2_エネ使用量経年!$H52,"")</f>
        <v>0</v>
      </c>
      <c r="Q51" s="1852">
        <f ca="1">IFERROR($I51*44/12*参考2_エネ使用量経年!Q52*参考2_エネ使用量経年!$I52,"")</f>
        <v>0</v>
      </c>
      <c r="R51" s="1852">
        <f ca="1">IFERROR($J51*44/12*参考2_エネ使用量経年!R52*参考2_エネ使用量経年!$J52,"")</f>
        <v>0</v>
      </c>
      <c r="S51" s="1852">
        <f ca="1">IFERROR($K51*44/12*参考2_エネ使用量経年!S52*参考2_エネ使用量経年!$K52,"")</f>
        <v>0</v>
      </c>
      <c r="T51" s="1851">
        <f ca="1">IFERROR($H51*44/12*参考2_エネ使用量経年!T52*参考2_エネ使用量経年!$H52,"")</f>
        <v>0</v>
      </c>
      <c r="U51" s="1851">
        <f ca="1">IFERROR($I51*44/12*参考2_エネ使用量経年!U52*参考2_エネ使用量経年!$I52,"")</f>
        <v>0</v>
      </c>
      <c r="V51" s="1851">
        <f ca="1">IFERROR($J51*44/12*参考2_エネ使用量経年!V52*参考2_エネ使用量経年!$J52,"")</f>
        <v>0</v>
      </c>
      <c r="W51" s="1851">
        <f ca="1">IFERROR($K51*44/12*参考2_エネ使用量経年!W52*参考2_エネ使用量経年!$K52,"")</f>
        <v>0</v>
      </c>
      <c r="X51" s="1853">
        <f ca="1">IFERROR($H51*44/12*参考2_エネ使用量経年!X52*参考2_エネ使用量経年!$H52,"")</f>
        <v>0</v>
      </c>
      <c r="Y51" s="1853">
        <f ca="1">IFERROR($I51*44/12*参考2_エネ使用量経年!Y52*参考2_エネ使用量経年!$I52,"")</f>
        <v>0</v>
      </c>
      <c r="Z51" s="1853">
        <f ca="1">IFERROR($J51*44/12*参考2_エネ使用量経年!Z52*参考2_エネ使用量経年!$J52,"")</f>
        <v>0</v>
      </c>
      <c r="AA51" s="1853">
        <f ca="1">IFERROR($K51*44/12*参考2_エネ使用量経年!AA52*参考2_エネ使用量経年!$K52,"")</f>
        <v>0</v>
      </c>
      <c r="AB51" s="1853"/>
      <c r="AC51" s="1853"/>
      <c r="AD51" s="1853"/>
      <c r="AE51" s="1853"/>
      <c r="AF51" s="1853"/>
      <c r="AG51" s="1853"/>
      <c r="AH51" s="1853"/>
      <c r="AI51" s="1853"/>
      <c r="AJ51" s="1853"/>
      <c r="AK51" s="1853"/>
      <c r="AL51" s="1853"/>
      <c r="AM51" s="1853"/>
      <c r="AN51" s="1853"/>
      <c r="AO51" s="1853"/>
      <c r="AP51" s="1853"/>
      <c r="AQ51" s="1853"/>
      <c r="AR51" s="1853"/>
      <c r="AS51" s="1853"/>
      <c r="AT51" s="1853"/>
      <c r="AU51" s="1853"/>
      <c r="AV51" s="1853"/>
      <c r="AW51" s="1853"/>
      <c r="AX51" s="1853"/>
      <c r="AY51" s="1853"/>
      <c r="AZ51" s="1853"/>
      <c r="BA51" s="1853"/>
      <c r="BB51" s="1853"/>
      <c r="BC51" s="1853"/>
      <c r="BD51" s="1853"/>
      <c r="BE51" s="1853"/>
      <c r="BF51" s="1853"/>
      <c r="BG51" s="1853"/>
      <c r="BH51" s="1853"/>
      <c r="BI51" s="1853"/>
      <c r="BJ51" s="1853"/>
      <c r="BK51" s="1853"/>
      <c r="BL51" s="1853"/>
      <c r="BM51" s="1853"/>
      <c r="BN51" s="1853"/>
      <c r="BO51" s="1853"/>
    </row>
    <row r="52" spans="1:68" ht="20.100000000000001" customHeight="1">
      <c r="A52" s="1845">
        <v>52</v>
      </c>
      <c r="B52" s="1854"/>
      <c r="C52" s="1847"/>
      <c r="D52" s="1848" t="s">
        <v>947</v>
      </c>
      <c r="E52" s="1848"/>
      <c r="F52" s="1849"/>
      <c r="G52" s="1225" t="s">
        <v>1109</v>
      </c>
      <c r="H52" s="1850">
        <f t="shared" ca="1" si="4"/>
        <v>0</v>
      </c>
      <c r="I52" s="1850">
        <f t="shared" ca="1" si="5"/>
        <v>0</v>
      </c>
      <c r="J52" s="1850">
        <f t="shared" ca="1" si="6"/>
        <v>0</v>
      </c>
      <c r="K52" s="1850">
        <f t="shared" ca="1" si="7"/>
        <v>0</v>
      </c>
      <c r="L52" s="1851">
        <f ca="1">IFERROR($H52*44/12*参考2_エネ使用量経年!L53*参考2_エネ使用量経年!$H53,"")</f>
        <v>0</v>
      </c>
      <c r="M52" s="1851">
        <f ca="1">IFERROR($I52*44/12*参考2_エネ使用量経年!M53*参考2_エネ使用量経年!$I53,"")</f>
        <v>0</v>
      </c>
      <c r="N52" s="1851">
        <f ca="1">IFERROR($J52*44/12*参考2_エネ使用量経年!N53*参考2_エネ使用量経年!$J53,"")</f>
        <v>0</v>
      </c>
      <c r="O52" s="1851">
        <f ca="1">IFERROR($K52*44/12*参考2_エネ使用量経年!O53*参考2_エネ使用量経年!$K53,"")</f>
        <v>0</v>
      </c>
      <c r="P52" s="1852">
        <f ca="1">IFERROR($H52*44/12*参考2_エネ使用量経年!P53*参考2_エネ使用量経年!$H53,"")</f>
        <v>0</v>
      </c>
      <c r="Q52" s="1852">
        <f ca="1">IFERROR($I52*44/12*参考2_エネ使用量経年!Q53*参考2_エネ使用量経年!$I53,"")</f>
        <v>0</v>
      </c>
      <c r="R52" s="1852">
        <f ca="1">IFERROR($J52*44/12*参考2_エネ使用量経年!R53*参考2_エネ使用量経年!$J53,"")</f>
        <v>0</v>
      </c>
      <c r="S52" s="1852">
        <f ca="1">IFERROR($K52*44/12*参考2_エネ使用量経年!S53*参考2_エネ使用量経年!$K53,"")</f>
        <v>0</v>
      </c>
      <c r="T52" s="1851">
        <f ca="1">IFERROR($H52*44/12*参考2_エネ使用量経年!T53*参考2_エネ使用量経年!$H53,"")</f>
        <v>0</v>
      </c>
      <c r="U52" s="1851">
        <f ca="1">IFERROR($I52*44/12*参考2_エネ使用量経年!U53*参考2_エネ使用量経年!$I53,"")</f>
        <v>0</v>
      </c>
      <c r="V52" s="1851">
        <f ca="1">IFERROR($J52*44/12*参考2_エネ使用量経年!V53*参考2_エネ使用量経年!$J53,"")</f>
        <v>0</v>
      </c>
      <c r="W52" s="1851">
        <f ca="1">IFERROR($K52*44/12*参考2_エネ使用量経年!W53*参考2_エネ使用量経年!$K53,"")</f>
        <v>0</v>
      </c>
      <c r="X52" s="1853">
        <f ca="1">IFERROR($H52*44/12*参考2_エネ使用量経年!X53*参考2_エネ使用量経年!$H53,"")</f>
        <v>0</v>
      </c>
      <c r="Y52" s="1853">
        <f ca="1">IFERROR($I52*44/12*参考2_エネ使用量経年!Y53*参考2_エネ使用量経年!$I53,"")</f>
        <v>0</v>
      </c>
      <c r="Z52" s="1853">
        <f ca="1">IFERROR($J52*44/12*参考2_エネ使用量経年!Z53*参考2_エネ使用量経年!$J53,"")</f>
        <v>0</v>
      </c>
      <c r="AA52" s="1853">
        <f ca="1">IFERROR($K52*44/12*参考2_エネ使用量経年!AA53*参考2_エネ使用量経年!$K53,"")</f>
        <v>0</v>
      </c>
      <c r="AB52" s="1853"/>
      <c r="AC52" s="1853"/>
      <c r="AD52" s="1853"/>
      <c r="AE52" s="1853"/>
      <c r="AF52" s="1853"/>
      <c r="AG52" s="1853"/>
      <c r="AH52" s="1853"/>
      <c r="AI52" s="1853"/>
      <c r="AJ52" s="1853"/>
      <c r="AK52" s="1853"/>
      <c r="AL52" s="1853"/>
      <c r="AM52" s="1853"/>
      <c r="AN52" s="1853"/>
      <c r="AO52" s="1853"/>
      <c r="AP52" s="1853"/>
      <c r="AQ52" s="1853"/>
      <c r="AR52" s="1853"/>
      <c r="AS52" s="1853"/>
      <c r="AT52" s="1853"/>
      <c r="AU52" s="1853"/>
      <c r="AV52" s="1853"/>
      <c r="AW52" s="1853"/>
      <c r="AX52" s="1853"/>
      <c r="AY52" s="1853"/>
      <c r="AZ52" s="1853"/>
      <c r="BA52" s="1853"/>
      <c r="BB52" s="1853"/>
      <c r="BC52" s="1853"/>
      <c r="BD52" s="1853"/>
      <c r="BE52" s="1853"/>
      <c r="BF52" s="1853"/>
      <c r="BG52" s="1853"/>
      <c r="BH52" s="1853"/>
      <c r="BI52" s="1853"/>
      <c r="BJ52" s="1853"/>
      <c r="BK52" s="1853"/>
      <c r="BL52" s="1853"/>
      <c r="BM52" s="1853"/>
      <c r="BN52" s="1853"/>
      <c r="BO52" s="1853"/>
    </row>
    <row r="53" spans="1:68" ht="20.100000000000001" customHeight="1">
      <c r="A53" s="1845">
        <v>53</v>
      </c>
      <c r="B53" s="1854"/>
      <c r="C53" s="1847"/>
      <c r="D53" s="1848" t="s">
        <v>569</v>
      </c>
      <c r="E53" s="1848"/>
      <c r="F53" s="1849"/>
      <c r="G53" s="1225" t="s">
        <v>1109</v>
      </c>
      <c r="H53" s="1850">
        <f t="shared" ca="1" si="4"/>
        <v>0</v>
      </c>
      <c r="I53" s="1850">
        <f t="shared" ca="1" si="5"/>
        <v>0</v>
      </c>
      <c r="J53" s="1850">
        <f t="shared" ca="1" si="6"/>
        <v>0</v>
      </c>
      <c r="K53" s="1850">
        <f t="shared" ca="1" si="7"/>
        <v>0</v>
      </c>
      <c r="L53" s="1851">
        <f ca="1">IFERROR($H53*44/12*参考2_エネ使用量経年!L54*参考2_エネ使用量経年!$H54,"")</f>
        <v>0</v>
      </c>
      <c r="M53" s="1851">
        <f ca="1">IFERROR($I53*44/12*参考2_エネ使用量経年!M54*参考2_エネ使用量経年!$I54,"")</f>
        <v>0</v>
      </c>
      <c r="N53" s="1851">
        <f ca="1">IFERROR($J53*44/12*参考2_エネ使用量経年!N54*参考2_エネ使用量経年!$J54,"")</f>
        <v>0</v>
      </c>
      <c r="O53" s="1851">
        <f ca="1">IFERROR($K53*44/12*参考2_エネ使用量経年!O54*参考2_エネ使用量経年!$K54,"")</f>
        <v>0</v>
      </c>
      <c r="P53" s="1852">
        <f ca="1">IFERROR($H53*44/12*参考2_エネ使用量経年!P54*参考2_エネ使用量経年!$H54,"")</f>
        <v>0</v>
      </c>
      <c r="Q53" s="1852">
        <f ca="1">IFERROR($I53*44/12*参考2_エネ使用量経年!Q54*参考2_エネ使用量経年!$I54,"")</f>
        <v>0</v>
      </c>
      <c r="R53" s="1852">
        <f ca="1">IFERROR($J53*44/12*参考2_エネ使用量経年!R54*参考2_エネ使用量経年!$J54,"")</f>
        <v>0</v>
      </c>
      <c r="S53" s="1852">
        <f ca="1">IFERROR($K53*44/12*参考2_エネ使用量経年!S54*参考2_エネ使用量経年!$K54,"")</f>
        <v>0</v>
      </c>
      <c r="T53" s="1851">
        <f ca="1">IFERROR($H53*44/12*参考2_エネ使用量経年!T54*参考2_エネ使用量経年!$H54,"")</f>
        <v>0</v>
      </c>
      <c r="U53" s="1851">
        <f ca="1">IFERROR($I53*44/12*参考2_エネ使用量経年!U54*参考2_エネ使用量経年!$I54,"")</f>
        <v>0</v>
      </c>
      <c r="V53" s="1851">
        <f ca="1">IFERROR($J53*44/12*参考2_エネ使用量経年!V54*参考2_エネ使用量経年!$J54,"")</f>
        <v>0</v>
      </c>
      <c r="W53" s="1851">
        <f ca="1">IFERROR($K53*44/12*参考2_エネ使用量経年!W54*参考2_エネ使用量経年!$K54,"")</f>
        <v>0</v>
      </c>
      <c r="X53" s="1853">
        <f ca="1">IFERROR($H53*44/12*参考2_エネ使用量経年!X54*参考2_エネ使用量経年!$H54,"")</f>
        <v>0</v>
      </c>
      <c r="Y53" s="1853">
        <f ca="1">IFERROR($I53*44/12*参考2_エネ使用量経年!Y54*参考2_エネ使用量経年!$I54,"")</f>
        <v>0</v>
      </c>
      <c r="Z53" s="1853">
        <f ca="1">IFERROR($J53*44/12*参考2_エネ使用量経年!Z54*参考2_エネ使用量経年!$J54,"")</f>
        <v>0</v>
      </c>
      <c r="AA53" s="1853">
        <f ca="1">IFERROR($K53*44/12*参考2_エネ使用量経年!AA54*参考2_エネ使用量経年!$K54,"")</f>
        <v>0</v>
      </c>
      <c r="AB53" s="1853"/>
      <c r="AC53" s="1853"/>
      <c r="AD53" s="1853"/>
      <c r="AE53" s="1853"/>
      <c r="AF53" s="1853"/>
      <c r="AG53" s="1853"/>
      <c r="AH53" s="1853"/>
      <c r="AI53" s="1853"/>
      <c r="AJ53" s="1853"/>
      <c r="AK53" s="1853"/>
      <c r="AL53" s="1853"/>
      <c r="AM53" s="1853"/>
      <c r="AN53" s="1853"/>
      <c r="AO53" s="1853"/>
      <c r="AP53" s="1853"/>
      <c r="AQ53" s="1853"/>
      <c r="AR53" s="1853"/>
      <c r="AS53" s="1853"/>
      <c r="AT53" s="1853"/>
      <c r="AU53" s="1853"/>
      <c r="AV53" s="1853"/>
      <c r="AW53" s="1853"/>
      <c r="AX53" s="1853"/>
      <c r="AY53" s="1853"/>
      <c r="AZ53" s="1853"/>
      <c r="BA53" s="1853"/>
      <c r="BB53" s="1853"/>
      <c r="BC53" s="1853"/>
      <c r="BD53" s="1853"/>
      <c r="BE53" s="1853"/>
      <c r="BF53" s="1853"/>
      <c r="BG53" s="1853"/>
      <c r="BH53" s="1853"/>
      <c r="BI53" s="1853"/>
      <c r="BJ53" s="1853"/>
      <c r="BK53" s="1853"/>
      <c r="BL53" s="1853"/>
      <c r="BM53" s="1853"/>
      <c r="BN53" s="1853"/>
      <c r="BO53" s="1853"/>
    </row>
    <row r="54" spans="1:68" ht="20.100000000000001" customHeight="1">
      <c r="A54" s="1845">
        <v>54</v>
      </c>
      <c r="B54" s="1854"/>
      <c r="C54" s="1847"/>
      <c r="D54" s="1848" t="s">
        <v>948</v>
      </c>
      <c r="E54" s="1858" t="str">
        <f ca="1">参考2_エネ使用量経年!E55</f>
        <v/>
      </c>
      <c r="F54" s="1860"/>
      <c r="G54" s="1225" t="s">
        <v>1109</v>
      </c>
      <c r="H54" s="1850">
        <f t="shared" ca="1" si="4"/>
        <v>0</v>
      </c>
      <c r="I54" s="1850">
        <f t="shared" ca="1" si="5"/>
        <v>0</v>
      </c>
      <c r="J54" s="1850">
        <f t="shared" ca="1" si="6"/>
        <v>0</v>
      </c>
      <c r="K54" s="1850">
        <f t="shared" ca="1" si="7"/>
        <v>0</v>
      </c>
      <c r="L54" s="1851">
        <f ca="1">IFERROR($H54*44/12*参考2_エネ使用量経年!L55*参考2_エネ使用量経年!$H55,"")</f>
        <v>0</v>
      </c>
      <c r="M54" s="1851">
        <f ca="1">IFERROR($I54*44/12*参考2_エネ使用量経年!M55*参考2_エネ使用量経年!$I55,"")</f>
        <v>0</v>
      </c>
      <c r="N54" s="1851">
        <f ca="1">IFERROR($J54*44/12*参考2_エネ使用量経年!N55*参考2_エネ使用量経年!$J55,"")</f>
        <v>0</v>
      </c>
      <c r="O54" s="1851">
        <f ca="1">IFERROR($K54*44/12*参考2_エネ使用量経年!O55*参考2_エネ使用量経年!$K55,"")</f>
        <v>0</v>
      </c>
      <c r="P54" s="1852">
        <f ca="1">IFERROR($H54*44/12*参考2_エネ使用量経年!P55*参考2_エネ使用量経年!$H55,"")</f>
        <v>0</v>
      </c>
      <c r="Q54" s="1852">
        <f ca="1">IFERROR($I54*44/12*参考2_エネ使用量経年!Q55*参考2_エネ使用量経年!$I55,"")</f>
        <v>0</v>
      </c>
      <c r="R54" s="1852">
        <f ca="1">IFERROR($J54*44/12*参考2_エネ使用量経年!R55*参考2_エネ使用量経年!$J55,"")</f>
        <v>0</v>
      </c>
      <c r="S54" s="1852">
        <f ca="1">IFERROR($K54*44/12*参考2_エネ使用量経年!S55*参考2_エネ使用量経年!$K55,"")</f>
        <v>0</v>
      </c>
      <c r="T54" s="1851">
        <f ca="1">IFERROR($H54*44/12*参考2_エネ使用量経年!T55*参考2_エネ使用量経年!$H55,"")</f>
        <v>0</v>
      </c>
      <c r="U54" s="1851">
        <f ca="1">IFERROR($I54*44/12*参考2_エネ使用量経年!U55*参考2_エネ使用量経年!$I55,"")</f>
        <v>0</v>
      </c>
      <c r="V54" s="1851">
        <f ca="1">IFERROR($J54*44/12*参考2_エネ使用量経年!V55*参考2_エネ使用量経年!$J55,"")</f>
        <v>0</v>
      </c>
      <c r="W54" s="1851">
        <f ca="1">IFERROR($K54*44/12*参考2_エネ使用量経年!W55*参考2_エネ使用量経年!$K55,"")</f>
        <v>0</v>
      </c>
      <c r="X54" s="1853">
        <f ca="1">IFERROR($H54*44/12*参考2_エネ使用量経年!X55*参考2_エネ使用量経年!$H55,"")</f>
        <v>0</v>
      </c>
      <c r="Y54" s="1853">
        <f ca="1">IFERROR($I54*44/12*参考2_エネ使用量経年!Y55*参考2_エネ使用量経年!$I55,"")</f>
        <v>0</v>
      </c>
      <c r="Z54" s="1853">
        <f ca="1">IFERROR($J54*44/12*参考2_エネ使用量経年!Z55*参考2_エネ使用量経年!$J55,"")</f>
        <v>0</v>
      </c>
      <c r="AA54" s="1853">
        <f ca="1">IFERROR($K54*44/12*参考2_エネ使用量経年!AA55*参考2_エネ使用量経年!$K55,"")</f>
        <v>0</v>
      </c>
      <c r="AB54" s="1853"/>
      <c r="AC54" s="1853"/>
      <c r="AD54" s="1853"/>
      <c r="AE54" s="1853"/>
      <c r="AF54" s="1853"/>
      <c r="AG54" s="1853"/>
      <c r="AH54" s="1853"/>
      <c r="AI54" s="1853"/>
      <c r="AJ54" s="1853"/>
      <c r="AK54" s="1853"/>
      <c r="AL54" s="1853"/>
      <c r="AM54" s="1853"/>
      <c r="AN54" s="1853"/>
      <c r="AO54" s="1853"/>
      <c r="AP54" s="1853"/>
      <c r="AQ54" s="1853"/>
      <c r="AR54" s="1853"/>
      <c r="AS54" s="1853"/>
      <c r="AT54" s="1853"/>
      <c r="AU54" s="1853"/>
      <c r="AV54" s="1853"/>
      <c r="AW54" s="1853"/>
      <c r="AX54" s="1853"/>
      <c r="AY54" s="1853"/>
      <c r="AZ54" s="1853"/>
      <c r="BA54" s="1853"/>
      <c r="BB54" s="1853"/>
      <c r="BC54" s="1853"/>
      <c r="BD54" s="1853"/>
      <c r="BE54" s="1853"/>
      <c r="BF54" s="1853"/>
      <c r="BG54" s="1853"/>
      <c r="BH54" s="1853"/>
      <c r="BI54" s="1853"/>
      <c r="BJ54" s="1853"/>
      <c r="BK54" s="1853"/>
      <c r="BL54" s="1853"/>
      <c r="BM54" s="1853"/>
      <c r="BN54" s="1853"/>
      <c r="BO54" s="1853"/>
    </row>
    <row r="55" spans="1:68" ht="20.100000000000001" customHeight="1">
      <c r="A55" s="1845">
        <v>55</v>
      </c>
      <c r="B55" s="1854"/>
      <c r="C55" s="1847"/>
      <c r="D55" s="1848" t="s">
        <v>949</v>
      </c>
      <c r="E55" s="1858" t="str">
        <f ca="1">参考2_エネ使用量経年!E56</f>
        <v/>
      </c>
      <c r="F55" s="1860"/>
      <c r="G55" s="1225" t="s">
        <v>1109</v>
      </c>
      <c r="H55" s="1850">
        <f t="shared" ca="1" si="4"/>
        <v>0</v>
      </c>
      <c r="I55" s="1850">
        <f t="shared" ca="1" si="5"/>
        <v>0</v>
      </c>
      <c r="J55" s="1850">
        <f t="shared" ca="1" si="6"/>
        <v>0</v>
      </c>
      <c r="K55" s="1850">
        <f t="shared" ca="1" si="7"/>
        <v>0</v>
      </c>
      <c r="L55" s="1851">
        <f ca="1">IFERROR($H55*44/12*参考2_エネ使用量経年!L56*参考2_エネ使用量経年!$H56,"")</f>
        <v>0</v>
      </c>
      <c r="M55" s="1851">
        <f ca="1">IFERROR($I55*44/12*参考2_エネ使用量経年!M56*参考2_エネ使用量経年!$I56,"")</f>
        <v>0</v>
      </c>
      <c r="N55" s="1851">
        <f ca="1">IFERROR($J55*44/12*参考2_エネ使用量経年!N56*参考2_エネ使用量経年!$J56,"")</f>
        <v>0</v>
      </c>
      <c r="O55" s="1851">
        <f ca="1">IFERROR($K55*44/12*参考2_エネ使用量経年!O56*参考2_エネ使用量経年!$K56,"")</f>
        <v>0</v>
      </c>
      <c r="P55" s="1852">
        <f ca="1">IFERROR($H55*44/12*参考2_エネ使用量経年!P56*参考2_エネ使用量経年!$H56,"")</f>
        <v>0</v>
      </c>
      <c r="Q55" s="1852">
        <f ca="1">IFERROR($I55*44/12*参考2_エネ使用量経年!Q56*参考2_エネ使用量経年!$I56,"")</f>
        <v>0</v>
      </c>
      <c r="R55" s="1852">
        <f ca="1">IFERROR($J55*44/12*参考2_エネ使用量経年!R56*参考2_エネ使用量経年!$J56,"")</f>
        <v>0</v>
      </c>
      <c r="S55" s="1852">
        <f ca="1">IFERROR($K55*44/12*参考2_エネ使用量経年!S56*参考2_エネ使用量経年!$K56,"")</f>
        <v>0</v>
      </c>
      <c r="T55" s="1851">
        <f ca="1">IFERROR($H55*44/12*参考2_エネ使用量経年!T56*参考2_エネ使用量経年!$H56,"")</f>
        <v>0</v>
      </c>
      <c r="U55" s="1851">
        <f ca="1">IFERROR($I55*44/12*参考2_エネ使用量経年!U56*参考2_エネ使用量経年!$I56,"")</f>
        <v>0</v>
      </c>
      <c r="V55" s="1851">
        <f ca="1">IFERROR($J55*44/12*参考2_エネ使用量経年!V56*参考2_エネ使用量経年!$J56,"")</f>
        <v>0</v>
      </c>
      <c r="W55" s="1851">
        <f ca="1">IFERROR($K55*44/12*参考2_エネ使用量経年!W56*参考2_エネ使用量経年!$K56,"")</f>
        <v>0</v>
      </c>
      <c r="X55" s="1853">
        <f ca="1">IFERROR($H55*44/12*参考2_エネ使用量経年!X56*参考2_エネ使用量経年!$H56,"")</f>
        <v>0</v>
      </c>
      <c r="Y55" s="1853">
        <f ca="1">IFERROR($I55*44/12*参考2_エネ使用量経年!Y56*参考2_エネ使用量経年!$I56,"")</f>
        <v>0</v>
      </c>
      <c r="Z55" s="1853">
        <f ca="1">IFERROR($J55*44/12*参考2_エネ使用量経年!Z56*参考2_エネ使用量経年!$J56,"")</f>
        <v>0</v>
      </c>
      <c r="AA55" s="1853">
        <f ca="1">IFERROR($K55*44/12*参考2_エネ使用量経年!AA56*参考2_エネ使用量経年!$K56,"")</f>
        <v>0</v>
      </c>
      <c r="AB55" s="1853"/>
      <c r="AC55" s="1853"/>
      <c r="AD55" s="1853"/>
      <c r="AE55" s="1853"/>
      <c r="AF55" s="1853"/>
      <c r="AG55" s="1853"/>
      <c r="AH55" s="1853"/>
      <c r="AI55" s="1853"/>
      <c r="AJ55" s="1853"/>
      <c r="AK55" s="1853"/>
      <c r="AL55" s="1853"/>
      <c r="AM55" s="1853"/>
      <c r="AN55" s="1853"/>
      <c r="AO55" s="1853"/>
      <c r="AP55" s="1853"/>
      <c r="AQ55" s="1853"/>
      <c r="AR55" s="1853"/>
      <c r="AS55" s="1853"/>
      <c r="AT55" s="1853"/>
      <c r="AU55" s="1853"/>
      <c r="AV55" s="1853"/>
      <c r="AW55" s="1853"/>
      <c r="AX55" s="1853"/>
      <c r="AY55" s="1853"/>
      <c r="AZ55" s="1853"/>
      <c r="BA55" s="1853"/>
      <c r="BB55" s="1853"/>
      <c r="BC55" s="1853"/>
      <c r="BD55" s="1853"/>
      <c r="BE55" s="1853"/>
      <c r="BF55" s="1853"/>
      <c r="BG55" s="1853"/>
      <c r="BH55" s="1853"/>
      <c r="BI55" s="1853"/>
      <c r="BJ55" s="1853"/>
      <c r="BK55" s="1853"/>
      <c r="BL55" s="1853"/>
      <c r="BM55" s="1853"/>
      <c r="BN55" s="1853"/>
      <c r="BO55" s="1853"/>
      <c r="BP55" s="1862"/>
    </row>
    <row r="56" spans="1:68" ht="20.100000000000001" customHeight="1">
      <c r="A56" s="1845">
        <v>56</v>
      </c>
      <c r="B56" s="1846" t="s">
        <v>950</v>
      </c>
      <c r="C56" s="1847" t="s">
        <v>951</v>
      </c>
      <c r="D56" s="1848" t="s">
        <v>952</v>
      </c>
      <c r="E56" s="1856"/>
      <c r="F56" s="1863"/>
      <c r="G56" s="1225" t="s">
        <v>1109</v>
      </c>
      <c r="H56" s="1850">
        <f t="shared" ca="1" si="4"/>
        <v>6.54E-2</v>
      </c>
      <c r="I56" s="1850">
        <f t="shared" ca="1" si="5"/>
        <v>6.54E-2</v>
      </c>
      <c r="J56" s="1850">
        <f t="shared" ca="1" si="6"/>
        <v>6.54E-2</v>
      </c>
      <c r="K56" s="1850">
        <f t="shared" ca="1" si="7"/>
        <v>6.54E-2</v>
      </c>
      <c r="L56" s="1851">
        <f ca="1">IFERROR($H56*参考2_エネ使用量経年!L57,"")</f>
        <v>0</v>
      </c>
      <c r="M56" s="1851">
        <f ca="1">IFERROR($I56*参考2_エネ使用量経年!M57,"")</f>
        <v>0</v>
      </c>
      <c r="N56" s="1851">
        <f ca="1">IFERROR($J56*参考2_エネ使用量経年!N57,"")</f>
        <v>0</v>
      </c>
      <c r="O56" s="1851">
        <f ca="1">IFERROR($K56*参考2_エネ使用量経年!O57,"")</f>
        <v>0</v>
      </c>
      <c r="P56" s="1852">
        <f ca="1">IFERROR($H56*参考2_エネ使用量経年!P57,"")</f>
        <v>0</v>
      </c>
      <c r="Q56" s="1852">
        <f ca="1">IFERROR($I56*参考2_エネ使用量経年!Q57,"")</f>
        <v>0</v>
      </c>
      <c r="R56" s="1852">
        <f ca="1">IFERROR($J56*参考2_エネ使用量経年!R57,"")</f>
        <v>0</v>
      </c>
      <c r="S56" s="1852">
        <f ca="1">IFERROR($K56*参考2_エネ使用量経年!S57,"")</f>
        <v>0</v>
      </c>
      <c r="T56" s="1851">
        <f ca="1">IFERROR($H56*参考2_エネ使用量経年!T57,"")</f>
        <v>0</v>
      </c>
      <c r="U56" s="1851">
        <f ca="1">IFERROR($I56*参考2_エネ使用量経年!U57,"")</f>
        <v>0</v>
      </c>
      <c r="V56" s="1851">
        <f ca="1">IFERROR($J56*参考2_エネ使用量経年!V57,"")</f>
        <v>0</v>
      </c>
      <c r="W56" s="1851">
        <f ca="1">IFERROR($K56*参考2_エネ使用量経年!W57,"")</f>
        <v>0</v>
      </c>
      <c r="X56" s="1853">
        <f ca="1">IFERROR($H56*参考2_エネ使用量経年!X57,"")</f>
        <v>0</v>
      </c>
      <c r="Y56" s="1853">
        <f ca="1">IFERROR($I56*参考2_エネ使用量経年!Y57,"")</f>
        <v>0</v>
      </c>
      <c r="Z56" s="1853">
        <f ca="1">IFERROR($J56*参考2_エネ使用量経年!Z57,"")</f>
        <v>0</v>
      </c>
      <c r="AA56" s="1853">
        <f ca="1">IFERROR($K56*参考2_エネ使用量経年!AA57,"")</f>
        <v>0</v>
      </c>
      <c r="AB56" s="1853"/>
      <c r="AC56" s="1853"/>
      <c r="AD56" s="1853"/>
      <c r="AE56" s="1853"/>
      <c r="AF56" s="1853"/>
      <c r="AG56" s="1853"/>
      <c r="AH56" s="1853"/>
      <c r="AI56" s="1853"/>
      <c r="AJ56" s="1853"/>
      <c r="AK56" s="1853"/>
      <c r="AL56" s="1853"/>
      <c r="AM56" s="1853"/>
      <c r="AN56" s="1853"/>
      <c r="AO56" s="1853"/>
      <c r="AP56" s="1853"/>
      <c r="AQ56" s="1853"/>
      <c r="AR56" s="1853"/>
      <c r="AS56" s="1853"/>
      <c r="AT56" s="1853"/>
      <c r="AU56" s="1853"/>
      <c r="AV56" s="1853"/>
      <c r="AW56" s="1853"/>
      <c r="AX56" s="1853"/>
      <c r="AY56" s="1853"/>
      <c r="AZ56" s="1853"/>
      <c r="BA56" s="1853"/>
      <c r="BB56" s="1853"/>
      <c r="BC56" s="1853"/>
      <c r="BD56" s="1853"/>
      <c r="BE56" s="1853"/>
      <c r="BF56" s="1853"/>
      <c r="BG56" s="1853"/>
      <c r="BH56" s="1853"/>
      <c r="BI56" s="1853"/>
      <c r="BJ56" s="1853"/>
      <c r="BK56" s="1853"/>
      <c r="BL56" s="1853"/>
      <c r="BM56" s="1853"/>
      <c r="BN56" s="1853"/>
      <c r="BO56" s="1853"/>
      <c r="BP56" s="1862"/>
    </row>
    <row r="57" spans="1:68" ht="20.100000000000001" customHeight="1">
      <c r="A57" s="1845">
        <v>9</v>
      </c>
      <c r="B57" s="1854"/>
      <c r="C57" s="1847"/>
      <c r="D57" s="1848" t="s">
        <v>953</v>
      </c>
      <c r="E57" s="1856"/>
      <c r="F57" s="1863"/>
      <c r="G57" s="1225" t="s">
        <v>1109</v>
      </c>
      <c r="H57" s="1857"/>
      <c r="I57" s="1857"/>
      <c r="J57" s="1857"/>
      <c r="K57" s="1857"/>
      <c r="L57" s="1852">
        <f ca="1">SUM(SUMIFS(OFFSET(A1_集計2024,$A57,9,1,200),OFFSET(貼付け_2024実績,4,9,1,200),{"横浜*","川崎*","県域*","エネルギー管理指定工場等*"}))</f>
        <v>0</v>
      </c>
      <c r="M57" s="1852">
        <f ca="1">SUM(SUMIFS(OFFSET(A1_集計2025,$A57,9,1,200),OFFSET(貼付け_2025実績,4,9,1,200),{"横浜*","川崎*","県域*","エネルギー管理指定工場等*"}))</f>
        <v>0</v>
      </c>
      <c r="N57" s="1852">
        <f ca="1">SUM(SUMIFS(OFFSET(A1_集計2026,$A57,9,1,200),OFFSET(貼付け_2026実績,4,9,1,200),{"横浜*","川崎*","県域*","エネルギー管理指定工場等*"}))</f>
        <v>0</v>
      </c>
      <c r="O57" s="1852">
        <f ca="1">SUM(SUMIFS(OFFSET(A1_集計2027,$A57,9,1,200),OFFSET(貼付け_2027実績,4,9,1,200),{"横浜*","川崎*","県域*","エネルギー管理指定工場等*"}))</f>
        <v>0</v>
      </c>
      <c r="P57" s="1852">
        <f ca="1">SUM(SUMIFS(OFFSET(A1_集計2024,$A57,9,1,200),OFFSET(貼付け_2024実績,4,9,1,200),{"横浜*","川崎*"}))</f>
        <v>0</v>
      </c>
      <c r="Q57" s="1852">
        <f ca="1">SUM(SUMIFS(OFFSET(A1_集計2025,$A57,9,1,200),OFFSET(貼付け_2025実績,4,9,1,200),{"横浜*","川崎*"}))</f>
        <v>0</v>
      </c>
      <c r="R57" s="1852">
        <f ca="1">SUM(SUMIFS(OFFSET(A1_集計2026,$A57,9,1,200),OFFSET(貼付け_2026実績,4,9,1,200),{"横浜*","川崎*"}))</f>
        <v>0</v>
      </c>
      <c r="S57" s="1852">
        <f ca="1">SUM(SUMIFS(OFFSET(A1_集計2027,$A57,9,1,200),OFFSET(貼付け_2027実績,4,9,1,200),{"横浜*","川崎*"}))</f>
        <v>0</v>
      </c>
      <c r="T57" s="1852">
        <f ca="1">SUM(SUMIFS(OFFSET(A1_集計2024,$A57,9,1,200),OFFSET(貼付け_2024実績,4,9,1,200),{"県域*","エネルギー管理指定工場等*"}))</f>
        <v>0</v>
      </c>
      <c r="U57" s="1852">
        <f ca="1">SUM(SUMIFS(OFFSET(A1_集計2025,$A57,9,1,200),OFFSET(貼付け_2025実績,4,9,1,200),{"県域*","エネルギー管理指定工場等*"}))</f>
        <v>0</v>
      </c>
      <c r="V57" s="1852">
        <f ca="1">SUM(SUMIFS(OFFSET(A1_集計2026,$A57,9,1,200),OFFSET(貼付け_2026実績,4,9,1,200),{"県域*","エネルギー管理指定工場等*"}))</f>
        <v>0</v>
      </c>
      <c r="W57" s="1852">
        <f ca="1">SUM(SUMIFS(OFFSET(A1_集計2027,$A57,9,1,200),OFFSET(貼付け_2027実績,4,9,1,200),{"県域*","エネルギー管理指定工場等*"}))</f>
        <v>0</v>
      </c>
      <c r="X57" s="1853">
        <f ca="1">SUMIFS(OFFSET(A1_集計2024,$A57,9,1,200),OFFSET(貼付け_2024実績,4,9,1,200),"県域*")</f>
        <v>0</v>
      </c>
      <c r="Y57" s="1853">
        <f ca="1">SUMIFS(OFFSET(A1_集計2025,$A57,9,1,200),OFFSET(貼付け_2025実績,4,9,1,200),"県域*")</f>
        <v>0</v>
      </c>
      <c r="Z57" s="1853">
        <f ca="1">SUMIFS(OFFSET(A1_集計2026,$A57,9,1,200),OFFSET(貼付け_2026実績,4,9,1,200),"県域*")</f>
        <v>0</v>
      </c>
      <c r="AA57" s="1853">
        <f ca="1">SUMIFS(OFFSET(A1_集計2027,$A57,9,1,200),OFFSET(貼付け_2027実績,4,9,1,200),"県域*")</f>
        <v>0</v>
      </c>
      <c r="AB57" s="1853"/>
      <c r="AC57" s="1853"/>
      <c r="AD57" s="1853"/>
      <c r="AE57" s="1853"/>
      <c r="AF57" s="1853"/>
      <c r="AG57" s="1853"/>
      <c r="AH57" s="1853"/>
      <c r="AI57" s="1853"/>
      <c r="AJ57" s="1853"/>
      <c r="AK57" s="1853"/>
      <c r="AL57" s="1853"/>
      <c r="AM57" s="1853"/>
      <c r="AN57" s="1853"/>
      <c r="AO57" s="1853"/>
      <c r="AP57" s="1853"/>
      <c r="AQ57" s="1853"/>
      <c r="AR57" s="1853"/>
      <c r="AS57" s="1853"/>
      <c r="AT57" s="1853"/>
      <c r="AU57" s="1853"/>
      <c r="AV57" s="1853"/>
      <c r="AW57" s="1853"/>
      <c r="AX57" s="1853"/>
      <c r="AY57" s="1853"/>
      <c r="AZ57" s="1853"/>
      <c r="BA57" s="1853"/>
      <c r="BB57" s="1853"/>
      <c r="BC57" s="1853"/>
      <c r="BD57" s="1853"/>
      <c r="BE57" s="1853"/>
      <c r="BF57" s="1853"/>
      <c r="BG57" s="1853"/>
      <c r="BH57" s="1853"/>
      <c r="BI57" s="1853"/>
      <c r="BJ57" s="1853"/>
      <c r="BK57" s="1853"/>
      <c r="BL57" s="1853"/>
      <c r="BM57" s="1853"/>
      <c r="BN57" s="1853"/>
      <c r="BO57" s="1853"/>
      <c r="BP57" s="1862"/>
    </row>
    <row r="58" spans="1:68" ht="20.100000000000001" customHeight="1">
      <c r="A58" s="1845">
        <v>11</v>
      </c>
      <c r="B58" s="1854"/>
      <c r="C58" s="1847"/>
      <c r="D58" s="1848" t="s">
        <v>954</v>
      </c>
      <c r="E58" s="1856"/>
      <c r="F58" s="1863"/>
      <c r="G58" s="1225" t="s">
        <v>1109</v>
      </c>
      <c r="H58" s="1857"/>
      <c r="I58" s="1857"/>
      <c r="J58" s="1857"/>
      <c r="K58" s="1857"/>
      <c r="L58" s="1852">
        <f ca="1">SUM(SUMIFS(OFFSET(A1_集計2024,$A58,9,1,200),OFFSET(貼付け_2024実績,4,9,1,200),{"横浜*","川崎*","県域*","エネルギー管理指定工場等*"}))</f>
        <v>0</v>
      </c>
      <c r="M58" s="1852">
        <f ca="1">SUM(SUMIFS(OFFSET(A1_集計2025,$A58,9,1,200),OFFSET(貼付け_2025実績,4,9,1,200),{"横浜*","川崎*","県域*","エネルギー管理指定工場等*"}))</f>
        <v>0</v>
      </c>
      <c r="N58" s="1852">
        <f ca="1">SUM(SUMIFS(OFFSET(A1_集計2026,$A58,9,1,200),OFFSET(貼付け_2026実績,4,9,1,200),{"横浜*","川崎*","県域*","エネルギー管理指定工場等*"}))</f>
        <v>0</v>
      </c>
      <c r="O58" s="1852">
        <f ca="1">SUM(SUMIFS(OFFSET(A1_集計2027,$A58,9,1,200),OFFSET(貼付け_2027実績,4,9,1,200),{"横浜*","川崎*","県域*","エネルギー管理指定工場等*"}))</f>
        <v>0</v>
      </c>
      <c r="P58" s="1852">
        <f ca="1">SUM(SUMIFS(OFFSET(A1_集計2024,$A58,9,1,200),OFFSET(貼付け_2024実績,4,9,1,200),{"横浜*","川崎*"}))</f>
        <v>0</v>
      </c>
      <c r="Q58" s="1852">
        <f ca="1">SUM(SUMIFS(OFFSET(A1_集計2025,$A58,9,1,200),OFFSET(貼付け_2025実績,4,9,1,200),{"横浜*","川崎*"}))</f>
        <v>0</v>
      </c>
      <c r="R58" s="1852">
        <f ca="1">SUM(SUMIFS(OFFSET(A1_集計2026,$A58,9,1,200),OFFSET(貼付け_2026実績,4,9,1,200),{"横浜*","川崎*"}))</f>
        <v>0</v>
      </c>
      <c r="S58" s="1852">
        <f ca="1">SUM(SUMIFS(OFFSET(A1_集計2027,$A58,9,1,200),OFFSET(貼付け_2027実績,4,9,1,200),{"横浜*","川崎*"}))</f>
        <v>0</v>
      </c>
      <c r="T58" s="1852">
        <f ca="1">SUM(SUMIFS(OFFSET(A1_集計2024,$A58,9,1,200),OFFSET(貼付け_2024実績,4,9,1,200),{"県域*","エネルギー管理指定工場等*"}))</f>
        <v>0</v>
      </c>
      <c r="U58" s="1852">
        <f ca="1">SUM(SUMIFS(OFFSET(A1_集計2025,$A58,9,1,200),OFFSET(貼付け_2025実績,4,9,1,200),{"県域*","エネルギー管理指定工場等*"}))</f>
        <v>0</v>
      </c>
      <c r="V58" s="1852">
        <f ca="1">SUM(SUMIFS(OFFSET(A1_集計2026,$A58,9,1,200),OFFSET(貼付け_2026実績,4,9,1,200),{"県域*","エネルギー管理指定工場等*"}))</f>
        <v>0</v>
      </c>
      <c r="W58" s="1852">
        <f ca="1">SUM(SUMIFS(OFFSET(A1_集計2027,$A58,9,1,200),OFFSET(貼付け_2027実績,4,9,1,200),{"県域*","エネルギー管理指定工場等*"}))</f>
        <v>0</v>
      </c>
      <c r="X58" s="1853">
        <f ca="1">SUMIFS(OFFSET(A1_集計2024,$A58,9,1,200),OFFSET(貼付け_2024実績,4,9,1,200),"県域*")</f>
        <v>0</v>
      </c>
      <c r="Y58" s="1853">
        <f ca="1">SUMIFS(OFFSET(A1_集計2025,$A58,9,1,200),OFFSET(貼付け_2025実績,4,9,1,200),"県域*")</f>
        <v>0</v>
      </c>
      <c r="Z58" s="1853">
        <f ca="1">SUMIFS(OFFSET(A1_集計2026,$A58,9,1,200),OFFSET(貼付け_2026実績,4,9,1,200),"県域*")</f>
        <v>0</v>
      </c>
      <c r="AA58" s="1853">
        <f ca="1">SUMIFS(OFFSET(A1_集計2027,$A58,9,1,200),OFFSET(貼付け_2027実績,4,9,1,200),"県域*")</f>
        <v>0</v>
      </c>
      <c r="AB58" s="1853"/>
      <c r="AC58" s="1853"/>
      <c r="AD58" s="1853"/>
      <c r="AE58" s="1853"/>
      <c r="AF58" s="1853"/>
      <c r="AG58" s="1853"/>
      <c r="AH58" s="1853"/>
      <c r="AI58" s="1853"/>
      <c r="AJ58" s="1853"/>
      <c r="AK58" s="1853"/>
      <c r="AL58" s="1853"/>
      <c r="AM58" s="1853"/>
      <c r="AN58" s="1853"/>
      <c r="AO58" s="1853"/>
      <c r="AP58" s="1853"/>
      <c r="AQ58" s="1853"/>
      <c r="AR58" s="1853"/>
      <c r="AS58" s="1853"/>
      <c r="AT58" s="1853"/>
      <c r="AU58" s="1853"/>
      <c r="AV58" s="1853"/>
      <c r="AW58" s="1853"/>
      <c r="AX58" s="1853"/>
      <c r="AY58" s="1853"/>
      <c r="AZ58" s="1853"/>
      <c r="BA58" s="1853"/>
      <c r="BB58" s="1853"/>
      <c r="BC58" s="1853"/>
      <c r="BD58" s="1853"/>
      <c r="BE58" s="1853"/>
      <c r="BF58" s="1853"/>
      <c r="BG58" s="1853"/>
      <c r="BH58" s="1853"/>
      <c r="BI58" s="1853"/>
      <c r="BJ58" s="1853"/>
      <c r="BK58" s="1853"/>
      <c r="BL58" s="1853"/>
      <c r="BM58" s="1853"/>
      <c r="BN58" s="1853"/>
      <c r="BO58" s="1853"/>
      <c r="BP58" s="1862"/>
    </row>
    <row r="59" spans="1:68" ht="20.100000000000001" customHeight="1">
      <c r="A59" s="1845">
        <v>13</v>
      </c>
      <c r="B59" s="1854"/>
      <c r="C59" s="1847"/>
      <c r="D59" s="1848" t="s">
        <v>955</v>
      </c>
      <c r="E59" s="1856"/>
      <c r="F59" s="1863"/>
      <c r="G59" s="1225" t="s">
        <v>1109</v>
      </c>
      <c r="H59" s="1857"/>
      <c r="I59" s="1857"/>
      <c r="J59" s="1857"/>
      <c r="K59" s="1857"/>
      <c r="L59" s="1852">
        <f ca="1">SUM(SUMIFS(OFFSET(A1_集計2024,$A59,9,1,200),OFFSET(貼付け_2024実績,4,9,1,200),{"横浜*","川崎*","県域*","エネルギー管理指定工場等*"}))</f>
        <v>0</v>
      </c>
      <c r="M59" s="1852">
        <f ca="1">SUM(SUMIFS(OFFSET(A1_集計2025,$A59,9,1,200),OFFSET(貼付け_2025実績,4,9,1,200),{"横浜*","川崎*","県域*","エネルギー管理指定工場等*"}))</f>
        <v>0</v>
      </c>
      <c r="N59" s="1852">
        <f ca="1">SUM(SUMIFS(OFFSET(A1_集計2026,$A59,9,1,200),OFFSET(貼付け_2026実績,4,9,1,200),{"横浜*","川崎*","県域*","エネルギー管理指定工場等*"}))</f>
        <v>0</v>
      </c>
      <c r="O59" s="1852">
        <f ca="1">SUM(SUMIFS(OFFSET(A1_集計2027,$A59,9,1,200),OFFSET(貼付け_2027実績,4,9,1,200),{"横浜*","川崎*","県域*","エネルギー管理指定工場等*"}))</f>
        <v>0</v>
      </c>
      <c r="P59" s="1852">
        <f ca="1">SUM(SUMIFS(OFFSET(A1_集計2024,$A59,9,1,200),OFFSET(貼付け_2024実績,4,9,1,200),{"横浜*","川崎*"}))</f>
        <v>0</v>
      </c>
      <c r="Q59" s="1852">
        <f ca="1">SUM(SUMIFS(OFFSET(A1_集計2025,$A59,9,1,200),OFFSET(貼付け_2025実績,4,9,1,200),{"横浜*","川崎*"}))</f>
        <v>0</v>
      </c>
      <c r="R59" s="1852">
        <f ca="1">SUM(SUMIFS(OFFSET(A1_集計2026,$A59,9,1,200),OFFSET(貼付け_2026実績,4,9,1,200),{"横浜*","川崎*"}))</f>
        <v>0</v>
      </c>
      <c r="S59" s="1852">
        <f ca="1">SUM(SUMIFS(OFFSET(A1_集計2027,$A59,9,1,200),OFFSET(貼付け_2027実績,4,9,1,200),{"横浜*","川崎*"}))</f>
        <v>0</v>
      </c>
      <c r="T59" s="1852">
        <f ca="1">SUM(SUMIFS(OFFSET(A1_集計2024,$A59,9,1,200),OFFSET(貼付け_2024実績,4,9,1,200),{"県域*","エネルギー管理指定工場等*"}))</f>
        <v>0</v>
      </c>
      <c r="U59" s="1852">
        <f ca="1">SUM(SUMIFS(OFFSET(A1_集計2025,$A59,9,1,200),OFFSET(貼付け_2025実績,4,9,1,200),{"県域*","エネルギー管理指定工場等*"}))</f>
        <v>0</v>
      </c>
      <c r="V59" s="1852">
        <f ca="1">SUM(SUMIFS(OFFSET(A1_集計2026,$A59,9,1,200),OFFSET(貼付け_2026実績,4,9,1,200),{"県域*","エネルギー管理指定工場等*"}))</f>
        <v>0</v>
      </c>
      <c r="W59" s="1852">
        <f ca="1">SUM(SUMIFS(OFFSET(A1_集計2027,$A59,9,1,200),OFFSET(貼付け_2027実績,4,9,1,200),{"県域*","エネルギー管理指定工場等*"}))</f>
        <v>0</v>
      </c>
      <c r="X59" s="1853">
        <f ca="1">SUMIFS(OFFSET(A1_集計2024,$A59,9,1,200),OFFSET(貼付け_2024実績,4,9,1,200),"県域*")</f>
        <v>0</v>
      </c>
      <c r="Y59" s="1853">
        <f ca="1">SUMIFS(OFFSET(A1_集計2025,$A59,9,1,200),OFFSET(貼付け_2025実績,4,9,1,200),"県域*")</f>
        <v>0</v>
      </c>
      <c r="Z59" s="1853">
        <f ca="1">SUMIFS(OFFSET(A1_集計2026,$A59,9,1,200),OFFSET(貼付け_2026実績,4,9,1,200),"県域*")</f>
        <v>0</v>
      </c>
      <c r="AA59" s="1853">
        <f ca="1">SUMIFS(OFFSET(A1_集計2027,$A59,9,1,200),OFFSET(貼付け_2027実績,4,9,1,200),"県域*")</f>
        <v>0</v>
      </c>
      <c r="AB59" s="1853"/>
      <c r="AC59" s="1853"/>
      <c r="AD59" s="1853"/>
      <c r="AE59" s="1853"/>
      <c r="AF59" s="1853"/>
      <c r="AG59" s="1853"/>
      <c r="AH59" s="1853"/>
      <c r="AI59" s="1853"/>
      <c r="AJ59" s="1853"/>
      <c r="AK59" s="1853"/>
      <c r="AL59" s="1853"/>
      <c r="AM59" s="1853"/>
      <c r="AN59" s="1853"/>
      <c r="AO59" s="1853"/>
      <c r="AP59" s="1853"/>
      <c r="AQ59" s="1853"/>
      <c r="AR59" s="1853"/>
      <c r="AS59" s="1853"/>
      <c r="AT59" s="1853"/>
      <c r="AU59" s="1853"/>
      <c r="AV59" s="1853"/>
      <c r="AW59" s="1853"/>
      <c r="AX59" s="1853"/>
      <c r="AY59" s="1853"/>
      <c r="AZ59" s="1853"/>
      <c r="BA59" s="1853"/>
      <c r="BB59" s="1853"/>
      <c r="BC59" s="1853"/>
      <c r="BD59" s="1853"/>
      <c r="BE59" s="1853"/>
      <c r="BF59" s="1853"/>
      <c r="BG59" s="1853"/>
      <c r="BH59" s="1853"/>
      <c r="BI59" s="1853"/>
      <c r="BJ59" s="1853"/>
      <c r="BK59" s="1853"/>
      <c r="BL59" s="1853"/>
      <c r="BM59" s="1853"/>
      <c r="BN59" s="1853"/>
      <c r="BO59" s="1853"/>
      <c r="BP59" s="1862"/>
    </row>
    <row r="60" spans="1:68" ht="20.100000000000001" customHeight="1">
      <c r="A60" s="1845">
        <v>64</v>
      </c>
      <c r="B60" s="1854"/>
      <c r="C60" s="1847"/>
      <c r="D60" s="1864" t="s">
        <v>956</v>
      </c>
      <c r="E60" s="1858" t="str">
        <f ca="1">参考2_エネ使用量経年!E61</f>
        <v/>
      </c>
      <c r="F60" s="1860"/>
      <c r="G60" s="1225" t="s">
        <v>1109</v>
      </c>
      <c r="H60" s="1850">
        <f ca="1">IFERROR(OFFSET(貼付け_2024実績,$A60,6),"")</f>
        <v>0</v>
      </c>
      <c r="I60" s="1850">
        <f ca="1">IFERROR(OFFSET(貼付け_2025実績,$A60,6),"")</f>
        <v>0</v>
      </c>
      <c r="J60" s="1850">
        <f ca="1">IFERROR(OFFSET(貼付け_2026実績,$A60,6),"")</f>
        <v>0</v>
      </c>
      <c r="K60" s="1850">
        <f ca="1">IFERROR(OFFSET(貼付け_2027実績,$A60,6),"")</f>
        <v>0</v>
      </c>
      <c r="L60" s="1851">
        <f ca="1">IFERROR($H60*参考2_エネ使用量経年!L61,"")</f>
        <v>0</v>
      </c>
      <c r="M60" s="1851">
        <f ca="1">IFERROR($I60*参考2_エネ使用量経年!M61,"")</f>
        <v>0</v>
      </c>
      <c r="N60" s="1851">
        <f ca="1">IFERROR($J60*参考2_エネ使用量経年!N61,"")</f>
        <v>0</v>
      </c>
      <c r="O60" s="1851">
        <f ca="1">IFERROR($K60*参考2_エネ使用量経年!O61,"")</f>
        <v>0</v>
      </c>
      <c r="P60" s="1852">
        <f ca="1">IFERROR($H60*参考2_エネ使用量経年!P61,"")</f>
        <v>0</v>
      </c>
      <c r="Q60" s="1852">
        <f ca="1">IFERROR($I60*参考2_エネ使用量経年!Q61,"")</f>
        <v>0</v>
      </c>
      <c r="R60" s="1852">
        <f ca="1">IFERROR($J60*参考2_エネ使用量経年!R61,"")</f>
        <v>0</v>
      </c>
      <c r="S60" s="1852">
        <f ca="1">IFERROR($K60*参考2_エネ使用量経年!S61,"")</f>
        <v>0</v>
      </c>
      <c r="T60" s="1851">
        <f ca="1">IFERROR($H60*参考2_エネ使用量経年!T61,"")</f>
        <v>0</v>
      </c>
      <c r="U60" s="1851">
        <f ca="1">IFERROR($I60*参考2_エネ使用量経年!U61,"")</f>
        <v>0</v>
      </c>
      <c r="V60" s="1851">
        <f ca="1">IFERROR($J60*参考2_エネ使用量経年!V61,"")</f>
        <v>0</v>
      </c>
      <c r="W60" s="1851">
        <f ca="1">IFERROR($K60*参考2_エネ使用量経年!W61,"")</f>
        <v>0</v>
      </c>
      <c r="X60" s="1853">
        <f ca="1">IFERROR($H60*参考2_エネ使用量経年!X61,"")</f>
        <v>0</v>
      </c>
      <c r="Y60" s="1853">
        <f ca="1">IFERROR($I60*参考2_エネ使用量経年!Y61,"")</f>
        <v>0</v>
      </c>
      <c r="Z60" s="1853">
        <f ca="1">IFERROR($J60*参考2_エネ使用量経年!Z61,"")</f>
        <v>0</v>
      </c>
      <c r="AA60" s="1853">
        <f ca="1">IFERROR($K60*参考2_エネ使用量経年!AA61,"")</f>
        <v>0</v>
      </c>
      <c r="AB60" s="1853"/>
      <c r="AC60" s="1853"/>
      <c r="AD60" s="1853"/>
      <c r="AE60" s="1853"/>
      <c r="AF60" s="1853"/>
      <c r="AG60" s="1853"/>
      <c r="AH60" s="1853"/>
      <c r="AI60" s="1853"/>
      <c r="AJ60" s="1853"/>
      <c r="AK60" s="1853"/>
      <c r="AL60" s="1853"/>
      <c r="AM60" s="1853"/>
      <c r="AN60" s="1853"/>
      <c r="AO60" s="1853"/>
      <c r="AP60" s="1853"/>
      <c r="AQ60" s="1853"/>
      <c r="AR60" s="1853"/>
      <c r="AS60" s="1853"/>
      <c r="AT60" s="1853"/>
      <c r="AU60" s="1853"/>
      <c r="AV60" s="1853"/>
      <c r="AW60" s="1853"/>
      <c r="AX60" s="1853"/>
      <c r="AY60" s="1853"/>
      <c r="AZ60" s="1853"/>
      <c r="BA60" s="1853"/>
      <c r="BB60" s="1853"/>
      <c r="BC60" s="1853"/>
      <c r="BD60" s="1853"/>
      <c r="BE60" s="1853"/>
      <c r="BF60" s="1853"/>
      <c r="BG60" s="1853"/>
      <c r="BH60" s="1853"/>
      <c r="BI60" s="1853"/>
      <c r="BJ60" s="1853"/>
      <c r="BK60" s="1853"/>
      <c r="BL60" s="1853"/>
      <c r="BM60" s="1853"/>
      <c r="BN60" s="1853"/>
      <c r="BO60" s="1853"/>
      <c r="BP60" s="1862"/>
    </row>
    <row r="61" spans="1:68" ht="20.100000000000001" hidden="1" customHeight="1" outlineLevel="1">
      <c r="A61" s="1845">
        <v>66</v>
      </c>
      <c r="B61" s="1854"/>
      <c r="C61" s="1847" t="s">
        <v>957</v>
      </c>
      <c r="D61" s="1865" t="s">
        <v>958</v>
      </c>
      <c r="E61" s="1866"/>
      <c r="F61" s="1863"/>
      <c r="G61" s="1225" t="s">
        <v>1109</v>
      </c>
      <c r="H61" s="1867"/>
      <c r="I61" s="1867"/>
      <c r="J61" s="1867"/>
      <c r="K61" s="1867"/>
      <c r="L61" s="1867"/>
      <c r="M61" s="1867"/>
      <c r="N61" s="1867"/>
      <c r="O61" s="1867"/>
      <c r="P61" s="1867"/>
      <c r="Q61" s="1867"/>
      <c r="R61" s="1867"/>
      <c r="S61" s="1867"/>
      <c r="T61" s="1867"/>
      <c r="U61" s="1867"/>
      <c r="V61" s="1867"/>
      <c r="W61" s="1867"/>
      <c r="X61" s="1868"/>
      <c r="Y61" s="1868"/>
      <c r="Z61" s="1868"/>
      <c r="AA61" s="1868"/>
      <c r="AB61" s="1868"/>
      <c r="AC61" s="1868"/>
      <c r="AD61" s="1868"/>
      <c r="AE61" s="1868"/>
      <c r="AF61" s="1868"/>
      <c r="AG61" s="1868"/>
      <c r="AH61" s="1868"/>
      <c r="AI61" s="1868"/>
      <c r="AJ61" s="1868"/>
      <c r="AK61" s="1868"/>
      <c r="AL61" s="1868"/>
      <c r="AM61" s="1868"/>
      <c r="AN61" s="1868"/>
      <c r="AO61" s="1868"/>
      <c r="AP61" s="1868"/>
      <c r="AQ61" s="1868"/>
      <c r="AR61" s="1868"/>
      <c r="AS61" s="1868"/>
      <c r="AT61" s="1868"/>
      <c r="AU61" s="1868"/>
      <c r="AV61" s="1868"/>
      <c r="AW61" s="1868"/>
      <c r="AX61" s="1868"/>
      <c r="AY61" s="1868"/>
      <c r="AZ61" s="1868"/>
      <c r="BA61" s="1868"/>
      <c r="BB61" s="1868"/>
      <c r="BC61" s="1868"/>
      <c r="BD61" s="1868"/>
      <c r="BE61" s="1868"/>
      <c r="BF61" s="1868"/>
      <c r="BG61" s="1868"/>
      <c r="BH61" s="1868"/>
      <c r="BI61" s="1868"/>
      <c r="BJ61" s="1868"/>
      <c r="BK61" s="1868"/>
      <c r="BL61" s="1868"/>
      <c r="BM61" s="1868"/>
      <c r="BN61" s="1868"/>
      <c r="BO61" s="1868"/>
      <c r="BP61" s="1862"/>
    </row>
    <row r="62" spans="1:68" ht="20.100000000000001" hidden="1" customHeight="1" outlineLevel="1">
      <c r="A62" s="1845">
        <v>67</v>
      </c>
      <c r="B62" s="1854"/>
      <c r="C62" s="1847"/>
      <c r="D62" s="1865" t="s">
        <v>959</v>
      </c>
      <c r="E62" s="1866"/>
      <c r="F62" s="1863"/>
      <c r="G62" s="1225" t="s">
        <v>1109</v>
      </c>
      <c r="H62" s="1867"/>
      <c r="I62" s="1867"/>
      <c r="J62" s="1867"/>
      <c r="K62" s="1867"/>
      <c r="L62" s="1867"/>
      <c r="M62" s="1867"/>
      <c r="N62" s="1867"/>
      <c r="O62" s="1867"/>
      <c r="P62" s="1867"/>
      <c r="Q62" s="1867"/>
      <c r="R62" s="1867"/>
      <c r="S62" s="1867"/>
      <c r="T62" s="1867"/>
      <c r="U62" s="1867"/>
      <c r="V62" s="1867"/>
      <c r="W62" s="1867"/>
      <c r="X62" s="1868"/>
      <c r="Y62" s="1868"/>
      <c r="Z62" s="1868"/>
      <c r="AA62" s="1868"/>
      <c r="AB62" s="1868"/>
      <c r="AC62" s="1868"/>
      <c r="AD62" s="1868"/>
      <c r="AE62" s="1868"/>
      <c r="AF62" s="1868"/>
      <c r="AG62" s="1868"/>
      <c r="AH62" s="1868"/>
      <c r="AI62" s="1868"/>
      <c r="AJ62" s="1868"/>
      <c r="AK62" s="1868"/>
      <c r="AL62" s="1868"/>
      <c r="AM62" s="1868"/>
      <c r="AN62" s="1868"/>
      <c r="AO62" s="1868"/>
      <c r="AP62" s="1868"/>
      <c r="AQ62" s="1868"/>
      <c r="AR62" s="1868"/>
      <c r="AS62" s="1868"/>
      <c r="AT62" s="1868"/>
      <c r="AU62" s="1868"/>
      <c r="AV62" s="1868"/>
      <c r="AW62" s="1868"/>
      <c r="AX62" s="1868"/>
      <c r="AY62" s="1868"/>
      <c r="AZ62" s="1868"/>
      <c r="BA62" s="1868"/>
      <c r="BB62" s="1868"/>
      <c r="BC62" s="1868"/>
      <c r="BD62" s="1868"/>
      <c r="BE62" s="1868"/>
      <c r="BF62" s="1868"/>
      <c r="BG62" s="1868"/>
      <c r="BH62" s="1868"/>
      <c r="BI62" s="1868"/>
      <c r="BJ62" s="1868"/>
      <c r="BK62" s="1868"/>
      <c r="BL62" s="1868"/>
      <c r="BM62" s="1868"/>
      <c r="BN62" s="1868"/>
      <c r="BO62" s="1868"/>
      <c r="BP62" s="1862"/>
    </row>
    <row r="63" spans="1:68" ht="20.100000000000001" hidden="1" customHeight="1" outlineLevel="1">
      <c r="A63" s="1845">
        <v>68</v>
      </c>
      <c r="B63" s="1854"/>
      <c r="C63" s="1847"/>
      <c r="D63" s="1865" t="s">
        <v>960</v>
      </c>
      <c r="E63" s="1866"/>
      <c r="F63" s="1863"/>
      <c r="G63" s="1225" t="s">
        <v>1109</v>
      </c>
      <c r="H63" s="1867"/>
      <c r="I63" s="1867"/>
      <c r="J63" s="1867"/>
      <c r="K63" s="1867"/>
      <c r="L63" s="1867"/>
      <c r="M63" s="1867"/>
      <c r="N63" s="1867"/>
      <c r="O63" s="1867"/>
      <c r="P63" s="1867"/>
      <c r="Q63" s="1867"/>
      <c r="R63" s="1867"/>
      <c r="S63" s="1867"/>
      <c r="T63" s="1867"/>
      <c r="U63" s="1867"/>
      <c r="V63" s="1867"/>
      <c r="W63" s="1867"/>
      <c r="X63" s="1868"/>
      <c r="Y63" s="1868"/>
      <c r="Z63" s="1868"/>
      <c r="AA63" s="1868"/>
      <c r="AB63" s="1868"/>
      <c r="AC63" s="1868"/>
      <c r="AD63" s="1868"/>
      <c r="AE63" s="1868"/>
      <c r="AF63" s="1868"/>
      <c r="AG63" s="1868"/>
      <c r="AH63" s="1868"/>
      <c r="AI63" s="1868"/>
      <c r="AJ63" s="1868"/>
      <c r="AK63" s="1868"/>
      <c r="AL63" s="1868"/>
      <c r="AM63" s="1868"/>
      <c r="AN63" s="1868"/>
      <c r="AO63" s="1868"/>
      <c r="AP63" s="1868"/>
      <c r="AQ63" s="1868"/>
      <c r="AR63" s="1868"/>
      <c r="AS63" s="1868"/>
      <c r="AT63" s="1868"/>
      <c r="AU63" s="1868"/>
      <c r="AV63" s="1868"/>
      <c r="AW63" s="1868"/>
      <c r="AX63" s="1868"/>
      <c r="AY63" s="1868"/>
      <c r="AZ63" s="1868"/>
      <c r="BA63" s="1868"/>
      <c r="BB63" s="1868"/>
      <c r="BC63" s="1868"/>
      <c r="BD63" s="1868"/>
      <c r="BE63" s="1868"/>
      <c r="BF63" s="1868"/>
      <c r="BG63" s="1868"/>
      <c r="BH63" s="1868"/>
      <c r="BI63" s="1868"/>
      <c r="BJ63" s="1868"/>
      <c r="BK63" s="1868"/>
      <c r="BL63" s="1868"/>
      <c r="BM63" s="1868"/>
      <c r="BN63" s="1868"/>
      <c r="BO63" s="1868"/>
      <c r="BP63" s="1862"/>
    </row>
    <row r="64" spans="1:68" ht="20.100000000000001" hidden="1" customHeight="1" outlineLevel="1">
      <c r="A64" s="1845">
        <v>69</v>
      </c>
      <c r="B64" s="1854"/>
      <c r="C64" s="1847"/>
      <c r="D64" s="1865" t="s">
        <v>961</v>
      </c>
      <c r="E64" s="1866"/>
      <c r="F64" s="1863"/>
      <c r="G64" s="1225" t="s">
        <v>1109</v>
      </c>
      <c r="H64" s="1867"/>
      <c r="I64" s="1867"/>
      <c r="J64" s="1867"/>
      <c r="K64" s="1867"/>
      <c r="L64" s="1867"/>
      <c r="M64" s="1867"/>
      <c r="N64" s="1867"/>
      <c r="O64" s="1867"/>
      <c r="P64" s="1867"/>
      <c r="Q64" s="1867"/>
      <c r="R64" s="1867"/>
      <c r="S64" s="1867"/>
      <c r="T64" s="1867"/>
      <c r="U64" s="1867"/>
      <c r="V64" s="1867"/>
      <c r="W64" s="1867"/>
      <c r="X64" s="1868"/>
      <c r="Y64" s="1868"/>
      <c r="Z64" s="1868"/>
      <c r="AA64" s="1868"/>
      <c r="AB64" s="1868"/>
      <c r="AC64" s="1868"/>
      <c r="AD64" s="1868"/>
      <c r="AE64" s="1868"/>
      <c r="AF64" s="1868"/>
      <c r="AG64" s="1868"/>
      <c r="AH64" s="1868"/>
      <c r="AI64" s="1868"/>
      <c r="AJ64" s="1868"/>
      <c r="AK64" s="1868"/>
      <c r="AL64" s="1868"/>
      <c r="AM64" s="1868"/>
      <c r="AN64" s="1868"/>
      <c r="AO64" s="1868"/>
      <c r="AP64" s="1868"/>
      <c r="AQ64" s="1868"/>
      <c r="AR64" s="1868"/>
      <c r="AS64" s="1868"/>
      <c r="AT64" s="1868"/>
      <c r="AU64" s="1868"/>
      <c r="AV64" s="1868"/>
      <c r="AW64" s="1868"/>
      <c r="AX64" s="1868"/>
      <c r="AY64" s="1868"/>
      <c r="AZ64" s="1868"/>
      <c r="BA64" s="1868"/>
      <c r="BB64" s="1868"/>
      <c r="BC64" s="1868"/>
      <c r="BD64" s="1868"/>
      <c r="BE64" s="1868"/>
      <c r="BF64" s="1868"/>
      <c r="BG64" s="1868"/>
      <c r="BH64" s="1868"/>
      <c r="BI64" s="1868"/>
      <c r="BJ64" s="1868"/>
      <c r="BK64" s="1868"/>
      <c r="BL64" s="1868"/>
      <c r="BM64" s="1868"/>
      <c r="BN64" s="1868"/>
      <c r="BO64" s="1868"/>
      <c r="BP64" s="1862"/>
    </row>
    <row r="65" spans="1:68" ht="20.100000000000001" customHeight="1" collapsed="1">
      <c r="A65" s="1845">
        <v>70</v>
      </c>
      <c r="B65" s="1854"/>
      <c r="C65" s="1847"/>
      <c r="D65" s="1869" t="s">
        <v>962</v>
      </c>
      <c r="E65" s="1858" t="str">
        <f ca="1">参考2_エネ使用量経年!E66</f>
        <v/>
      </c>
      <c r="F65" s="1860"/>
      <c r="G65" s="1225" t="s">
        <v>1109</v>
      </c>
      <c r="H65" s="1850">
        <f ca="1">IFERROR(OFFSET(貼付け_2024実績,$A65,6),"")</f>
        <v>0</v>
      </c>
      <c r="I65" s="1850">
        <f ca="1">IFERROR(OFFSET(貼付け_2025実績,$A65,6),"")</f>
        <v>0</v>
      </c>
      <c r="J65" s="1850">
        <f ca="1">IFERROR(OFFSET(貼付け_2026実績,$A65,6),"")</f>
        <v>0</v>
      </c>
      <c r="K65" s="1850">
        <f ca="1">IFERROR(OFFSET(貼付け_2027実績,$A65,6),"")</f>
        <v>0</v>
      </c>
      <c r="L65" s="1851">
        <f ca="1">IFERROR($H65*参考2_エネ使用量経年!L66,"")</f>
        <v>0</v>
      </c>
      <c r="M65" s="1851">
        <f ca="1">IFERROR($I65*参考2_エネ使用量経年!M66,"")</f>
        <v>0</v>
      </c>
      <c r="N65" s="1851">
        <f ca="1">IFERROR($J65*参考2_エネ使用量経年!N66,"")</f>
        <v>0</v>
      </c>
      <c r="O65" s="1851">
        <f ca="1">IFERROR($K65*参考2_エネ使用量経年!O66,"")</f>
        <v>0</v>
      </c>
      <c r="P65" s="1852">
        <f ca="1">IFERROR($H65*参考2_エネ使用量経年!P66,"")</f>
        <v>0</v>
      </c>
      <c r="Q65" s="1852">
        <f ca="1">IFERROR($I65*参考2_エネ使用量経年!Q66,"")</f>
        <v>0</v>
      </c>
      <c r="R65" s="1852">
        <f ca="1">IFERROR($J65*参考2_エネ使用量経年!R66,"")</f>
        <v>0</v>
      </c>
      <c r="S65" s="1852">
        <f ca="1">IFERROR($K65*参考2_エネ使用量経年!S66,"")</f>
        <v>0</v>
      </c>
      <c r="T65" s="1851">
        <f ca="1">IFERROR($H65*参考2_エネ使用量経年!T66,"")</f>
        <v>0</v>
      </c>
      <c r="U65" s="1851">
        <f ca="1">IFERROR($I65*参考2_エネ使用量経年!U66,"")</f>
        <v>0</v>
      </c>
      <c r="V65" s="1851">
        <f ca="1">IFERROR($J65*参考2_エネ使用量経年!V66,"")</f>
        <v>0</v>
      </c>
      <c r="W65" s="1851">
        <f ca="1">IFERROR($K65*参考2_エネ使用量経年!W66,"")</f>
        <v>0</v>
      </c>
      <c r="X65" s="1853">
        <f ca="1">IFERROR($H65*参考2_エネ使用量経年!X66,"")</f>
        <v>0</v>
      </c>
      <c r="Y65" s="1853">
        <f ca="1">IFERROR($I65*参考2_エネ使用量経年!Y66,"")</f>
        <v>0</v>
      </c>
      <c r="Z65" s="1853">
        <f ca="1">IFERROR($J65*参考2_エネ使用量経年!Z66,"")</f>
        <v>0</v>
      </c>
      <c r="AA65" s="1853">
        <f ca="1">IFERROR($K65*参考2_エネ使用量経年!AA66,"")</f>
        <v>0</v>
      </c>
      <c r="AB65" s="1853"/>
      <c r="AC65" s="1853"/>
      <c r="AD65" s="1853"/>
      <c r="AE65" s="1853"/>
      <c r="AF65" s="1853"/>
      <c r="AG65" s="1853"/>
      <c r="AH65" s="1853"/>
      <c r="AI65" s="1853"/>
      <c r="AJ65" s="1853"/>
      <c r="AK65" s="1853"/>
      <c r="AL65" s="1853"/>
      <c r="AM65" s="1853"/>
      <c r="AN65" s="1853"/>
      <c r="AO65" s="1853"/>
      <c r="AP65" s="1853"/>
      <c r="AQ65" s="1853"/>
      <c r="AR65" s="1853"/>
      <c r="AS65" s="1853"/>
      <c r="AT65" s="1853"/>
      <c r="AU65" s="1853"/>
      <c r="AV65" s="1853"/>
      <c r="AW65" s="1853"/>
      <c r="AX65" s="1853"/>
      <c r="AY65" s="1853"/>
      <c r="AZ65" s="1853"/>
      <c r="BA65" s="1853"/>
      <c r="BB65" s="1853"/>
      <c r="BC65" s="1853"/>
      <c r="BD65" s="1853"/>
      <c r="BE65" s="1853"/>
      <c r="BF65" s="1853"/>
      <c r="BG65" s="1853"/>
      <c r="BH65" s="1853"/>
      <c r="BI65" s="1853"/>
      <c r="BJ65" s="1853"/>
      <c r="BK65" s="1853"/>
      <c r="BL65" s="1853"/>
      <c r="BM65" s="1853"/>
      <c r="BN65" s="1853"/>
      <c r="BO65" s="1853"/>
      <c r="BP65" s="1862"/>
    </row>
    <row r="66" spans="1:68" ht="20.100000000000001" customHeight="1">
      <c r="A66" s="1845">
        <v>71</v>
      </c>
      <c r="B66" s="1854"/>
      <c r="C66" s="1847"/>
      <c r="D66" s="1869" t="s">
        <v>963</v>
      </c>
      <c r="E66" s="1858" t="str">
        <f ca="1">参考2_エネ使用量経年!E67</f>
        <v/>
      </c>
      <c r="F66" s="1860"/>
      <c r="G66" s="1225" t="s">
        <v>1109</v>
      </c>
      <c r="H66" s="1850">
        <f ca="1">IFERROR(OFFSET(貼付け_2024実績,$A66,6),"")</f>
        <v>0</v>
      </c>
      <c r="I66" s="1850">
        <f ca="1">IFERROR(OFFSET(貼付け_2025実績,$A66,6),"")</f>
        <v>0</v>
      </c>
      <c r="J66" s="1850">
        <f ca="1">IFERROR(OFFSET(貼付け_2026実績,$A66,6),"")</f>
        <v>0</v>
      </c>
      <c r="K66" s="1850">
        <f ca="1">IFERROR(OFFSET(貼付け_2027実績,$A66,6),"")</f>
        <v>0</v>
      </c>
      <c r="L66" s="1851">
        <f ca="1">IFERROR($H66*参考2_エネ使用量経年!L67,"")</f>
        <v>0</v>
      </c>
      <c r="M66" s="1851">
        <f ca="1">IFERROR($I66*参考2_エネ使用量経年!M67,"")</f>
        <v>0</v>
      </c>
      <c r="N66" s="1851">
        <f ca="1">IFERROR($J66*参考2_エネ使用量経年!N67,"")</f>
        <v>0</v>
      </c>
      <c r="O66" s="1851">
        <f ca="1">IFERROR($K66*参考2_エネ使用量経年!O67,"")</f>
        <v>0</v>
      </c>
      <c r="P66" s="1852">
        <f ca="1">IFERROR($H66*参考2_エネ使用量経年!P67,"")</f>
        <v>0</v>
      </c>
      <c r="Q66" s="1852">
        <f ca="1">IFERROR($I66*参考2_エネ使用量経年!Q67,"")</f>
        <v>0</v>
      </c>
      <c r="R66" s="1852">
        <f ca="1">IFERROR($J66*参考2_エネ使用量経年!R67,"")</f>
        <v>0</v>
      </c>
      <c r="S66" s="1852">
        <f ca="1">IFERROR($K66*参考2_エネ使用量経年!S67,"")</f>
        <v>0</v>
      </c>
      <c r="T66" s="1851">
        <f ca="1">IFERROR($H66*参考2_エネ使用量経年!T67,"")</f>
        <v>0</v>
      </c>
      <c r="U66" s="1851">
        <f ca="1">IFERROR($I66*参考2_エネ使用量経年!U67,"")</f>
        <v>0</v>
      </c>
      <c r="V66" s="1851">
        <f ca="1">IFERROR($J66*参考2_エネ使用量経年!V67,"")</f>
        <v>0</v>
      </c>
      <c r="W66" s="1851">
        <f ca="1">IFERROR($K66*参考2_エネ使用量経年!W67,"")</f>
        <v>0</v>
      </c>
      <c r="X66" s="1853">
        <f ca="1">IFERROR($H66*参考2_エネ使用量経年!X67,"")</f>
        <v>0</v>
      </c>
      <c r="Y66" s="1853">
        <f ca="1">IFERROR($I66*参考2_エネ使用量経年!Y67,"")</f>
        <v>0</v>
      </c>
      <c r="Z66" s="1853">
        <f ca="1">IFERROR($J66*参考2_エネ使用量経年!Z67,"")</f>
        <v>0</v>
      </c>
      <c r="AA66" s="1853">
        <f ca="1">IFERROR($K66*参考2_エネ使用量経年!AA67,"")</f>
        <v>0</v>
      </c>
      <c r="AB66" s="1853"/>
      <c r="AC66" s="1853"/>
      <c r="AD66" s="1853"/>
      <c r="AE66" s="1853"/>
      <c r="AF66" s="1853"/>
      <c r="AG66" s="1853"/>
      <c r="AH66" s="1853"/>
      <c r="AI66" s="1853"/>
      <c r="AJ66" s="1853"/>
      <c r="AK66" s="1853"/>
      <c r="AL66" s="1853"/>
      <c r="AM66" s="1853"/>
      <c r="AN66" s="1853"/>
      <c r="AO66" s="1853"/>
      <c r="AP66" s="1853"/>
      <c r="AQ66" s="1853"/>
      <c r="AR66" s="1853"/>
      <c r="AS66" s="1853"/>
      <c r="AT66" s="1853"/>
      <c r="AU66" s="1853"/>
      <c r="AV66" s="1853"/>
      <c r="AW66" s="1853"/>
      <c r="AX66" s="1853"/>
      <c r="AY66" s="1853"/>
      <c r="AZ66" s="1853"/>
      <c r="BA66" s="1853"/>
      <c r="BB66" s="1853"/>
      <c r="BC66" s="1853"/>
      <c r="BD66" s="1853"/>
      <c r="BE66" s="1853"/>
      <c r="BF66" s="1853"/>
      <c r="BG66" s="1853"/>
      <c r="BH66" s="1853"/>
      <c r="BI66" s="1853"/>
      <c r="BJ66" s="1853"/>
      <c r="BK66" s="1853"/>
      <c r="BL66" s="1853"/>
      <c r="BM66" s="1853"/>
      <c r="BN66" s="1853"/>
      <c r="BO66" s="1853"/>
      <c r="BP66" s="1862"/>
    </row>
    <row r="67" spans="1:68" ht="20.100000000000001" customHeight="1">
      <c r="A67" s="1845">
        <v>15</v>
      </c>
      <c r="B67" s="1846" t="s">
        <v>964</v>
      </c>
      <c r="C67" s="1870" t="s">
        <v>965</v>
      </c>
      <c r="D67" s="1871"/>
      <c r="E67" s="1856"/>
      <c r="F67" s="1863"/>
      <c r="G67" s="1225" t="s">
        <v>1109</v>
      </c>
      <c r="H67" s="1857"/>
      <c r="I67" s="1857"/>
      <c r="J67" s="1857"/>
      <c r="K67" s="1857"/>
      <c r="L67" s="1852">
        <f ca="1">SUM(SUMIFS(OFFSET(A1_集計2024,$A67,9,1,200),OFFSET(貼付け_2024実績,4,9,1,200),{"横浜*","川崎*","県域*","エネルギー管理指定工場等*"}))</f>
        <v>0</v>
      </c>
      <c r="M67" s="1852">
        <f ca="1">SUM(SUMIFS(OFFSET(A1_集計2025,$A67,9,1,200),OFFSET(貼付け_2025実績,4,9,1,200),{"横浜*","川崎*","県域*","エネルギー管理指定工場等*"}))</f>
        <v>0</v>
      </c>
      <c r="N67" s="1852">
        <f ca="1">SUM(SUMIFS(OFFSET(A1_集計2026,$A67,9,1,200),OFFSET(貼付け_2026実績,4,9,1,200),{"横浜*","川崎*","県域*","エネルギー管理指定工場等*"}))</f>
        <v>0</v>
      </c>
      <c r="O67" s="1852">
        <f ca="1">SUM(SUMIFS(OFFSET(A1_集計2027,$A67,9,1,200),OFFSET(貼付け_2027実績,4,9,1,200),{"横浜*","川崎*","県域*","エネルギー管理指定工場等*"}))</f>
        <v>0</v>
      </c>
      <c r="P67" s="1852">
        <f ca="1">SUM(SUMIFS(OFFSET(A1_集計2024,$A67,9,1,200),OFFSET(貼付け_2024実績,4,9,1,200),{"横浜*","川崎*"}))</f>
        <v>0</v>
      </c>
      <c r="Q67" s="1852">
        <f ca="1">SUM(SUMIFS(OFFSET(A1_集計2025,$A67,9,1,200),OFFSET(貼付け_2025実績,4,9,1,200),{"横浜*","川崎*"}))</f>
        <v>0</v>
      </c>
      <c r="R67" s="1852">
        <f ca="1">SUM(SUMIFS(OFFSET(A1_集計2026,$A67,9,1,200),OFFSET(貼付け_2026実績,4,9,1,200),{"横浜*","川崎*"}))</f>
        <v>0</v>
      </c>
      <c r="S67" s="1852">
        <f ca="1">SUM(SUMIFS(OFFSET(A1_集計2027,$A67,9,1,200),OFFSET(貼付け_2027実績,4,9,1,200),{"横浜*","川崎*"}))</f>
        <v>0</v>
      </c>
      <c r="T67" s="1852">
        <f ca="1">SUM(SUMIFS(OFFSET(A1_集計2024,$A67,9,1,200),OFFSET(貼付け_2024実績,4,9,1,200),{"県域*","エネルギー管理指定工場等*"}))</f>
        <v>0</v>
      </c>
      <c r="U67" s="1852">
        <f ca="1">SUM(SUMIFS(OFFSET(A1_集計2025,$A67,9,1,200),OFFSET(貼付け_2025実績,4,9,1,200),{"県域*","エネルギー管理指定工場等*"}))</f>
        <v>0</v>
      </c>
      <c r="V67" s="1852">
        <f ca="1">SUM(SUMIFS(OFFSET(A1_集計2026,$A67,9,1,200),OFFSET(貼付け_2026実績,4,9,1,200),{"県域*","エネルギー管理指定工場等*"}))</f>
        <v>0</v>
      </c>
      <c r="W67" s="1852">
        <f ca="1">SUM(SUMIFS(OFFSET(A1_集計2027,$A67,9,1,200),OFFSET(貼付け_2027実績,4,9,1,200),{"県域*","エネルギー管理指定工場等*"}))</f>
        <v>0</v>
      </c>
      <c r="X67" s="1853">
        <f ca="1">SUMIFS(OFFSET(A1_集計2024,$A67,9,1,200),OFFSET(貼付け_2024実績,4,9,1,200),"県域*")</f>
        <v>0</v>
      </c>
      <c r="Y67" s="1853">
        <f ca="1">SUMIFS(OFFSET(A1_集計2025,$A67,9,1,200),OFFSET(貼付け_2025実績,4,9,1,200),"県域*")</f>
        <v>0</v>
      </c>
      <c r="Z67" s="1853">
        <f ca="1">SUMIFS(OFFSET(A1_集計2026,$A67,9,1,200),OFFSET(貼付け_2026実績,4,9,1,200),"県域*")</f>
        <v>0</v>
      </c>
      <c r="AA67" s="1853">
        <f ca="1">SUMIFS(OFFSET(A1_集計2027,$A67,9,1,200),OFFSET(貼付け_2027実績,4,9,1,200),"県域*")</f>
        <v>0</v>
      </c>
      <c r="AB67" s="1853"/>
      <c r="AC67" s="1853"/>
      <c r="AD67" s="1853"/>
      <c r="AE67" s="1853"/>
      <c r="AF67" s="1853"/>
      <c r="AG67" s="1853"/>
      <c r="AH67" s="1853"/>
      <c r="AI67" s="1853"/>
      <c r="AJ67" s="1853"/>
      <c r="AK67" s="1853"/>
      <c r="AL67" s="1853"/>
      <c r="AM67" s="1853"/>
      <c r="AN67" s="1853"/>
      <c r="AO67" s="1853"/>
      <c r="AP67" s="1853"/>
      <c r="AQ67" s="1853"/>
      <c r="AR67" s="1853"/>
      <c r="AS67" s="1853"/>
      <c r="AT67" s="1853"/>
      <c r="AU67" s="1853"/>
      <c r="AV67" s="1853"/>
      <c r="AW67" s="1853"/>
      <c r="AX67" s="1853"/>
      <c r="AY67" s="1853"/>
      <c r="AZ67" s="1853"/>
      <c r="BA67" s="1853"/>
      <c r="BB67" s="1853"/>
      <c r="BC67" s="1853"/>
      <c r="BD67" s="1853"/>
      <c r="BE67" s="1853"/>
      <c r="BF67" s="1853"/>
      <c r="BG67" s="1853"/>
      <c r="BH67" s="1853"/>
      <c r="BI67" s="1853"/>
      <c r="BJ67" s="1853"/>
      <c r="BK67" s="1853"/>
      <c r="BL67" s="1853"/>
      <c r="BM67" s="1853"/>
      <c r="BN67" s="1853"/>
      <c r="BO67" s="1853"/>
      <c r="BP67" s="1862"/>
    </row>
    <row r="68" spans="1:68" ht="20.100000000000001" customHeight="1">
      <c r="A68" s="1845">
        <v>74</v>
      </c>
      <c r="B68" s="1854"/>
      <c r="C68" s="1847" t="s">
        <v>967</v>
      </c>
      <c r="D68" s="1864" t="s">
        <v>968</v>
      </c>
      <c r="E68" s="1848"/>
      <c r="F68" s="1863"/>
      <c r="G68" s="1225" t="s">
        <v>1109</v>
      </c>
      <c r="H68" s="1850">
        <f ca="1">IFERROR(OFFSET(貼付け_2024実績,$A68,6),"")</f>
        <v>0</v>
      </c>
      <c r="I68" s="1850">
        <f ca="1">IFERROR(OFFSET(貼付け_2025実績,$A68,6),"")</f>
        <v>0</v>
      </c>
      <c r="J68" s="1850">
        <f ca="1">IFERROR(OFFSET(貼付け_2026実績,$A68,6),"")</f>
        <v>0</v>
      </c>
      <c r="K68" s="1850">
        <f ca="1">IFERROR(OFFSET(貼付け_2027実績,$A68,6),"")</f>
        <v>0</v>
      </c>
      <c r="L68" s="1852">
        <f ca="1">IFERROR($H68*参考2_エネ使用量経年!L69*1000,"")</f>
        <v>0</v>
      </c>
      <c r="M68" s="1852">
        <f ca="1">IFERROR($I68*参考2_エネ使用量経年!M69*1000,"")</f>
        <v>0</v>
      </c>
      <c r="N68" s="1852">
        <f ca="1">IFERROR($J68*参考2_エネ使用量経年!N69*1000,"")</f>
        <v>0</v>
      </c>
      <c r="O68" s="1852">
        <f ca="1">IFERROR($K68*参考2_エネ使用量経年!O69*1000,"")</f>
        <v>0</v>
      </c>
      <c r="P68" s="1852">
        <f ca="1">IFERROR($H68*参考2_エネ使用量経年!P69*1000,"")</f>
        <v>0</v>
      </c>
      <c r="Q68" s="1852">
        <f ca="1">IFERROR($I68*参考2_エネ使用量経年!Q69*1000,"")</f>
        <v>0</v>
      </c>
      <c r="R68" s="1852">
        <f ca="1">IFERROR($J68*参考2_エネ使用量経年!R69*1000,"")</f>
        <v>0</v>
      </c>
      <c r="S68" s="1852">
        <f ca="1">IFERROR($K68*参考2_エネ使用量経年!S69*1000,"")</f>
        <v>0</v>
      </c>
      <c r="T68" s="1852">
        <f ca="1">IFERROR($H68*参考2_エネ使用量経年!T69*1000,"")</f>
        <v>0</v>
      </c>
      <c r="U68" s="1852">
        <f ca="1">IFERROR($I68*参考2_エネ使用量経年!U69*1000,"")</f>
        <v>0</v>
      </c>
      <c r="V68" s="1852">
        <f ca="1">IFERROR($J68*参考2_エネ使用量経年!V69*1000,"")</f>
        <v>0</v>
      </c>
      <c r="W68" s="1852">
        <f ca="1">IFERROR($K68*参考2_エネ使用量経年!W69*1000,"")</f>
        <v>0</v>
      </c>
      <c r="X68" s="1853">
        <f ca="1">IFERROR($H68*参考2_エネ使用量経年!X69*1000,"")</f>
        <v>0</v>
      </c>
      <c r="Y68" s="1853">
        <f ca="1">IFERROR($I68*参考2_エネ使用量経年!Y69*1000,"")</f>
        <v>0</v>
      </c>
      <c r="Z68" s="1853">
        <f ca="1">IFERROR($J68*参考2_エネ使用量経年!Z69*1000,"")</f>
        <v>0</v>
      </c>
      <c r="AA68" s="1853">
        <f ca="1">IFERROR($K68*参考2_エネ使用量経年!AA69*1000,"")</f>
        <v>0</v>
      </c>
      <c r="AB68" s="1853"/>
      <c r="AC68" s="1853"/>
      <c r="AD68" s="1853"/>
      <c r="AE68" s="1853"/>
      <c r="AF68" s="1853"/>
      <c r="AG68" s="1853"/>
      <c r="AH68" s="1853"/>
      <c r="AI68" s="1853"/>
      <c r="AJ68" s="1853"/>
      <c r="AK68" s="1853"/>
      <c r="AL68" s="1853"/>
      <c r="AM68" s="1853"/>
      <c r="AN68" s="1853"/>
      <c r="AO68" s="1853"/>
      <c r="AP68" s="1853"/>
      <c r="AQ68" s="1853"/>
      <c r="AR68" s="1853"/>
      <c r="AS68" s="1853"/>
      <c r="AT68" s="1853"/>
      <c r="AU68" s="1853"/>
      <c r="AV68" s="1853"/>
      <c r="AW68" s="1853"/>
      <c r="AX68" s="1853"/>
      <c r="AY68" s="1853"/>
      <c r="AZ68" s="1853"/>
      <c r="BA68" s="1853"/>
      <c r="BB68" s="1853"/>
      <c r="BC68" s="1853"/>
      <c r="BD68" s="1853"/>
      <c r="BE68" s="1853"/>
      <c r="BF68" s="1853"/>
      <c r="BG68" s="1853"/>
      <c r="BH68" s="1853"/>
      <c r="BI68" s="1853"/>
      <c r="BJ68" s="1853"/>
      <c r="BK68" s="1853"/>
      <c r="BL68" s="1853"/>
      <c r="BM68" s="1853"/>
      <c r="BN68" s="1853"/>
      <c r="BO68" s="1853"/>
      <c r="BP68" s="1862"/>
    </row>
    <row r="69" spans="1:68" ht="20.100000000000001" customHeight="1">
      <c r="A69" s="1845">
        <v>76</v>
      </c>
      <c r="B69" s="1854"/>
      <c r="C69" s="1847"/>
      <c r="D69" s="1869" t="s">
        <v>969</v>
      </c>
      <c r="E69" s="1848"/>
      <c r="F69" s="1863"/>
      <c r="G69" s="1225" t="s">
        <v>1109</v>
      </c>
      <c r="H69" s="1850">
        <f ca="1">IFERROR(OFFSET(貼付け_2024実績,$A69,6),"")</f>
        <v>0</v>
      </c>
      <c r="I69" s="1850">
        <f ca="1">IFERROR(OFFSET(貼付け_2025実績,$A69,6),"")</f>
        <v>0</v>
      </c>
      <c r="J69" s="1850">
        <f ca="1">IFERROR(OFFSET(貼付け_2026実績,$A69,6),"")</f>
        <v>0</v>
      </c>
      <c r="K69" s="1850">
        <f ca="1">IFERROR(OFFSET(貼付け_2027実績,$A69,6),"")</f>
        <v>0</v>
      </c>
      <c r="L69" s="1852">
        <f ca="1">IFERROR($H69*参考2_エネ使用量経年!L70*1000,"")</f>
        <v>0</v>
      </c>
      <c r="M69" s="1852">
        <f ca="1">IFERROR($I69*参考2_エネ使用量経年!M70*1000,"")</f>
        <v>0</v>
      </c>
      <c r="N69" s="1852">
        <f ca="1">IFERROR($J69*参考2_エネ使用量経年!N70*1000,"")</f>
        <v>0</v>
      </c>
      <c r="O69" s="1852">
        <f ca="1">IFERROR($K69*参考2_エネ使用量経年!O70*1000,"")</f>
        <v>0</v>
      </c>
      <c r="P69" s="1852">
        <f ca="1">IFERROR($H69*参考2_エネ使用量経年!P70*1000,"")</f>
        <v>0</v>
      </c>
      <c r="Q69" s="1852">
        <f ca="1">IFERROR($I69*参考2_エネ使用量経年!Q70*1000,"")</f>
        <v>0</v>
      </c>
      <c r="R69" s="1852">
        <f ca="1">IFERROR($J69*参考2_エネ使用量経年!R70*1000,"")</f>
        <v>0</v>
      </c>
      <c r="S69" s="1852">
        <f ca="1">IFERROR($K69*参考2_エネ使用量経年!S70*1000,"")</f>
        <v>0</v>
      </c>
      <c r="T69" s="1852">
        <f ca="1">IFERROR($H69*参考2_エネ使用量経年!T70*1000,"")</f>
        <v>0</v>
      </c>
      <c r="U69" s="1852">
        <f ca="1">IFERROR($I69*参考2_エネ使用量経年!U70*1000,"")</f>
        <v>0</v>
      </c>
      <c r="V69" s="1852">
        <f ca="1">IFERROR($J69*参考2_エネ使用量経年!V70*1000,"")</f>
        <v>0</v>
      </c>
      <c r="W69" s="1852">
        <f ca="1">IFERROR($K69*参考2_エネ使用量経年!W70*1000,"")</f>
        <v>0</v>
      </c>
      <c r="X69" s="1853">
        <f ca="1">IFERROR($H69*参考2_エネ使用量経年!X70*1000,"")</f>
        <v>0</v>
      </c>
      <c r="Y69" s="1853">
        <f ca="1">IFERROR($I69*参考2_エネ使用量経年!Y70*1000,"")</f>
        <v>0</v>
      </c>
      <c r="Z69" s="1853">
        <f ca="1">IFERROR($J69*参考2_エネ使用量経年!Z70*1000,"")</f>
        <v>0</v>
      </c>
      <c r="AA69" s="1853">
        <f ca="1">IFERROR($K69*参考2_エネ使用量経年!AA70*1000,"")</f>
        <v>0</v>
      </c>
      <c r="AB69" s="1853"/>
      <c r="AC69" s="1853"/>
      <c r="AD69" s="1853"/>
      <c r="AE69" s="1853"/>
      <c r="AF69" s="1853"/>
      <c r="AG69" s="1853"/>
      <c r="AH69" s="1853"/>
      <c r="AI69" s="1853"/>
      <c r="AJ69" s="1853"/>
      <c r="AK69" s="1853"/>
      <c r="AL69" s="1853"/>
      <c r="AM69" s="1853"/>
      <c r="AN69" s="1853"/>
      <c r="AO69" s="1853"/>
      <c r="AP69" s="1853"/>
      <c r="AQ69" s="1853"/>
      <c r="AR69" s="1853"/>
      <c r="AS69" s="1853"/>
      <c r="AT69" s="1853"/>
      <c r="AU69" s="1853"/>
      <c r="AV69" s="1853"/>
      <c r="AW69" s="1853"/>
      <c r="AX69" s="1853"/>
      <c r="AY69" s="1853"/>
      <c r="AZ69" s="1853"/>
      <c r="BA69" s="1853"/>
      <c r="BB69" s="1853"/>
      <c r="BC69" s="1853"/>
      <c r="BD69" s="1853"/>
      <c r="BE69" s="1853"/>
      <c r="BF69" s="1853"/>
      <c r="BG69" s="1853"/>
      <c r="BH69" s="1853"/>
      <c r="BI69" s="1853"/>
      <c r="BJ69" s="1853"/>
      <c r="BK69" s="1853"/>
      <c r="BL69" s="1853"/>
      <c r="BM69" s="1853"/>
      <c r="BN69" s="1853"/>
      <c r="BO69" s="1853"/>
      <c r="BP69" s="1862"/>
    </row>
    <row r="70" spans="1:68" ht="20.100000000000001" customHeight="1">
      <c r="A70" s="1845">
        <v>77</v>
      </c>
      <c r="B70" s="1854"/>
      <c r="C70" s="1847"/>
      <c r="D70" s="1869" t="s">
        <v>970</v>
      </c>
      <c r="E70" s="1858" t="str">
        <f ca="1">参考2_エネ使用量経年!E71</f>
        <v/>
      </c>
      <c r="F70" s="1860"/>
      <c r="G70" s="1225" t="s">
        <v>1109</v>
      </c>
      <c r="H70" s="1850">
        <f ca="1">IFERROR(OFFSET(貼付け_2024実績,$A70,6),"")</f>
        <v>0</v>
      </c>
      <c r="I70" s="1850">
        <f ca="1">IFERROR(OFFSET(貼付け_2025実績,$A70,6),"")</f>
        <v>0</v>
      </c>
      <c r="J70" s="1850">
        <f ca="1">IFERROR(OFFSET(貼付け_2026実績,$A70,6),"")</f>
        <v>0</v>
      </c>
      <c r="K70" s="1850">
        <f ca="1">IFERROR(OFFSET(貼付け_2027実績,$A70,6),"")</f>
        <v>0</v>
      </c>
      <c r="L70" s="1852">
        <f ca="1">IFERROR($H70*参考2_エネ使用量経年!L71*1000,"")</f>
        <v>0</v>
      </c>
      <c r="M70" s="1852">
        <f ca="1">IFERROR($I70*参考2_エネ使用量経年!M71*1000,"")</f>
        <v>0</v>
      </c>
      <c r="N70" s="1852">
        <f ca="1">IFERROR($J70*参考2_エネ使用量経年!N71*1000,"")</f>
        <v>0</v>
      </c>
      <c r="O70" s="1852">
        <f ca="1">IFERROR($K70*参考2_エネ使用量経年!O71*1000,"")</f>
        <v>0</v>
      </c>
      <c r="P70" s="1852">
        <f ca="1">IFERROR($H70*参考2_エネ使用量経年!P71*1000,"")</f>
        <v>0</v>
      </c>
      <c r="Q70" s="1852">
        <f ca="1">IFERROR($I70*参考2_エネ使用量経年!Q71*1000,"")</f>
        <v>0</v>
      </c>
      <c r="R70" s="1852">
        <f ca="1">IFERROR($J70*参考2_エネ使用量経年!R71*1000,"")</f>
        <v>0</v>
      </c>
      <c r="S70" s="1852">
        <f ca="1">IFERROR($K70*参考2_エネ使用量経年!S71*1000,"")</f>
        <v>0</v>
      </c>
      <c r="T70" s="1852">
        <f ca="1">IFERROR($H70*参考2_エネ使用量経年!T71*1000,"")</f>
        <v>0</v>
      </c>
      <c r="U70" s="1852">
        <f ca="1">IFERROR($I70*参考2_エネ使用量経年!U71*1000,"")</f>
        <v>0</v>
      </c>
      <c r="V70" s="1852">
        <f ca="1">IFERROR($J70*参考2_エネ使用量経年!V71*1000,"")</f>
        <v>0</v>
      </c>
      <c r="W70" s="1852">
        <f ca="1">IFERROR($K70*参考2_エネ使用量経年!W71*1000,"")</f>
        <v>0</v>
      </c>
      <c r="X70" s="1853">
        <f ca="1">IFERROR($H70*参考2_エネ使用量経年!X71*1000,"")</f>
        <v>0</v>
      </c>
      <c r="Y70" s="1853">
        <f ca="1">IFERROR($I70*参考2_エネ使用量経年!Y71*1000,"")</f>
        <v>0</v>
      </c>
      <c r="Z70" s="1853">
        <f ca="1">IFERROR($J70*参考2_エネ使用量経年!Z71*1000,"")</f>
        <v>0</v>
      </c>
      <c r="AA70" s="1853">
        <f ca="1">IFERROR($K70*参考2_エネ使用量経年!AA71*1000,"")</f>
        <v>0</v>
      </c>
      <c r="AB70" s="1853"/>
      <c r="AC70" s="1853"/>
      <c r="AD70" s="1853"/>
      <c r="AE70" s="1853"/>
      <c r="AF70" s="1853"/>
      <c r="AG70" s="1853"/>
      <c r="AH70" s="1853"/>
      <c r="AI70" s="1853"/>
      <c r="AJ70" s="1853"/>
      <c r="AK70" s="1853"/>
      <c r="AL70" s="1853"/>
      <c r="AM70" s="1853"/>
      <c r="AN70" s="1853"/>
      <c r="AO70" s="1853"/>
      <c r="AP70" s="1853"/>
      <c r="AQ70" s="1853"/>
      <c r="AR70" s="1853"/>
      <c r="AS70" s="1853"/>
      <c r="AT70" s="1853"/>
      <c r="AU70" s="1853"/>
      <c r="AV70" s="1853"/>
      <c r="AW70" s="1853"/>
      <c r="AX70" s="1853"/>
      <c r="AY70" s="1853"/>
      <c r="AZ70" s="1853"/>
      <c r="BA70" s="1853"/>
      <c r="BB70" s="1853"/>
      <c r="BC70" s="1853"/>
      <c r="BD70" s="1853"/>
      <c r="BE70" s="1853"/>
      <c r="BF70" s="1853"/>
      <c r="BG70" s="1853"/>
      <c r="BH70" s="1853"/>
      <c r="BI70" s="1853"/>
      <c r="BJ70" s="1853"/>
      <c r="BK70" s="1853"/>
      <c r="BL70" s="1853"/>
      <c r="BM70" s="1853"/>
      <c r="BN70" s="1853"/>
      <c r="BO70" s="1853"/>
      <c r="BP70" s="1862"/>
    </row>
    <row r="71" spans="1:68" ht="20.100000000000001" customHeight="1">
      <c r="A71" s="1845">
        <v>80</v>
      </c>
      <c r="B71" s="1854"/>
      <c r="C71" s="1847"/>
      <c r="D71" s="1872" t="s">
        <v>972</v>
      </c>
      <c r="E71" s="1858" t="str">
        <f ca="1">参考2_エネ使用量経年!E73</f>
        <v/>
      </c>
      <c r="F71" s="1860"/>
      <c r="G71" s="1225" t="s">
        <v>1109</v>
      </c>
      <c r="H71" s="1850">
        <f ca="1">IFERROR(OFFSET(貼付け_2024実績,$A71,6),"")</f>
        <v>0</v>
      </c>
      <c r="I71" s="1850">
        <f ca="1">IFERROR(OFFSET(貼付け_2025実績,$A71,6),"")</f>
        <v>0</v>
      </c>
      <c r="J71" s="1850">
        <f ca="1">IFERROR(OFFSET(貼付け_2026実績,$A71,6),"")</f>
        <v>0</v>
      </c>
      <c r="K71" s="1850">
        <f ca="1">IFERROR(OFFSET(貼付け_2027実績,$A71,6),"")</f>
        <v>0</v>
      </c>
      <c r="L71" s="1852">
        <f ca="1">IFERROR($H71*参考2_エネ使用量経年!L73*1000,"")</f>
        <v>0</v>
      </c>
      <c r="M71" s="1852">
        <f ca="1">IFERROR($I71*参考2_エネ使用量経年!M73*1000,"")</f>
        <v>0</v>
      </c>
      <c r="N71" s="1852">
        <f ca="1">IFERROR($J71*参考2_エネ使用量経年!N73*1000,"")</f>
        <v>0</v>
      </c>
      <c r="O71" s="1852">
        <f ca="1">IFERROR($K71*参考2_エネ使用量経年!O73*1000,"")</f>
        <v>0</v>
      </c>
      <c r="P71" s="1852">
        <f ca="1">IFERROR($H71*参考2_エネ使用量経年!P73*1000,"")</f>
        <v>0</v>
      </c>
      <c r="Q71" s="1852">
        <f ca="1">IFERROR($I71*参考2_エネ使用量経年!Q73*1000,"")</f>
        <v>0</v>
      </c>
      <c r="R71" s="1852">
        <f ca="1">IFERROR($J71*参考2_エネ使用量経年!R73*1000,"")</f>
        <v>0</v>
      </c>
      <c r="S71" s="1852">
        <f ca="1">IFERROR($K71*参考2_エネ使用量経年!S73*1000,"")</f>
        <v>0</v>
      </c>
      <c r="T71" s="1852">
        <f ca="1">IFERROR($H71*参考2_エネ使用量経年!T73*1000,"")</f>
        <v>0</v>
      </c>
      <c r="U71" s="1852">
        <f ca="1">IFERROR($I71*参考2_エネ使用量経年!U73*1000,"")</f>
        <v>0</v>
      </c>
      <c r="V71" s="1852">
        <f ca="1">IFERROR($J71*参考2_エネ使用量経年!V73*1000,"")</f>
        <v>0</v>
      </c>
      <c r="W71" s="1852">
        <f ca="1">IFERROR($K71*参考2_エネ使用量経年!W73*1000,"")</f>
        <v>0</v>
      </c>
      <c r="X71" s="1853">
        <f ca="1">IFERROR($H71*参考2_エネ使用量経年!X73*1000,"")</f>
        <v>0</v>
      </c>
      <c r="Y71" s="1853">
        <f ca="1">IFERROR($I71*参考2_エネ使用量経年!Y73*1000,"")</f>
        <v>0</v>
      </c>
      <c r="Z71" s="1853">
        <f ca="1">IFERROR($J71*参考2_エネ使用量経年!Z73*1000,"")</f>
        <v>0</v>
      </c>
      <c r="AA71" s="1853">
        <f ca="1">IFERROR($K71*参考2_エネ使用量経年!AA73*1000,"")</f>
        <v>0</v>
      </c>
      <c r="AB71" s="1853"/>
      <c r="AC71" s="1853"/>
      <c r="AD71" s="1853"/>
      <c r="AE71" s="1853"/>
      <c r="AF71" s="1853"/>
      <c r="AG71" s="1853"/>
      <c r="AH71" s="1853"/>
      <c r="AI71" s="1853"/>
      <c r="AJ71" s="1853"/>
      <c r="AK71" s="1853"/>
      <c r="AL71" s="1853"/>
      <c r="AM71" s="1853"/>
      <c r="AN71" s="1853"/>
      <c r="AO71" s="1853"/>
      <c r="AP71" s="1853"/>
      <c r="AQ71" s="1853"/>
      <c r="AR71" s="1853"/>
      <c r="AS71" s="1853"/>
      <c r="AT71" s="1853"/>
      <c r="AU71" s="1853"/>
      <c r="AV71" s="1853"/>
      <c r="AW71" s="1853"/>
      <c r="AX71" s="1853"/>
      <c r="AY71" s="1853"/>
      <c r="AZ71" s="1853"/>
      <c r="BA71" s="1853"/>
      <c r="BB71" s="1853"/>
      <c r="BC71" s="1853"/>
      <c r="BD71" s="1853"/>
      <c r="BE71" s="1853"/>
      <c r="BF71" s="1853"/>
      <c r="BG71" s="1853"/>
      <c r="BH71" s="1853"/>
      <c r="BI71" s="1853"/>
      <c r="BJ71" s="1853"/>
      <c r="BK71" s="1853"/>
      <c r="BL71" s="1853"/>
      <c r="BM71" s="1853"/>
      <c r="BN71" s="1853"/>
      <c r="BO71" s="1853"/>
      <c r="BP71" s="1862"/>
    </row>
    <row r="72" spans="1:68" ht="20.100000000000001" hidden="1" customHeight="1" outlineLevel="1">
      <c r="A72" s="1845"/>
      <c r="B72" s="1854"/>
      <c r="C72" s="1873" t="s">
        <v>973</v>
      </c>
      <c r="D72" s="1874" t="s">
        <v>1556</v>
      </c>
      <c r="E72" s="1866"/>
      <c r="F72" s="1875"/>
      <c r="G72" s="1225" t="s">
        <v>1109</v>
      </c>
      <c r="H72" s="1867"/>
      <c r="I72" s="1867"/>
      <c r="J72" s="1867"/>
      <c r="K72" s="1867"/>
      <c r="L72" s="1867"/>
      <c r="M72" s="1867"/>
      <c r="N72" s="1867"/>
      <c r="O72" s="1867"/>
      <c r="P72" s="1867"/>
      <c r="Q72" s="1867"/>
      <c r="R72" s="1867"/>
      <c r="S72" s="1867"/>
      <c r="T72" s="1867"/>
      <c r="U72" s="1867"/>
      <c r="V72" s="1867"/>
      <c r="W72" s="1867"/>
      <c r="X72" s="1868"/>
      <c r="Y72" s="1868"/>
      <c r="Z72" s="1868"/>
      <c r="AA72" s="1868"/>
      <c r="AB72" s="1868"/>
      <c r="AC72" s="1868"/>
      <c r="AD72" s="1868"/>
      <c r="AE72" s="1868"/>
      <c r="AF72" s="1868"/>
      <c r="AG72" s="1868"/>
      <c r="AH72" s="1868"/>
      <c r="AI72" s="1868"/>
      <c r="AJ72" s="1868"/>
      <c r="AK72" s="1868"/>
      <c r="AL72" s="1868"/>
      <c r="AM72" s="1868"/>
      <c r="AN72" s="1868"/>
      <c r="AO72" s="1868"/>
      <c r="AP72" s="1868"/>
      <c r="AQ72" s="1868"/>
      <c r="AR72" s="1868"/>
      <c r="AS72" s="1868"/>
      <c r="AT72" s="1868"/>
      <c r="AU72" s="1868"/>
      <c r="AV72" s="1868"/>
      <c r="AW72" s="1868"/>
      <c r="AX72" s="1868"/>
      <c r="AY72" s="1868"/>
      <c r="AZ72" s="1868"/>
      <c r="BA72" s="1868"/>
      <c r="BB72" s="1868"/>
      <c r="BC72" s="1868"/>
      <c r="BD72" s="1868"/>
      <c r="BE72" s="1868"/>
      <c r="BF72" s="1868"/>
      <c r="BG72" s="1868"/>
      <c r="BH72" s="1868"/>
      <c r="BI72" s="1868"/>
      <c r="BJ72" s="1868"/>
      <c r="BK72" s="1868"/>
      <c r="BL72" s="1868"/>
      <c r="BM72" s="1868"/>
      <c r="BN72" s="1868"/>
      <c r="BO72" s="1868"/>
      <c r="BP72" s="1862"/>
    </row>
    <row r="73" spans="1:68" ht="20.100000000000001" hidden="1" customHeight="1" outlineLevel="1">
      <c r="A73" s="1845"/>
      <c r="B73" s="1854"/>
      <c r="C73" s="1876"/>
      <c r="D73" s="1874" t="s">
        <v>1556</v>
      </c>
      <c r="E73" s="1866"/>
      <c r="F73" s="1875"/>
      <c r="G73" s="1225" t="s">
        <v>1109</v>
      </c>
      <c r="H73" s="1867"/>
      <c r="I73" s="1867"/>
      <c r="J73" s="1867"/>
      <c r="K73" s="1867"/>
      <c r="L73" s="1867"/>
      <c r="M73" s="1867"/>
      <c r="N73" s="1867"/>
      <c r="O73" s="1867"/>
      <c r="P73" s="1867"/>
      <c r="Q73" s="1867"/>
      <c r="R73" s="1867"/>
      <c r="S73" s="1867"/>
      <c r="T73" s="1867"/>
      <c r="U73" s="1867"/>
      <c r="V73" s="1867"/>
      <c r="W73" s="1867"/>
      <c r="X73" s="1868"/>
      <c r="Y73" s="1868"/>
      <c r="Z73" s="1868"/>
      <c r="AA73" s="1868"/>
      <c r="AB73" s="1868"/>
      <c r="AC73" s="1868"/>
      <c r="AD73" s="1868"/>
      <c r="AE73" s="1868"/>
      <c r="AF73" s="1868"/>
      <c r="AG73" s="1868"/>
      <c r="AH73" s="1868"/>
      <c r="AI73" s="1868"/>
      <c r="AJ73" s="1868"/>
      <c r="AK73" s="1868"/>
      <c r="AL73" s="1868"/>
      <c r="AM73" s="1868"/>
      <c r="AN73" s="1868"/>
      <c r="AO73" s="1868"/>
      <c r="AP73" s="1868"/>
      <c r="AQ73" s="1868"/>
      <c r="AR73" s="1868"/>
      <c r="AS73" s="1868"/>
      <c r="AT73" s="1868"/>
      <c r="AU73" s="1868"/>
      <c r="AV73" s="1868"/>
      <c r="AW73" s="1868"/>
      <c r="AX73" s="1868"/>
      <c r="AY73" s="1868"/>
      <c r="AZ73" s="1868"/>
      <c r="BA73" s="1868"/>
      <c r="BB73" s="1868"/>
      <c r="BC73" s="1868"/>
      <c r="BD73" s="1868"/>
      <c r="BE73" s="1868"/>
      <c r="BF73" s="1868"/>
      <c r="BG73" s="1868"/>
      <c r="BH73" s="1868"/>
      <c r="BI73" s="1868"/>
      <c r="BJ73" s="1868"/>
      <c r="BK73" s="1868"/>
      <c r="BL73" s="1868"/>
      <c r="BM73" s="1868"/>
      <c r="BN73" s="1868"/>
      <c r="BO73" s="1868"/>
      <c r="BP73" s="1862"/>
    </row>
    <row r="74" spans="1:68" ht="20.100000000000001" hidden="1" customHeight="1" outlineLevel="1">
      <c r="A74" s="1845"/>
      <c r="B74" s="1854"/>
      <c r="C74" s="1876"/>
      <c r="D74" s="1874" t="s">
        <v>1557</v>
      </c>
      <c r="E74" s="1866"/>
      <c r="F74" s="1875"/>
      <c r="G74" s="1225" t="s">
        <v>1109</v>
      </c>
      <c r="H74" s="1867"/>
      <c r="I74" s="1867"/>
      <c r="J74" s="1867"/>
      <c r="K74" s="1867"/>
      <c r="L74" s="1867"/>
      <c r="M74" s="1867"/>
      <c r="N74" s="1867"/>
      <c r="O74" s="1867"/>
      <c r="P74" s="1867"/>
      <c r="Q74" s="1867"/>
      <c r="R74" s="1867"/>
      <c r="S74" s="1867"/>
      <c r="T74" s="1867"/>
      <c r="U74" s="1867"/>
      <c r="V74" s="1867"/>
      <c r="W74" s="1867"/>
      <c r="X74" s="1868"/>
      <c r="Y74" s="1868"/>
      <c r="Z74" s="1868"/>
      <c r="AA74" s="1868"/>
      <c r="AB74" s="1868"/>
      <c r="AC74" s="1868"/>
      <c r="AD74" s="1868"/>
      <c r="AE74" s="1868"/>
      <c r="AF74" s="1868"/>
      <c r="AG74" s="1868"/>
      <c r="AH74" s="1868"/>
      <c r="AI74" s="1868"/>
      <c r="AJ74" s="1868"/>
      <c r="AK74" s="1868"/>
      <c r="AL74" s="1868"/>
      <c r="AM74" s="1868"/>
      <c r="AN74" s="1868"/>
      <c r="AO74" s="1868"/>
      <c r="AP74" s="1868"/>
      <c r="AQ74" s="1868"/>
      <c r="AR74" s="1868"/>
      <c r="AS74" s="1868"/>
      <c r="AT74" s="1868"/>
      <c r="AU74" s="1868"/>
      <c r="AV74" s="1868"/>
      <c r="AW74" s="1868"/>
      <c r="AX74" s="1868"/>
      <c r="AY74" s="1868"/>
      <c r="AZ74" s="1868"/>
      <c r="BA74" s="1868"/>
      <c r="BB74" s="1868"/>
      <c r="BC74" s="1868"/>
      <c r="BD74" s="1868"/>
      <c r="BE74" s="1868"/>
      <c r="BF74" s="1868"/>
      <c r="BG74" s="1868"/>
      <c r="BH74" s="1868"/>
      <c r="BI74" s="1868"/>
      <c r="BJ74" s="1868"/>
      <c r="BK74" s="1868"/>
      <c r="BL74" s="1868"/>
      <c r="BM74" s="1868"/>
      <c r="BN74" s="1868"/>
      <c r="BO74" s="1868"/>
      <c r="BP74" s="1862"/>
    </row>
    <row r="75" spans="1:68" ht="20.100000000000001" hidden="1" customHeight="1" outlineLevel="1">
      <c r="A75" s="1845"/>
      <c r="B75" s="1854"/>
      <c r="C75" s="1876"/>
      <c r="D75" s="1874" t="s">
        <v>1557</v>
      </c>
      <c r="E75" s="1866"/>
      <c r="F75" s="1875"/>
      <c r="G75" s="1225" t="s">
        <v>1109</v>
      </c>
      <c r="H75" s="1867"/>
      <c r="I75" s="1867"/>
      <c r="J75" s="1867"/>
      <c r="K75" s="1867"/>
      <c r="L75" s="1867"/>
      <c r="M75" s="1867"/>
      <c r="N75" s="1867"/>
      <c r="O75" s="1867"/>
      <c r="P75" s="1867"/>
      <c r="Q75" s="1867"/>
      <c r="R75" s="1867"/>
      <c r="S75" s="1867"/>
      <c r="T75" s="1867"/>
      <c r="U75" s="1867"/>
      <c r="V75" s="1867"/>
      <c r="W75" s="1867"/>
      <c r="X75" s="1868"/>
      <c r="Y75" s="1868"/>
      <c r="Z75" s="1868"/>
      <c r="AA75" s="1868"/>
      <c r="AB75" s="1868"/>
      <c r="AC75" s="1868"/>
      <c r="AD75" s="1868"/>
      <c r="AE75" s="1868"/>
      <c r="AF75" s="1868"/>
      <c r="AG75" s="1868"/>
      <c r="AH75" s="1868"/>
      <c r="AI75" s="1868"/>
      <c r="AJ75" s="1868"/>
      <c r="AK75" s="1868"/>
      <c r="AL75" s="1868"/>
      <c r="AM75" s="1868"/>
      <c r="AN75" s="1868"/>
      <c r="AO75" s="1868"/>
      <c r="AP75" s="1868"/>
      <c r="AQ75" s="1868"/>
      <c r="AR75" s="1868"/>
      <c r="AS75" s="1868"/>
      <c r="AT75" s="1868"/>
      <c r="AU75" s="1868"/>
      <c r="AV75" s="1868"/>
      <c r="AW75" s="1868"/>
      <c r="AX75" s="1868"/>
      <c r="AY75" s="1868"/>
      <c r="AZ75" s="1868"/>
      <c r="BA75" s="1868"/>
      <c r="BB75" s="1868"/>
      <c r="BC75" s="1868"/>
      <c r="BD75" s="1868"/>
      <c r="BE75" s="1868"/>
      <c r="BF75" s="1868"/>
      <c r="BG75" s="1868"/>
      <c r="BH75" s="1868"/>
      <c r="BI75" s="1868"/>
      <c r="BJ75" s="1868"/>
      <c r="BK75" s="1868"/>
      <c r="BL75" s="1868"/>
      <c r="BM75" s="1868"/>
      <c r="BN75" s="1868"/>
      <c r="BO75" s="1868"/>
      <c r="BP75" s="1862"/>
    </row>
    <row r="76" spans="1:68" ht="20.100000000000001" hidden="1" customHeight="1" outlineLevel="1">
      <c r="A76" s="1845"/>
      <c r="B76" s="1854"/>
      <c r="C76" s="1876"/>
      <c r="D76" s="1874" t="s">
        <v>958</v>
      </c>
      <c r="E76" s="1866"/>
      <c r="F76" s="1875"/>
      <c r="G76" s="1225" t="s">
        <v>1109</v>
      </c>
      <c r="H76" s="1867"/>
      <c r="I76" s="1867"/>
      <c r="J76" s="1867"/>
      <c r="K76" s="1867"/>
      <c r="L76" s="1867"/>
      <c r="M76" s="1867"/>
      <c r="N76" s="1867"/>
      <c r="O76" s="1867"/>
      <c r="P76" s="1867"/>
      <c r="Q76" s="1867"/>
      <c r="R76" s="1867"/>
      <c r="S76" s="1867"/>
      <c r="T76" s="1867"/>
      <c r="U76" s="1867"/>
      <c r="V76" s="1867"/>
      <c r="W76" s="1867"/>
      <c r="X76" s="1868"/>
      <c r="Y76" s="1868"/>
      <c r="Z76" s="1868"/>
      <c r="AA76" s="1868"/>
      <c r="AB76" s="1868"/>
      <c r="AC76" s="1868"/>
      <c r="AD76" s="1868"/>
      <c r="AE76" s="1868"/>
      <c r="AF76" s="1868"/>
      <c r="AG76" s="1868"/>
      <c r="AH76" s="1868"/>
      <c r="AI76" s="1868"/>
      <c r="AJ76" s="1868"/>
      <c r="AK76" s="1868"/>
      <c r="AL76" s="1868"/>
      <c r="AM76" s="1868"/>
      <c r="AN76" s="1868"/>
      <c r="AO76" s="1868"/>
      <c r="AP76" s="1868"/>
      <c r="AQ76" s="1868"/>
      <c r="AR76" s="1868"/>
      <c r="AS76" s="1868"/>
      <c r="AT76" s="1868"/>
      <c r="AU76" s="1868"/>
      <c r="AV76" s="1868"/>
      <c r="AW76" s="1868"/>
      <c r="AX76" s="1868"/>
      <c r="AY76" s="1868"/>
      <c r="AZ76" s="1868"/>
      <c r="BA76" s="1868"/>
      <c r="BB76" s="1868"/>
      <c r="BC76" s="1868"/>
      <c r="BD76" s="1868"/>
      <c r="BE76" s="1868"/>
      <c r="BF76" s="1868"/>
      <c r="BG76" s="1868"/>
      <c r="BH76" s="1868"/>
      <c r="BI76" s="1868"/>
      <c r="BJ76" s="1868"/>
      <c r="BK76" s="1868"/>
      <c r="BL76" s="1868"/>
      <c r="BM76" s="1868"/>
      <c r="BN76" s="1868"/>
      <c r="BO76" s="1868"/>
      <c r="BP76" s="1862"/>
    </row>
    <row r="77" spans="1:68" ht="20.100000000000001" hidden="1" customHeight="1" outlineLevel="1">
      <c r="A77" s="1845"/>
      <c r="B77" s="1854"/>
      <c r="C77" s="1876"/>
      <c r="D77" s="1874" t="s">
        <v>958</v>
      </c>
      <c r="E77" s="1866"/>
      <c r="F77" s="1875"/>
      <c r="G77" s="1225" t="s">
        <v>1109</v>
      </c>
      <c r="H77" s="1867"/>
      <c r="I77" s="1867"/>
      <c r="J77" s="1867"/>
      <c r="K77" s="1867"/>
      <c r="L77" s="1867"/>
      <c r="M77" s="1867"/>
      <c r="N77" s="1867"/>
      <c r="O77" s="1867"/>
      <c r="P77" s="1867"/>
      <c r="Q77" s="1867"/>
      <c r="R77" s="1867"/>
      <c r="S77" s="1867"/>
      <c r="T77" s="1867"/>
      <c r="U77" s="1867"/>
      <c r="V77" s="1867"/>
      <c r="W77" s="1867"/>
      <c r="X77" s="1868"/>
      <c r="Y77" s="1868"/>
      <c r="Z77" s="1868"/>
      <c r="AA77" s="1868"/>
      <c r="AB77" s="1868"/>
      <c r="AC77" s="1868"/>
      <c r="AD77" s="1868"/>
      <c r="AE77" s="1868"/>
      <c r="AF77" s="1868"/>
      <c r="AG77" s="1868"/>
      <c r="AH77" s="1868"/>
      <c r="AI77" s="1868"/>
      <c r="AJ77" s="1868"/>
      <c r="AK77" s="1868"/>
      <c r="AL77" s="1868"/>
      <c r="AM77" s="1868"/>
      <c r="AN77" s="1868"/>
      <c r="AO77" s="1868"/>
      <c r="AP77" s="1868"/>
      <c r="AQ77" s="1868"/>
      <c r="AR77" s="1868"/>
      <c r="AS77" s="1868"/>
      <c r="AT77" s="1868"/>
      <c r="AU77" s="1868"/>
      <c r="AV77" s="1868"/>
      <c r="AW77" s="1868"/>
      <c r="AX77" s="1868"/>
      <c r="AY77" s="1868"/>
      <c r="AZ77" s="1868"/>
      <c r="BA77" s="1868"/>
      <c r="BB77" s="1868"/>
      <c r="BC77" s="1868"/>
      <c r="BD77" s="1868"/>
      <c r="BE77" s="1868"/>
      <c r="BF77" s="1868"/>
      <c r="BG77" s="1868"/>
      <c r="BH77" s="1868"/>
      <c r="BI77" s="1868"/>
      <c r="BJ77" s="1868"/>
      <c r="BK77" s="1868"/>
      <c r="BL77" s="1868"/>
      <c r="BM77" s="1868"/>
      <c r="BN77" s="1868"/>
      <c r="BO77" s="1868"/>
      <c r="BP77" s="1862"/>
    </row>
    <row r="78" spans="1:68" ht="20.100000000000001" hidden="1" customHeight="1" outlineLevel="1">
      <c r="A78" s="1845"/>
      <c r="B78" s="1854"/>
      <c r="C78" s="1876"/>
      <c r="D78" s="1874" t="s">
        <v>1558</v>
      </c>
      <c r="E78" s="1866"/>
      <c r="F78" s="1875"/>
      <c r="G78" s="1225" t="s">
        <v>1109</v>
      </c>
      <c r="H78" s="1867"/>
      <c r="I78" s="1867"/>
      <c r="J78" s="1867"/>
      <c r="K78" s="1867"/>
      <c r="L78" s="1867"/>
      <c r="M78" s="1867"/>
      <c r="N78" s="1867"/>
      <c r="O78" s="1867"/>
      <c r="P78" s="1867"/>
      <c r="Q78" s="1867"/>
      <c r="R78" s="1867"/>
      <c r="S78" s="1867"/>
      <c r="T78" s="1867"/>
      <c r="U78" s="1867"/>
      <c r="V78" s="1867"/>
      <c r="W78" s="1867"/>
      <c r="X78" s="1868"/>
      <c r="Y78" s="1868"/>
      <c r="Z78" s="1868"/>
      <c r="AA78" s="1868"/>
      <c r="AB78" s="1868"/>
      <c r="AC78" s="1868"/>
      <c r="AD78" s="1868"/>
      <c r="AE78" s="1868"/>
      <c r="AF78" s="1868"/>
      <c r="AG78" s="1868"/>
      <c r="AH78" s="1868"/>
      <c r="AI78" s="1868"/>
      <c r="AJ78" s="1868"/>
      <c r="AK78" s="1868"/>
      <c r="AL78" s="1868"/>
      <c r="AM78" s="1868"/>
      <c r="AN78" s="1868"/>
      <c r="AO78" s="1868"/>
      <c r="AP78" s="1868"/>
      <c r="AQ78" s="1868"/>
      <c r="AR78" s="1868"/>
      <c r="AS78" s="1868"/>
      <c r="AT78" s="1868"/>
      <c r="AU78" s="1868"/>
      <c r="AV78" s="1868"/>
      <c r="AW78" s="1868"/>
      <c r="AX78" s="1868"/>
      <c r="AY78" s="1868"/>
      <c r="AZ78" s="1868"/>
      <c r="BA78" s="1868"/>
      <c r="BB78" s="1868"/>
      <c r="BC78" s="1868"/>
      <c r="BD78" s="1868"/>
      <c r="BE78" s="1868"/>
      <c r="BF78" s="1868"/>
      <c r="BG78" s="1868"/>
      <c r="BH78" s="1868"/>
      <c r="BI78" s="1868"/>
      <c r="BJ78" s="1868"/>
      <c r="BK78" s="1868"/>
      <c r="BL78" s="1868"/>
      <c r="BM78" s="1868"/>
      <c r="BN78" s="1868"/>
      <c r="BO78" s="1868"/>
      <c r="BP78" s="1862"/>
    </row>
    <row r="79" spans="1:68" ht="20.100000000000001" hidden="1" customHeight="1" outlineLevel="1">
      <c r="A79" s="1845"/>
      <c r="B79" s="1854"/>
      <c r="C79" s="1876"/>
      <c r="D79" s="1874" t="s">
        <v>1559</v>
      </c>
      <c r="E79" s="1866"/>
      <c r="F79" s="1875"/>
      <c r="G79" s="1225" t="s">
        <v>1109</v>
      </c>
      <c r="H79" s="1867"/>
      <c r="I79" s="1867"/>
      <c r="J79" s="1867"/>
      <c r="K79" s="1867"/>
      <c r="L79" s="1867"/>
      <c r="M79" s="1867"/>
      <c r="N79" s="1867"/>
      <c r="O79" s="1867"/>
      <c r="P79" s="1867"/>
      <c r="Q79" s="1867"/>
      <c r="R79" s="1867"/>
      <c r="S79" s="1867"/>
      <c r="T79" s="1867"/>
      <c r="U79" s="1867"/>
      <c r="V79" s="1867"/>
      <c r="W79" s="1867"/>
      <c r="X79" s="1868"/>
      <c r="Y79" s="1868"/>
      <c r="Z79" s="1868"/>
      <c r="AA79" s="1868"/>
      <c r="AB79" s="1868"/>
      <c r="AC79" s="1868"/>
      <c r="AD79" s="1868"/>
      <c r="AE79" s="1868"/>
      <c r="AF79" s="1868"/>
      <c r="AG79" s="1868"/>
      <c r="AH79" s="1868"/>
      <c r="AI79" s="1868"/>
      <c r="AJ79" s="1868"/>
      <c r="AK79" s="1868"/>
      <c r="AL79" s="1868"/>
      <c r="AM79" s="1868"/>
      <c r="AN79" s="1868"/>
      <c r="AO79" s="1868"/>
      <c r="AP79" s="1868"/>
      <c r="AQ79" s="1868"/>
      <c r="AR79" s="1868"/>
      <c r="AS79" s="1868"/>
      <c r="AT79" s="1868"/>
      <c r="AU79" s="1868"/>
      <c r="AV79" s="1868"/>
      <c r="AW79" s="1868"/>
      <c r="AX79" s="1868"/>
      <c r="AY79" s="1868"/>
      <c r="AZ79" s="1868"/>
      <c r="BA79" s="1868"/>
      <c r="BB79" s="1868"/>
      <c r="BC79" s="1868"/>
      <c r="BD79" s="1868"/>
      <c r="BE79" s="1868"/>
      <c r="BF79" s="1868"/>
      <c r="BG79" s="1868"/>
      <c r="BH79" s="1868"/>
      <c r="BI79" s="1868"/>
      <c r="BJ79" s="1868"/>
      <c r="BK79" s="1868"/>
      <c r="BL79" s="1868"/>
      <c r="BM79" s="1868"/>
      <c r="BN79" s="1868"/>
      <c r="BO79" s="1868"/>
      <c r="BP79" s="1862"/>
    </row>
    <row r="80" spans="1:68" ht="20.100000000000001" hidden="1" customHeight="1" outlineLevel="1">
      <c r="A80" s="1845"/>
      <c r="B80" s="1854"/>
      <c r="C80" s="1876"/>
      <c r="D80" s="1877" t="s">
        <v>974</v>
      </c>
      <c r="E80" s="1878"/>
      <c r="F80" s="1879"/>
      <c r="G80" s="1225" t="s">
        <v>1109</v>
      </c>
      <c r="H80" s="1867"/>
      <c r="I80" s="1867"/>
      <c r="J80" s="1867"/>
      <c r="K80" s="1867"/>
      <c r="L80" s="1867"/>
      <c r="M80" s="1867"/>
      <c r="N80" s="1867"/>
      <c r="O80" s="1867"/>
      <c r="P80" s="1867"/>
      <c r="Q80" s="1867"/>
      <c r="R80" s="1867"/>
      <c r="S80" s="1867"/>
      <c r="T80" s="1867"/>
      <c r="U80" s="1867"/>
      <c r="V80" s="1867"/>
      <c r="W80" s="1867"/>
      <c r="X80" s="1868"/>
      <c r="Y80" s="1868"/>
      <c r="Z80" s="1868"/>
      <c r="AA80" s="1868"/>
      <c r="AB80" s="1868"/>
      <c r="AC80" s="1868"/>
      <c r="AD80" s="1868"/>
      <c r="AE80" s="1868"/>
      <c r="AF80" s="1868"/>
      <c r="AG80" s="1868"/>
      <c r="AH80" s="1868"/>
      <c r="AI80" s="1868"/>
      <c r="AJ80" s="1868"/>
      <c r="AK80" s="1868"/>
      <c r="AL80" s="1868"/>
      <c r="AM80" s="1868"/>
      <c r="AN80" s="1868"/>
      <c r="AO80" s="1868"/>
      <c r="AP80" s="1868"/>
      <c r="AQ80" s="1868"/>
      <c r="AR80" s="1868"/>
      <c r="AS80" s="1868"/>
      <c r="AT80" s="1868"/>
      <c r="AU80" s="1868"/>
      <c r="AV80" s="1868"/>
      <c r="AW80" s="1868"/>
      <c r="AX80" s="1868"/>
      <c r="AY80" s="1868"/>
      <c r="AZ80" s="1868"/>
      <c r="BA80" s="1868"/>
      <c r="BB80" s="1868"/>
      <c r="BC80" s="1868"/>
      <c r="BD80" s="1868"/>
      <c r="BE80" s="1868"/>
      <c r="BF80" s="1868"/>
      <c r="BG80" s="1868"/>
      <c r="BH80" s="1868"/>
      <c r="BI80" s="1868"/>
      <c r="BJ80" s="1868"/>
      <c r="BK80" s="1868"/>
      <c r="BL80" s="1868"/>
      <c r="BM80" s="1868"/>
      <c r="BN80" s="1868"/>
      <c r="BO80" s="1868"/>
      <c r="BP80" s="1862"/>
    </row>
    <row r="81" spans="1:68" ht="20.100000000000001" hidden="1" customHeight="1" outlineLevel="1">
      <c r="A81" s="1845"/>
      <c r="B81" s="1854"/>
      <c r="C81" s="1876"/>
      <c r="D81" s="1880"/>
      <c r="E81" s="1881"/>
      <c r="F81" s="1882"/>
      <c r="G81" s="1225" t="s">
        <v>1109</v>
      </c>
      <c r="H81" s="1867"/>
      <c r="I81" s="1867"/>
      <c r="J81" s="1867"/>
      <c r="K81" s="1867"/>
      <c r="L81" s="1867"/>
      <c r="M81" s="1867"/>
      <c r="N81" s="1867"/>
      <c r="O81" s="1867"/>
      <c r="P81" s="1867"/>
      <c r="Q81" s="1867"/>
      <c r="R81" s="1867"/>
      <c r="S81" s="1867"/>
      <c r="T81" s="1867"/>
      <c r="U81" s="1867"/>
      <c r="V81" s="1867"/>
      <c r="W81" s="1867"/>
      <c r="X81" s="1868"/>
      <c r="Y81" s="1868"/>
      <c r="Z81" s="1868"/>
      <c r="AA81" s="1868"/>
      <c r="AB81" s="1868"/>
      <c r="AC81" s="1868"/>
      <c r="AD81" s="1868"/>
      <c r="AE81" s="1868"/>
      <c r="AF81" s="1868"/>
      <c r="AG81" s="1868"/>
      <c r="AH81" s="1868"/>
      <c r="AI81" s="1868"/>
      <c r="AJ81" s="1868"/>
      <c r="AK81" s="1868"/>
      <c r="AL81" s="1868"/>
      <c r="AM81" s="1868"/>
      <c r="AN81" s="1868"/>
      <c r="AO81" s="1868"/>
      <c r="AP81" s="1868"/>
      <c r="AQ81" s="1868"/>
      <c r="AR81" s="1868"/>
      <c r="AS81" s="1868"/>
      <c r="AT81" s="1868"/>
      <c r="AU81" s="1868"/>
      <c r="AV81" s="1868"/>
      <c r="AW81" s="1868"/>
      <c r="AX81" s="1868"/>
      <c r="AY81" s="1868"/>
      <c r="AZ81" s="1868"/>
      <c r="BA81" s="1868"/>
      <c r="BB81" s="1868"/>
      <c r="BC81" s="1868"/>
      <c r="BD81" s="1868"/>
      <c r="BE81" s="1868"/>
      <c r="BF81" s="1868"/>
      <c r="BG81" s="1868"/>
      <c r="BH81" s="1868"/>
      <c r="BI81" s="1868"/>
      <c r="BJ81" s="1868"/>
      <c r="BK81" s="1868"/>
      <c r="BL81" s="1868"/>
      <c r="BM81" s="1868"/>
      <c r="BN81" s="1868"/>
      <c r="BO81" s="1868"/>
      <c r="BP81" s="1862"/>
    </row>
    <row r="82" spans="1:68" ht="20.100000000000001" hidden="1" customHeight="1" outlineLevel="1">
      <c r="A82" s="1845"/>
      <c r="B82" s="1854"/>
      <c r="C82" s="1876"/>
      <c r="D82" s="1877" t="s">
        <v>975</v>
      </c>
      <c r="E82" s="1878"/>
      <c r="F82" s="1879"/>
      <c r="G82" s="1225" t="s">
        <v>1109</v>
      </c>
      <c r="H82" s="1867"/>
      <c r="I82" s="1867"/>
      <c r="J82" s="1867"/>
      <c r="K82" s="1867"/>
      <c r="L82" s="1867"/>
      <c r="M82" s="1867"/>
      <c r="N82" s="1867"/>
      <c r="O82" s="1867"/>
      <c r="P82" s="1867"/>
      <c r="Q82" s="1867"/>
      <c r="R82" s="1867"/>
      <c r="S82" s="1867"/>
      <c r="T82" s="1867"/>
      <c r="U82" s="1867"/>
      <c r="V82" s="1867"/>
      <c r="W82" s="1867"/>
      <c r="X82" s="1868"/>
      <c r="Y82" s="1868"/>
      <c r="Z82" s="1868"/>
      <c r="AA82" s="1868"/>
      <c r="AB82" s="1868"/>
      <c r="AC82" s="1868"/>
      <c r="AD82" s="1868"/>
      <c r="AE82" s="1868"/>
      <c r="AF82" s="1868"/>
      <c r="AG82" s="1868"/>
      <c r="AH82" s="1868"/>
      <c r="AI82" s="1868"/>
      <c r="AJ82" s="1868"/>
      <c r="AK82" s="1868"/>
      <c r="AL82" s="1868"/>
      <c r="AM82" s="1868"/>
      <c r="AN82" s="1868"/>
      <c r="AO82" s="1868"/>
      <c r="AP82" s="1868"/>
      <c r="AQ82" s="1868"/>
      <c r="AR82" s="1868"/>
      <c r="AS82" s="1868"/>
      <c r="AT82" s="1868"/>
      <c r="AU82" s="1868"/>
      <c r="AV82" s="1868"/>
      <c r="AW82" s="1868"/>
      <c r="AX82" s="1868"/>
      <c r="AY82" s="1868"/>
      <c r="AZ82" s="1868"/>
      <c r="BA82" s="1868"/>
      <c r="BB82" s="1868"/>
      <c r="BC82" s="1868"/>
      <c r="BD82" s="1868"/>
      <c r="BE82" s="1868"/>
      <c r="BF82" s="1868"/>
      <c r="BG82" s="1868"/>
      <c r="BH82" s="1868"/>
      <c r="BI82" s="1868"/>
      <c r="BJ82" s="1868"/>
      <c r="BK82" s="1868"/>
      <c r="BL82" s="1868"/>
      <c r="BM82" s="1868"/>
      <c r="BN82" s="1868"/>
      <c r="BO82" s="1868"/>
      <c r="BP82" s="1862"/>
    </row>
    <row r="83" spans="1:68" ht="20.100000000000001" hidden="1" customHeight="1" outlineLevel="1">
      <c r="A83" s="1845"/>
      <c r="B83" s="1854"/>
      <c r="C83" s="1876"/>
      <c r="D83" s="1880"/>
      <c r="E83" s="1881"/>
      <c r="F83" s="1882"/>
      <c r="G83" s="1225" t="s">
        <v>1109</v>
      </c>
      <c r="H83" s="1867"/>
      <c r="I83" s="1867"/>
      <c r="J83" s="1867"/>
      <c r="K83" s="1867"/>
      <c r="L83" s="1867"/>
      <c r="M83" s="1867"/>
      <c r="N83" s="1867"/>
      <c r="O83" s="1867"/>
      <c r="P83" s="1867"/>
      <c r="Q83" s="1867"/>
      <c r="R83" s="1867"/>
      <c r="S83" s="1867"/>
      <c r="T83" s="1867"/>
      <c r="U83" s="1867"/>
      <c r="V83" s="1867"/>
      <c r="W83" s="1867"/>
      <c r="X83" s="1868"/>
      <c r="Y83" s="1868"/>
      <c r="Z83" s="1868"/>
      <c r="AA83" s="1868"/>
      <c r="AB83" s="1868"/>
      <c r="AC83" s="1868"/>
      <c r="AD83" s="1868"/>
      <c r="AE83" s="1868"/>
      <c r="AF83" s="1868"/>
      <c r="AG83" s="1868"/>
      <c r="AH83" s="1868"/>
      <c r="AI83" s="1868"/>
      <c r="AJ83" s="1868"/>
      <c r="AK83" s="1868"/>
      <c r="AL83" s="1868"/>
      <c r="AM83" s="1868"/>
      <c r="AN83" s="1868"/>
      <c r="AO83" s="1868"/>
      <c r="AP83" s="1868"/>
      <c r="AQ83" s="1868"/>
      <c r="AR83" s="1868"/>
      <c r="AS83" s="1868"/>
      <c r="AT83" s="1868"/>
      <c r="AU83" s="1868"/>
      <c r="AV83" s="1868"/>
      <c r="AW83" s="1868"/>
      <c r="AX83" s="1868"/>
      <c r="AY83" s="1868"/>
      <c r="AZ83" s="1868"/>
      <c r="BA83" s="1868"/>
      <c r="BB83" s="1868"/>
      <c r="BC83" s="1868"/>
      <c r="BD83" s="1868"/>
      <c r="BE83" s="1868"/>
      <c r="BF83" s="1868"/>
      <c r="BG83" s="1868"/>
      <c r="BH83" s="1868"/>
      <c r="BI83" s="1868"/>
      <c r="BJ83" s="1868"/>
      <c r="BK83" s="1868"/>
      <c r="BL83" s="1868"/>
      <c r="BM83" s="1868"/>
      <c r="BN83" s="1868"/>
      <c r="BO83" s="1868"/>
      <c r="BP83" s="1862"/>
    </row>
    <row r="84" spans="1:68" ht="20.100000000000001" hidden="1" customHeight="1" outlineLevel="1">
      <c r="A84" s="1845"/>
      <c r="B84" s="1854"/>
      <c r="C84" s="1876"/>
      <c r="D84" s="1874" t="s">
        <v>976</v>
      </c>
      <c r="E84" s="1881"/>
      <c r="F84" s="1849"/>
      <c r="G84" s="1225" t="s">
        <v>1109</v>
      </c>
      <c r="H84" s="1867"/>
      <c r="I84" s="1867"/>
      <c r="J84" s="1867"/>
      <c r="K84" s="1867"/>
      <c r="L84" s="1867"/>
      <c r="M84" s="1867"/>
      <c r="N84" s="1867"/>
      <c r="O84" s="1867"/>
      <c r="P84" s="1867"/>
      <c r="Q84" s="1867"/>
      <c r="R84" s="1867"/>
      <c r="S84" s="1867"/>
      <c r="T84" s="1867"/>
      <c r="U84" s="1867"/>
      <c r="V84" s="1867"/>
      <c r="W84" s="1867"/>
      <c r="X84" s="1868"/>
      <c r="Y84" s="1868"/>
      <c r="Z84" s="1868"/>
      <c r="AA84" s="1868"/>
      <c r="AB84" s="1868"/>
      <c r="AC84" s="1868"/>
      <c r="AD84" s="1868"/>
      <c r="AE84" s="1868"/>
      <c r="AF84" s="1868"/>
      <c r="AG84" s="1868"/>
      <c r="AH84" s="1868"/>
      <c r="AI84" s="1868"/>
      <c r="AJ84" s="1868"/>
      <c r="AK84" s="1868"/>
      <c r="AL84" s="1868"/>
      <c r="AM84" s="1868"/>
      <c r="AN84" s="1868"/>
      <c r="AO84" s="1868"/>
      <c r="AP84" s="1868"/>
      <c r="AQ84" s="1868"/>
      <c r="AR84" s="1868"/>
      <c r="AS84" s="1868"/>
      <c r="AT84" s="1868"/>
      <c r="AU84" s="1868"/>
      <c r="AV84" s="1868"/>
      <c r="AW84" s="1868"/>
      <c r="AX84" s="1868"/>
      <c r="AY84" s="1868"/>
      <c r="AZ84" s="1868"/>
      <c r="BA84" s="1868"/>
      <c r="BB84" s="1868"/>
      <c r="BC84" s="1868"/>
      <c r="BD84" s="1868"/>
      <c r="BE84" s="1868"/>
      <c r="BF84" s="1868"/>
      <c r="BG84" s="1868"/>
      <c r="BH84" s="1868"/>
      <c r="BI84" s="1868"/>
      <c r="BJ84" s="1868"/>
      <c r="BK84" s="1868"/>
      <c r="BL84" s="1868"/>
      <c r="BM84" s="1868"/>
      <c r="BN84" s="1868"/>
      <c r="BO84" s="1868"/>
      <c r="BP84" s="1862"/>
    </row>
    <row r="85" spans="1:68" ht="20.100000000000001" hidden="1" customHeight="1" outlineLevel="1">
      <c r="A85" s="1845"/>
      <c r="B85" s="1854"/>
      <c r="C85" s="1876"/>
      <c r="D85" s="1874" t="s">
        <v>977</v>
      </c>
      <c r="E85" s="1881"/>
      <c r="F85" s="1883"/>
      <c r="G85" s="1225" t="s">
        <v>1109</v>
      </c>
      <c r="H85" s="1867"/>
      <c r="I85" s="1867"/>
      <c r="J85" s="1867"/>
      <c r="K85" s="1867"/>
      <c r="L85" s="1867"/>
      <c r="M85" s="1867"/>
      <c r="N85" s="1867"/>
      <c r="O85" s="1867"/>
      <c r="P85" s="1867"/>
      <c r="Q85" s="1867"/>
      <c r="R85" s="1867"/>
      <c r="S85" s="1867"/>
      <c r="T85" s="1867"/>
      <c r="U85" s="1867"/>
      <c r="V85" s="1867"/>
      <c r="W85" s="1867"/>
      <c r="X85" s="1868"/>
      <c r="Y85" s="1868"/>
      <c r="Z85" s="1868"/>
      <c r="AA85" s="1868"/>
      <c r="AB85" s="1868"/>
      <c r="AC85" s="1868"/>
      <c r="AD85" s="1868"/>
      <c r="AE85" s="1868"/>
      <c r="AF85" s="1868"/>
      <c r="AG85" s="1868"/>
      <c r="AH85" s="1868"/>
      <c r="AI85" s="1868"/>
      <c r="AJ85" s="1868"/>
      <c r="AK85" s="1868"/>
      <c r="AL85" s="1868"/>
      <c r="AM85" s="1868"/>
      <c r="AN85" s="1868"/>
      <c r="AO85" s="1868"/>
      <c r="AP85" s="1868"/>
      <c r="AQ85" s="1868"/>
      <c r="AR85" s="1868"/>
      <c r="AS85" s="1868"/>
      <c r="AT85" s="1868"/>
      <c r="AU85" s="1868"/>
      <c r="AV85" s="1868"/>
      <c r="AW85" s="1868"/>
      <c r="AX85" s="1868"/>
      <c r="AY85" s="1868"/>
      <c r="AZ85" s="1868"/>
      <c r="BA85" s="1868"/>
      <c r="BB85" s="1868"/>
      <c r="BC85" s="1868"/>
      <c r="BD85" s="1868"/>
      <c r="BE85" s="1868"/>
      <c r="BF85" s="1868"/>
      <c r="BG85" s="1868"/>
      <c r="BH85" s="1868"/>
      <c r="BI85" s="1868"/>
      <c r="BJ85" s="1868"/>
      <c r="BK85" s="1868"/>
      <c r="BL85" s="1868"/>
      <c r="BM85" s="1868"/>
      <c r="BN85" s="1868"/>
      <c r="BO85" s="1868"/>
      <c r="BP85" s="1862"/>
    </row>
    <row r="86" spans="1:68" ht="20.100000000000001" hidden="1" customHeight="1" outlineLevel="1">
      <c r="A86" s="1845"/>
      <c r="B86" s="1854"/>
      <c r="C86" s="1876"/>
      <c r="D86" s="1874" t="s">
        <v>979</v>
      </c>
      <c r="E86" s="1881"/>
      <c r="F86" s="1883"/>
      <c r="G86" s="1225" t="s">
        <v>1109</v>
      </c>
      <c r="H86" s="1867"/>
      <c r="I86" s="1867"/>
      <c r="J86" s="1867"/>
      <c r="K86" s="1867"/>
      <c r="L86" s="1867"/>
      <c r="M86" s="1867"/>
      <c r="N86" s="1867"/>
      <c r="O86" s="1867"/>
      <c r="P86" s="1867"/>
      <c r="Q86" s="1867"/>
      <c r="R86" s="1867"/>
      <c r="S86" s="1867"/>
      <c r="T86" s="1867"/>
      <c r="U86" s="1867"/>
      <c r="V86" s="1867"/>
      <c r="W86" s="1867"/>
      <c r="X86" s="1868"/>
      <c r="Y86" s="1868"/>
      <c r="Z86" s="1868"/>
      <c r="AA86" s="1868"/>
      <c r="AB86" s="1868"/>
      <c r="AC86" s="1868"/>
      <c r="AD86" s="1868"/>
      <c r="AE86" s="1868"/>
      <c r="AF86" s="1868"/>
      <c r="AG86" s="1868"/>
      <c r="AH86" s="1868"/>
      <c r="AI86" s="1868"/>
      <c r="AJ86" s="1868"/>
      <c r="AK86" s="1868"/>
      <c r="AL86" s="1868"/>
      <c r="AM86" s="1868"/>
      <c r="AN86" s="1868"/>
      <c r="AO86" s="1868"/>
      <c r="AP86" s="1868"/>
      <c r="AQ86" s="1868"/>
      <c r="AR86" s="1868"/>
      <c r="AS86" s="1868"/>
      <c r="AT86" s="1868"/>
      <c r="AU86" s="1868"/>
      <c r="AV86" s="1868"/>
      <c r="AW86" s="1868"/>
      <c r="AX86" s="1868"/>
      <c r="AY86" s="1868"/>
      <c r="AZ86" s="1868"/>
      <c r="BA86" s="1868"/>
      <c r="BB86" s="1868"/>
      <c r="BC86" s="1868"/>
      <c r="BD86" s="1868"/>
      <c r="BE86" s="1868"/>
      <c r="BF86" s="1868"/>
      <c r="BG86" s="1868"/>
      <c r="BH86" s="1868"/>
      <c r="BI86" s="1868"/>
      <c r="BJ86" s="1868"/>
      <c r="BK86" s="1868"/>
      <c r="BL86" s="1868"/>
      <c r="BM86" s="1868"/>
      <c r="BN86" s="1868"/>
      <c r="BO86" s="1868"/>
      <c r="BP86" s="1862"/>
    </row>
    <row r="87" spans="1:68" ht="20.100000000000001" hidden="1" customHeight="1" outlineLevel="1">
      <c r="A87" s="1845"/>
      <c r="B87" s="1854"/>
      <c r="C87" s="1876"/>
      <c r="D87" s="1874" t="s">
        <v>981</v>
      </c>
      <c r="E87" s="1881"/>
      <c r="F87" s="1883"/>
      <c r="G87" s="1225" t="s">
        <v>1109</v>
      </c>
      <c r="H87" s="1867"/>
      <c r="I87" s="1867"/>
      <c r="J87" s="1867"/>
      <c r="K87" s="1867"/>
      <c r="L87" s="1867"/>
      <c r="M87" s="1867"/>
      <c r="N87" s="1867"/>
      <c r="O87" s="1867"/>
      <c r="P87" s="1867"/>
      <c r="Q87" s="1867"/>
      <c r="R87" s="1867"/>
      <c r="S87" s="1867"/>
      <c r="T87" s="1867"/>
      <c r="U87" s="1867"/>
      <c r="V87" s="1867"/>
      <c r="W87" s="1867"/>
      <c r="X87" s="1868"/>
      <c r="Y87" s="1868"/>
      <c r="Z87" s="1868"/>
      <c r="AA87" s="1868"/>
      <c r="AB87" s="1868"/>
      <c r="AC87" s="1868"/>
      <c r="AD87" s="1868"/>
      <c r="AE87" s="1868"/>
      <c r="AF87" s="1868"/>
      <c r="AG87" s="1868"/>
      <c r="AH87" s="1868"/>
      <c r="AI87" s="1868"/>
      <c r="AJ87" s="1868"/>
      <c r="AK87" s="1868"/>
      <c r="AL87" s="1868"/>
      <c r="AM87" s="1868"/>
      <c r="AN87" s="1868"/>
      <c r="AO87" s="1868"/>
      <c r="AP87" s="1868"/>
      <c r="AQ87" s="1868"/>
      <c r="AR87" s="1868"/>
      <c r="AS87" s="1868"/>
      <c r="AT87" s="1868"/>
      <c r="AU87" s="1868"/>
      <c r="AV87" s="1868"/>
      <c r="AW87" s="1868"/>
      <c r="AX87" s="1868"/>
      <c r="AY87" s="1868"/>
      <c r="AZ87" s="1868"/>
      <c r="BA87" s="1868"/>
      <c r="BB87" s="1868"/>
      <c r="BC87" s="1868"/>
      <c r="BD87" s="1868"/>
      <c r="BE87" s="1868"/>
      <c r="BF87" s="1868"/>
      <c r="BG87" s="1868"/>
      <c r="BH87" s="1868"/>
      <c r="BI87" s="1868"/>
      <c r="BJ87" s="1868"/>
      <c r="BK87" s="1868"/>
      <c r="BL87" s="1868"/>
      <c r="BM87" s="1868"/>
      <c r="BN87" s="1868"/>
      <c r="BO87" s="1868"/>
      <c r="BP87" s="1862"/>
    </row>
    <row r="88" spans="1:68" ht="19.5" customHeight="1" collapsed="1">
      <c r="A88" s="1842"/>
      <c r="B88" s="1884" t="s">
        <v>1110</v>
      </c>
      <c r="C88" s="1879"/>
      <c r="D88" s="1885" t="s">
        <v>1111</v>
      </c>
      <c r="E88" s="1886"/>
      <c r="F88" s="1887" t="s">
        <v>11</v>
      </c>
      <c r="G88" s="1225" t="s">
        <v>1109</v>
      </c>
      <c r="H88" s="1867"/>
      <c r="I88" s="1867"/>
      <c r="J88" s="1867"/>
      <c r="K88" s="1867"/>
      <c r="L88" s="1852">
        <f t="shared" ref="L88:AA88" ca="1" si="8">SUM(L8:L55)-L89</f>
        <v>0</v>
      </c>
      <c r="M88" s="1852">
        <f t="shared" ca="1" si="8"/>
        <v>0</v>
      </c>
      <c r="N88" s="1852">
        <f t="shared" ca="1" si="8"/>
        <v>0</v>
      </c>
      <c r="O88" s="1852">
        <f t="shared" ca="1" si="8"/>
        <v>0</v>
      </c>
      <c r="P88" s="1888">
        <f t="shared" ca="1" si="8"/>
        <v>0</v>
      </c>
      <c r="Q88" s="1888">
        <f t="shared" ca="1" si="8"/>
        <v>0</v>
      </c>
      <c r="R88" s="1888">
        <f t="shared" ca="1" si="8"/>
        <v>0</v>
      </c>
      <c r="S88" s="1888">
        <f t="shared" ca="1" si="8"/>
        <v>0</v>
      </c>
      <c r="T88" s="1888">
        <f t="shared" ca="1" si="8"/>
        <v>0</v>
      </c>
      <c r="U88" s="1888">
        <f t="shared" ca="1" si="8"/>
        <v>0</v>
      </c>
      <c r="V88" s="1888">
        <f t="shared" ca="1" si="8"/>
        <v>0</v>
      </c>
      <c r="W88" s="1888">
        <f t="shared" ca="1" si="8"/>
        <v>0</v>
      </c>
      <c r="X88" s="1889">
        <f t="shared" ca="1" si="8"/>
        <v>0</v>
      </c>
      <c r="Y88" s="1889">
        <f t="shared" ca="1" si="8"/>
        <v>0</v>
      </c>
      <c r="Z88" s="1889">
        <f t="shared" ca="1" si="8"/>
        <v>0</v>
      </c>
      <c r="AA88" s="1889">
        <f t="shared" ca="1" si="8"/>
        <v>0</v>
      </c>
      <c r="AB88" s="1889"/>
      <c r="AC88" s="1889"/>
      <c r="AD88" s="1889"/>
      <c r="AE88" s="1889"/>
      <c r="AF88" s="1889"/>
      <c r="AG88" s="1889"/>
      <c r="AH88" s="1889"/>
      <c r="AI88" s="1889"/>
      <c r="AJ88" s="1889"/>
      <c r="AK88" s="1889"/>
      <c r="AL88" s="1889"/>
      <c r="AM88" s="1889"/>
      <c r="AN88" s="1889"/>
      <c r="AO88" s="1889"/>
      <c r="AP88" s="1889"/>
      <c r="AQ88" s="1889"/>
      <c r="AR88" s="1889"/>
      <c r="AS88" s="1889"/>
      <c r="AT88" s="1889"/>
      <c r="AU88" s="1889"/>
      <c r="AV88" s="1889"/>
      <c r="AW88" s="1889"/>
      <c r="AX88" s="1889"/>
      <c r="AY88" s="1889"/>
      <c r="AZ88" s="1889"/>
      <c r="BA88" s="1889"/>
      <c r="BB88" s="1889"/>
      <c r="BC88" s="1889"/>
      <c r="BD88" s="1889"/>
      <c r="BE88" s="1889"/>
      <c r="BF88" s="1889"/>
      <c r="BG88" s="1889"/>
      <c r="BH88" s="1889"/>
      <c r="BI88" s="1889"/>
      <c r="BJ88" s="1889"/>
      <c r="BK88" s="1889"/>
      <c r="BL88" s="1889"/>
      <c r="BM88" s="1889"/>
      <c r="BN88" s="1889"/>
      <c r="BO88" s="1889"/>
      <c r="BP88" s="1862"/>
    </row>
    <row r="89" spans="1:68" ht="21">
      <c r="A89" s="1842"/>
      <c r="B89" s="1890" t="s">
        <v>1112</v>
      </c>
      <c r="C89" s="1882"/>
      <c r="D89" s="1885" t="s">
        <v>1113</v>
      </c>
      <c r="E89" s="1886"/>
      <c r="F89" s="1891" t="s">
        <v>978</v>
      </c>
      <c r="G89" s="1225" t="s">
        <v>1109</v>
      </c>
      <c r="H89" s="1867"/>
      <c r="I89" s="1867"/>
      <c r="J89" s="1867"/>
      <c r="K89" s="1867"/>
      <c r="L89" s="1852">
        <f t="shared" ref="L89:AA89" ca="1" si="9">SUM(L44:L49)</f>
        <v>0</v>
      </c>
      <c r="M89" s="1852">
        <f t="shared" ca="1" si="9"/>
        <v>0</v>
      </c>
      <c r="N89" s="1852">
        <f t="shared" ca="1" si="9"/>
        <v>0</v>
      </c>
      <c r="O89" s="1852">
        <f t="shared" ca="1" si="9"/>
        <v>0</v>
      </c>
      <c r="P89" s="1888">
        <f t="shared" ca="1" si="9"/>
        <v>0</v>
      </c>
      <c r="Q89" s="1888">
        <f t="shared" ca="1" si="9"/>
        <v>0</v>
      </c>
      <c r="R89" s="1888">
        <f t="shared" ca="1" si="9"/>
        <v>0</v>
      </c>
      <c r="S89" s="1888">
        <f t="shared" ca="1" si="9"/>
        <v>0</v>
      </c>
      <c r="T89" s="1888">
        <f t="shared" ca="1" si="9"/>
        <v>0</v>
      </c>
      <c r="U89" s="1888">
        <f t="shared" ca="1" si="9"/>
        <v>0</v>
      </c>
      <c r="V89" s="1888">
        <f t="shared" ca="1" si="9"/>
        <v>0</v>
      </c>
      <c r="W89" s="1888">
        <f t="shared" ca="1" si="9"/>
        <v>0</v>
      </c>
      <c r="X89" s="1889">
        <f t="shared" ca="1" si="9"/>
        <v>0</v>
      </c>
      <c r="Y89" s="1889">
        <f t="shared" ca="1" si="9"/>
        <v>0</v>
      </c>
      <c r="Z89" s="1889">
        <f t="shared" ca="1" si="9"/>
        <v>0</v>
      </c>
      <c r="AA89" s="1889">
        <f t="shared" ca="1" si="9"/>
        <v>0</v>
      </c>
      <c r="AB89" s="1889"/>
      <c r="AC89" s="1889"/>
      <c r="AD89" s="1889"/>
      <c r="AE89" s="1889"/>
      <c r="AF89" s="1889"/>
      <c r="AG89" s="1889"/>
      <c r="AH89" s="1889"/>
      <c r="AI89" s="1889"/>
      <c r="AJ89" s="1889"/>
      <c r="AK89" s="1889"/>
      <c r="AL89" s="1889"/>
      <c r="AM89" s="1889"/>
      <c r="AN89" s="1889"/>
      <c r="AO89" s="1889"/>
      <c r="AP89" s="1889"/>
      <c r="AQ89" s="1889"/>
      <c r="AR89" s="1889"/>
      <c r="AS89" s="1889"/>
      <c r="AT89" s="1889"/>
      <c r="AU89" s="1889"/>
      <c r="AV89" s="1889"/>
      <c r="AW89" s="1889"/>
      <c r="AX89" s="1889"/>
      <c r="AY89" s="1889"/>
      <c r="AZ89" s="1889"/>
      <c r="BA89" s="1889"/>
      <c r="BB89" s="1889"/>
      <c r="BC89" s="1889"/>
      <c r="BD89" s="1889"/>
      <c r="BE89" s="1889"/>
      <c r="BF89" s="1889"/>
      <c r="BG89" s="1889"/>
      <c r="BH89" s="1889"/>
      <c r="BI89" s="1889"/>
      <c r="BJ89" s="1889"/>
      <c r="BK89" s="1889"/>
      <c r="BL89" s="1889"/>
      <c r="BM89" s="1889"/>
      <c r="BN89" s="1889"/>
      <c r="BO89" s="1889"/>
      <c r="BP89" s="1862"/>
    </row>
    <row r="90" spans="1:68" ht="21">
      <c r="A90" s="1842"/>
      <c r="B90" s="1884" t="s">
        <v>1114</v>
      </c>
      <c r="C90" s="1879"/>
      <c r="D90" s="1885" t="s">
        <v>1115</v>
      </c>
      <c r="E90" s="1892"/>
      <c r="F90" s="1887" t="s">
        <v>980</v>
      </c>
      <c r="G90" s="1225" t="s">
        <v>1109</v>
      </c>
      <c r="H90" s="1867"/>
      <c r="I90" s="1867"/>
      <c r="J90" s="1867"/>
      <c r="K90" s="1867"/>
      <c r="L90" s="1852">
        <f t="shared" ref="L90:AA90" ca="1" si="10">SUM(L56:L66)</f>
        <v>0</v>
      </c>
      <c r="M90" s="1852">
        <f t="shared" ca="1" si="10"/>
        <v>0</v>
      </c>
      <c r="N90" s="1852">
        <f t="shared" ca="1" si="10"/>
        <v>0</v>
      </c>
      <c r="O90" s="1852">
        <f t="shared" ca="1" si="10"/>
        <v>0</v>
      </c>
      <c r="P90" s="1888">
        <f t="shared" ca="1" si="10"/>
        <v>0</v>
      </c>
      <c r="Q90" s="1888">
        <f t="shared" ca="1" si="10"/>
        <v>0</v>
      </c>
      <c r="R90" s="1888">
        <f t="shared" ca="1" si="10"/>
        <v>0</v>
      </c>
      <c r="S90" s="1888">
        <f t="shared" ca="1" si="10"/>
        <v>0</v>
      </c>
      <c r="T90" s="1888">
        <f t="shared" ca="1" si="10"/>
        <v>0</v>
      </c>
      <c r="U90" s="1888">
        <f t="shared" ca="1" si="10"/>
        <v>0</v>
      </c>
      <c r="V90" s="1888">
        <f t="shared" ca="1" si="10"/>
        <v>0</v>
      </c>
      <c r="W90" s="1888">
        <f t="shared" ca="1" si="10"/>
        <v>0</v>
      </c>
      <c r="X90" s="1889">
        <f t="shared" ca="1" si="10"/>
        <v>0</v>
      </c>
      <c r="Y90" s="1889">
        <f t="shared" ca="1" si="10"/>
        <v>0</v>
      </c>
      <c r="Z90" s="1889">
        <f t="shared" ca="1" si="10"/>
        <v>0</v>
      </c>
      <c r="AA90" s="1889">
        <f t="shared" ca="1" si="10"/>
        <v>0</v>
      </c>
      <c r="AB90" s="1889"/>
      <c r="AC90" s="1889"/>
      <c r="AD90" s="1889"/>
      <c r="AE90" s="1889"/>
      <c r="AF90" s="1889"/>
      <c r="AG90" s="1889"/>
      <c r="AH90" s="1889"/>
      <c r="AI90" s="1889"/>
      <c r="AJ90" s="1889"/>
      <c r="AK90" s="1889"/>
      <c r="AL90" s="1889"/>
      <c r="AM90" s="1889"/>
      <c r="AN90" s="1889"/>
      <c r="AO90" s="1889"/>
      <c r="AP90" s="1889"/>
      <c r="AQ90" s="1889"/>
      <c r="AR90" s="1889"/>
      <c r="AS90" s="1889"/>
      <c r="AT90" s="1889"/>
      <c r="AU90" s="1889"/>
      <c r="AV90" s="1889"/>
      <c r="AW90" s="1889"/>
      <c r="AX90" s="1889"/>
      <c r="AY90" s="1889"/>
      <c r="AZ90" s="1889"/>
      <c r="BA90" s="1889"/>
      <c r="BB90" s="1889"/>
      <c r="BC90" s="1889"/>
      <c r="BD90" s="1889"/>
      <c r="BE90" s="1889"/>
      <c r="BF90" s="1889"/>
      <c r="BG90" s="1889"/>
      <c r="BH90" s="1889"/>
      <c r="BI90" s="1889"/>
      <c r="BJ90" s="1889"/>
      <c r="BK90" s="1889"/>
      <c r="BL90" s="1889"/>
      <c r="BM90" s="1889"/>
      <c r="BN90" s="1889"/>
      <c r="BO90" s="1889"/>
      <c r="BP90" s="1862"/>
    </row>
    <row r="91" spans="1:68" ht="21">
      <c r="A91" s="1842"/>
      <c r="B91" s="1890" t="s">
        <v>1112</v>
      </c>
      <c r="C91" s="1893"/>
      <c r="D91" s="1885" t="s">
        <v>1116</v>
      </c>
      <c r="E91" s="1892"/>
      <c r="F91" s="1887" t="s">
        <v>982</v>
      </c>
      <c r="G91" s="1225" t="s">
        <v>1109</v>
      </c>
      <c r="H91" s="1867"/>
      <c r="I91" s="1867"/>
      <c r="J91" s="1867"/>
      <c r="K91" s="1867"/>
      <c r="L91" s="1852">
        <f t="shared" ref="L91:AA91" ca="1" si="11">SUM(L67:L71)</f>
        <v>0</v>
      </c>
      <c r="M91" s="1852">
        <f t="shared" ca="1" si="11"/>
        <v>0</v>
      </c>
      <c r="N91" s="1852">
        <f t="shared" ca="1" si="11"/>
        <v>0</v>
      </c>
      <c r="O91" s="1852">
        <f t="shared" ca="1" si="11"/>
        <v>0</v>
      </c>
      <c r="P91" s="1888">
        <f t="shared" ca="1" si="11"/>
        <v>0</v>
      </c>
      <c r="Q91" s="1888">
        <f t="shared" ca="1" si="11"/>
        <v>0</v>
      </c>
      <c r="R91" s="1888">
        <f t="shared" ca="1" si="11"/>
        <v>0</v>
      </c>
      <c r="S91" s="1888">
        <f t="shared" ca="1" si="11"/>
        <v>0</v>
      </c>
      <c r="T91" s="1888">
        <f t="shared" ca="1" si="11"/>
        <v>0</v>
      </c>
      <c r="U91" s="1888">
        <f t="shared" ca="1" si="11"/>
        <v>0</v>
      </c>
      <c r="V91" s="1888">
        <f t="shared" ca="1" si="11"/>
        <v>0</v>
      </c>
      <c r="W91" s="1888">
        <f t="shared" ca="1" si="11"/>
        <v>0</v>
      </c>
      <c r="X91" s="1889">
        <f t="shared" ca="1" si="11"/>
        <v>0</v>
      </c>
      <c r="Y91" s="1889">
        <f t="shared" ca="1" si="11"/>
        <v>0</v>
      </c>
      <c r="Z91" s="1889">
        <f t="shared" ca="1" si="11"/>
        <v>0</v>
      </c>
      <c r="AA91" s="1889">
        <f t="shared" ca="1" si="11"/>
        <v>0</v>
      </c>
      <c r="AB91" s="1889"/>
      <c r="AC91" s="1889"/>
      <c r="AD91" s="1889"/>
      <c r="AE91" s="1889"/>
      <c r="AF91" s="1889"/>
      <c r="AG91" s="1889"/>
      <c r="AH91" s="1889"/>
      <c r="AI91" s="1889"/>
      <c r="AJ91" s="1889"/>
      <c r="AK91" s="1889"/>
      <c r="AL91" s="1889"/>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c r="BG91" s="1889"/>
      <c r="BH91" s="1889"/>
      <c r="BI91" s="1889"/>
      <c r="BJ91" s="1889"/>
      <c r="BK91" s="1889"/>
      <c r="BL91" s="1889"/>
      <c r="BM91" s="1889"/>
      <c r="BN91" s="1889"/>
      <c r="BO91" s="1889"/>
      <c r="BP91" s="1862"/>
    </row>
    <row r="92" spans="1:68" ht="21">
      <c r="A92" s="1842"/>
      <c r="B92" s="1894" t="s">
        <v>1117</v>
      </c>
      <c r="C92" s="1848"/>
      <c r="D92" s="1895"/>
      <c r="E92" s="1896"/>
      <c r="F92" s="1887" t="s">
        <v>985</v>
      </c>
      <c r="G92" s="1225" t="s">
        <v>1109</v>
      </c>
      <c r="H92" s="1867"/>
      <c r="I92" s="1867"/>
      <c r="J92" s="1867"/>
      <c r="K92" s="1867"/>
      <c r="L92" s="1852">
        <f t="shared" ref="L92:AA92" ca="1" si="12">L401</f>
        <v>0</v>
      </c>
      <c r="M92" s="1852">
        <f t="shared" ca="1" si="12"/>
        <v>0</v>
      </c>
      <c r="N92" s="1852">
        <f t="shared" ca="1" si="12"/>
        <v>0</v>
      </c>
      <c r="O92" s="1852">
        <f t="shared" ca="1" si="12"/>
        <v>0</v>
      </c>
      <c r="P92" s="1888">
        <f t="shared" ca="1" si="12"/>
        <v>0</v>
      </c>
      <c r="Q92" s="1888">
        <f t="shared" ca="1" si="12"/>
        <v>0</v>
      </c>
      <c r="R92" s="1888">
        <f t="shared" ca="1" si="12"/>
        <v>0</v>
      </c>
      <c r="S92" s="1888">
        <f t="shared" ca="1" si="12"/>
        <v>0</v>
      </c>
      <c r="T92" s="1888">
        <f t="shared" ca="1" si="12"/>
        <v>0</v>
      </c>
      <c r="U92" s="1888">
        <f t="shared" ca="1" si="12"/>
        <v>0</v>
      </c>
      <c r="V92" s="1888">
        <f t="shared" ca="1" si="12"/>
        <v>0</v>
      </c>
      <c r="W92" s="1888">
        <f t="shared" ca="1" si="12"/>
        <v>0</v>
      </c>
      <c r="X92" s="1889">
        <f t="shared" ca="1" si="12"/>
        <v>0</v>
      </c>
      <c r="Y92" s="1889">
        <f t="shared" ca="1" si="12"/>
        <v>0</v>
      </c>
      <c r="Z92" s="1889">
        <f t="shared" ca="1" si="12"/>
        <v>0</v>
      </c>
      <c r="AA92" s="1889">
        <f t="shared" ca="1" si="12"/>
        <v>0</v>
      </c>
      <c r="AB92" s="1889"/>
      <c r="AC92" s="1889"/>
      <c r="AD92" s="1889"/>
      <c r="AE92" s="1889"/>
      <c r="AF92" s="1889"/>
      <c r="AG92" s="1889"/>
      <c r="AH92" s="1889"/>
      <c r="AI92" s="1889"/>
      <c r="AJ92" s="1889"/>
      <c r="AK92" s="1889"/>
      <c r="AL92" s="1889"/>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c r="BG92" s="1889"/>
      <c r="BH92" s="1889"/>
      <c r="BI92" s="1889"/>
      <c r="BJ92" s="1889"/>
      <c r="BK92" s="1889"/>
      <c r="BL92" s="1889"/>
      <c r="BM92" s="1889"/>
      <c r="BN92" s="1889"/>
      <c r="BO92" s="1889"/>
      <c r="BP92" s="1862"/>
    </row>
    <row r="93" spans="1:68" ht="21" customHeight="1">
      <c r="A93" s="1842">
        <v>153</v>
      </c>
      <c r="B93" s="1897" t="s">
        <v>1118</v>
      </c>
      <c r="C93" s="1898" t="s">
        <v>1119</v>
      </c>
      <c r="D93" s="1899" t="s">
        <v>1120</v>
      </c>
      <c r="E93" s="1900"/>
      <c r="F93" s="1901" t="s">
        <v>988</v>
      </c>
      <c r="G93" s="984" t="s">
        <v>1121</v>
      </c>
      <c r="H93" s="1902"/>
      <c r="I93" s="1902"/>
      <c r="J93" s="1902"/>
      <c r="K93" s="1902"/>
      <c r="L93" s="1903">
        <f t="shared" ref="L93:L106" ca="1" si="13">SUM(P93,T93)</f>
        <v>0</v>
      </c>
      <c r="M93" s="1903">
        <f t="shared" ref="M93:M106" ca="1" si="14">SUM(Q93,U93)</f>
        <v>0</v>
      </c>
      <c r="N93" s="1903">
        <f t="shared" ref="N93:N106" ca="1" si="15">SUM(R93,V93)</f>
        <v>0</v>
      </c>
      <c r="O93" s="1903">
        <f t="shared" ref="O93:O106" ca="1" si="16">SUM(S93,W93)</f>
        <v>0</v>
      </c>
      <c r="P93" s="1904">
        <f t="shared" ref="P93:P106" ca="1" si="17">IFERROR(OFFSET(貼付け_2024実績,$A93,8)+OFFSET(貼付け_2024実績,$A93,9),"")</f>
        <v>0</v>
      </c>
      <c r="Q93" s="1904">
        <f t="shared" ref="Q93:Q106" ca="1" si="18">IFERROR(OFFSET(貼付け_2025実績,$A93,8)+OFFSET(貼付け_2025実績,$A93,9),"")</f>
        <v>0</v>
      </c>
      <c r="R93" s="1904">
        <f t="shared" ref="R93:R106" ca="1" si="19">IFERROR(OFFSET(貼付け_2026実績,$A93,8)+OFFSET(貼付け_2026実績,$A93,9),"")</f>
        <v>0</v>
      </c>
      <c r="S93" s="1904">
        <f t="shared" ref="S93:S106" ca="1" si="20">IFERROR(OFFSET(貼付け_2027実績,$A93,8)+OFFSET(貼付け_2027実績,$A93,9),"")</f>
        <v>0</v>
      </c>
      <c r="T93" s="1904">
        <f t="shared" ref="T93:T106" ca="1" si="21">IFERROR(OFFSET(貼付け_2024実績,$A93,7),"")</f>
        <v>0</v>
      </c>
      <c r="U93" s="1904">
        <f t="shared" ref="U93:U106" ca="1" si="22">IFERROR(OFFSET(貼付け_2025実績,$A93,7),"")</f>
        <v>0</v>
      </c>
      <c r="V93" s="1904">
        <f t="shared" ref="V93:V106" ca="1" si="23">IFERROR(OFFSET(貼付け_2026実績,$A93,7,),"")</f>
        <v>0</v>
      </c>
      <c r="W93" s="1904">
        <f t="shared" ref="W93:W106" ca="1" si="24">IFERROR(OFFSET(貼付け_2027実績,$A93,7),"")</f>
        <v>0</v>
      </c>
      <c r="X93" s="1868"/>
      <c r="Y93" s="1868"/>
      <c r="Z93" s="1868"/>
      <c r="AA93" s="1868"/>
      <c r="AB93" s="1868"/>
      <c r="AC93" s="1868"/>
      <c r="AD93" s="1868"/>
      <c r="AE93" s="1868"/>
      <c r="AF93" s="1868"/>
      <c r="AG93" s="1868"/>
      <c r="AH93" s="1868"/>
      <c r="AI93" s="1868"/>
      <c r="AJ93" s="1868"/>
      <c r="AK93" s="1868"/>
      <c r="AL93" s="1868"/>
      <c r="AM93" s="1868"/>
      <c r="AN93" s="1868"/>
      <c r="AO93" s="1868"/>
      <c r="AP93" s="1868"/>
      <c r="AQ93" s="1868"/>
      <c r="AR93" s="1868"/>
      <c r="AS93" s="1868"/>
      <c r="AT93" s="1868"/>
      <c r="AU93" s="1868"/>
      <c r="AV93" s="1868"/>
      <c r="AW93" s="1868"/>
      <c r="AX93" s="1868"/>
      <c r="AY93" s="1868"/>
      <c r="AZ93" s="1868"/>
      <c r="BA93" s="1868"/>
      <c r="BB93" s="1868"/>
      <c r="BC93" s="1868"/>
      <c r="BD93" s="1868"/>
      <c r="BE93" s="1868"/>
      <c r="BF93" s="1868"/>
      <c r="BG93" s="1868"/>
      <c r="BH93" s="1868"/>
      <c r="BI93" s="1868"/>
      <c r="BJ93" s="1868"/>
      <c r="BK93" s="1868"/>
      <c r="BL93" s="1868"/>
      <c r="BM93" s="1868"/>
      <c r="BN93" s="1868"/>
      <c r="BO93" s="1868"/>
      <c r="BP93" s="1862"/>
    </row>
    <row r="94" spans="1:68" ht="21" customHeight="1">
      <c r="A94" s="1842">
        <v>154</v>
      </c>
      <c r="B94" s="1905"/>
      <c r="C94" s="1906"/>
      <c r="D94" s="1899" t="s">
        <v>1122</v>
      </c>
      <c r="E94" s="1900"/>
      <c r="F94" s="1901" t="s">
        <v>991</v>
      </c>
      <c r="G94" s="984" t="s">
        <v>1121</v>
      </c>
      <c r="H94" s="1902"/>
      <c r="I94" s="1902"/>
      <c r="J94" s="1902"/>
      <c r="K94" s="1902"/>
      <c r="L94" s="1903">
        <f t="shared" ca="1" si="13"/>
        <v>0</v>
      </c>
      <c r="M94" s="1903">
        <f t="shared" ca="1" si="14"/>
        <v>0</v>
      </c>
      <c r="N94" s="1903">
        <f t="shared" ca="1" si="15"/>
        <v>0</v>
      </c>
      <c r="O94" s="1903">
        <f t="shared" ca="1" si="16"/>
        <v>0</v>
      </c>
      <c r="P94" s="1903">
        <f t="shared" ca="1" si="17"/>
        <v>0</v>
      </c>
      <c r="Q94" s="1903">
        <f t="shared" ca="1" si="18"/>
        <v>0</v>
      </c>
      <c r="R94" s="1903">
        <f t="shared" ca="1" si="19"/>
        <v>0</v>
      </c>
      <c r="S94" s="1903">
        <f t="shared" ca="1" si="20"/>
        <v>0</v>
      </c>
      <c r="T94" s="1903">
        <f t="shared" ca="1" si="21"/>
        <v>0</v>
      </c>
      <c r="U94" s="1903">
        <f t="shared" ca="1" si="22"/>
        <v>0</v>
      </c>
      <c r="V94" s="1903">
        <f t="shared" ca="1" si="23"/>
        <v>0</v>
      </c>
      <c r="W94" s="1903">
        <f t="shared" ca="1" si="24"/>
        <v>0</v>
      </c>
      <c r="X94" s="1868"/>
      <c r="Y94" s="1868"/>
      <c r="Z94" s="1868"/>
      <c r="AA94" s="1868"/>
      <c r="AB94" s="1868"/>
      <c r="AC94" s="1868"/>
      <c r="AD94" s="1868"/>
      <c r="AE94" s="1868"/>
      <c r="AF94" s="1868"/>
      <c r="AG94" s="1868"/>
      <c r="AH94" s="1868"/>
      <c r="AI94" s="1868"/>
      <c r="AJ94" s="1868"/>
      <c r="AK94" s="1868"/>
      <c r="AL94" s="1868"/>
      <c r="AM94" s="1868"/>
      <c r="AN94" s="1868"/>
      <c r="AO94" s="1868"/>
      <c r="AP94" s="1868"/>
      <c r="AQ94" s="1868"/>
      <c r="AR94" s="1868"/>
      <c r="AS94" s="1868"/>
      <c r="AT94" s="1868"/>
      <c r="AU94" s="1868"/>
      <c r="AV94" s="1868"/>
      <c r="AW94" s="1868"/>
      <c r="AX94" s="1868"/>
      <c r="AY94" s="1868"/>
      <c r="AZ94" s="1868"/>
      <c r="BA94" s="1868"/>
      <c r="BB94" s="1868"/>
      <c r="BC94" s="1868"/>
      <c r="BD94" s="1868"/>
      <c r="BE94" s="1868"/>
      <c r="BF94" s="1868"/>
      <c r="BG94" s="1868"/>
      <c r="BH94" s="1868"/>
      <c r="BI94" s="1868"/>
      <c r="BJ94" s="1868"/>
      <c r="BK94" s="1868"/>
      <c r="BL94" s="1868"/>
      <c r="BM94" s="1868"/>
      <c r="BN94" s="1868"/>
      <c r="BO94" s="1868"/>
      <c r="BP94" s="1862"/>
    </row>
    <row r="95" spans="1:68" ht="21">
      <c r="A95" s="1842">
        <v>155</v>
      </c>
      <c r="B95" s="1905"/>
      <c r="C95" s="1906"/>
      <c r="D95" s="1907" t="s">
        <v>1123</v>
      </c>
      <c r="E95" s="1908" t="s">
        <v>1124</v>
      </c>
      <c r="F95" s="1909" t="s">
        <v>994</v>
      </c>
      <c r="G95" s="984" t="s">
        <v>1121</v>
      </c>
      <c r="H95" s="1902"/>
      <c r="I95" s="1902"/>
      <c r="J95" s="1902"/>
      <c r="K95" s="1902"/>
      <c r="L95" s="1903">
        <f t="shared" ca="1" si="13"/>
        <v>0</v>
      </c>
      <c r="M95" s="1903">
        <f t="shared" ca="1" si="14"/>
        <v>0</v>
      </c>
      <c r="N95" s="1903">
        <f t="shared" ca="1" si="15"/>
        <v>0</v>
      </c>
      <c r="O95" s="1903">
        <f t="shared" ca="1" si="16"/>
        <v>0</v>
      </c>
      <c r="P95" s="1903">
        <f t="shared" ca="1" si="17"/>
        <v>0</v>
      </c>
      <c r="Q95" s="1903">
        <f t="shared" ca="1" si="18"/>
        <v>0</v>
      </c>
      <c r="R95" s="1903">
        <f t="shared" ca="1" si="19"/>
        <v>0</v>
      </c>
      <c r="S95" s="1903">
        <f t="shared" ca="1" si="20"/>
        <v>0</v>
      </c>
      <c r="T95" s="1903">
        <f t="shared" ca="1" si="21"/>
        <v>0</v>
      </c>
      <c r="U95" s="1903">
        <f t="shared" ca="1" si="22"/>
        <v>0</v>
      </c>
      <c r="V95" s="1903">
        <f t="shared" ca="1" si="23"/>
        <v>0</v>
      </c>
      <c r="W95" s="1903">
        <f t="shared" ca="1" si="24"/>
        <v>0</v>
      </c>
      <c r="X95" s="1868"/>
      <c r="Y95" s="1868"/>
      <c r="Z95" s="1868"/>
      <c r="AA95" s="1868"/>
      <c r="AB95" s="1868"/>
      <c r="AC95" s="1868"/>
      <c r="AD95" s="1868"/>
      <c r="AE95" s="1868"/>
      <c r="AF95" s="1868"/>
      <c r="AG95" s="1868"/>
      <c r="AH95" s="1868"/>
      <c r="AI95" s="1868"/>
      <c r="AJ95" s="1868"/>
      <c r="AK95" s="1868"/>
      <c r="AL95" s="1868"/>
      <c r="AM95" s="1868"/>
      <c r="AN95" s="1868"/>
      <c r="AO95" s="1868"/>
      <c r="AP95" s="1868"/>
      <c r="AQ95" s="1868"/>
      <c r="AR95" s="1868"/>
      <c r="AS95" s="1868"/>
      <c r="AT95" s="1868"/>
      <c r="AU95" s="1868"/>
      <c r="AV95" s="1868"/>
      <c r="AW95" s="1868"/>
      <c r="AX95" s="1868"/>
      <c r="AY95" s="1868"/>
      <c r="AZ95" s="1868"/>
      <c r="BA95" s="1868"/>
      <c r="BB95" s="1868"/>
      <c r="BC95" s="1868"/>
      <c r="BD95" s="1868"/>
      <c r="BE95" s="1868"/>
      <c r="BF95" s="1868"/>
      <c r="BG95" s="1868"/>
      <c r="BH95" s="1868"/>
      <c r="BI95" s="1868"/>
      <c r="BJ95" s="1868"/>
      <c r="BK95" s="1868"/>
      <c r="BL95" s="1868"/>
      <c r="BM95" s="1868"/>
      <c r="BN95" s="1868"/>
      <c r="BO95" s="1868"/>
      <c r="BP95" s="1862"/>
    </row>
    <row r="96" spans="1:68">
      <c r="A96" s="1842">
        <v>156</v>
      </c>
      <c r="B96" s="1905"/>
      <c r="C96" s="1906"/>
      <c r="D96" s="1910"/>
      <c r="E96" s="1911"/>
      <c r="F96" s="1912"/>
      <c r="G96" s="984" t="s">
        <v>1125</v>
      </c>
      <c r="H96" s="1902"/>
      <c r="I96" s="1902"/>
      <c r="J96" s="1902"/>
      <c r="K96" s="1902"/>
      <c r="L96" s="1903">
        <f t="shared" ca="1" si="13"/>
        <v>0</v>
      </c>
      <c r="M96" s="1903">
        <f t="shared" ca="1" si="14"/>
        <v>0</v>
      </c>
      <c r="N96" s="1903">
        <f t="shared" ca="1" si="15"/>
        <v>0</v>
      </c>
      <c r="O96" s="1903">
        <f t="shared" ca="1" si="16"/>
        <v>0</v>
      </c>
      <c r="P96" s="1903">
        <f t="shared" ca="1" si="17"/>
        <v>0</v>
      </c>
      <c r="Q96" s="1903">
        <f t="shared" ca="1" si="18"/>
        <v>0</v>
      </c>
      <c r="R96" s="1903">
        <f t="shared" ca="1" si="19"/>
        <v>0</v>
      </c>
      <c r="S96" s="1903">
        <f t="shared" ca="1" si="20"/>
        <v>0</v>
      </c>
      <c r="T96" s="1903">
        <f t="shared" ca="1" si="21"/>
        <v>0</v>
      </c>
      <c r="U96" s="1903">
        <f t="shared" ca="1" si="22"/>
        <v>0</v>
      </c>
      <c r="V96" s="1903">
        <f t="shared" ca="1" si="23"/>
        <v>0</v>
      </c>
      <c r="W96" s="1903">
        <f t="shared" ca="1" si="24"/>
        <v>0</v>
      </c>
      <c r="X96" s="1868"/>
      <c r="Y96" s="1868"/>
      <c r="Z96" s="1868"/>
      <c r="AA96" s="1868"/>
      <c r="AB96" s="1868"/>
      <c r="AC96" s="1868"/>
      <c r="AD96" s="1868"/>
      <c r="AE96" s="1868"/>
      <c r="AF96" s="1868"/>
      <c r="AG96" s="1868"/>
      <c r="AH96" s="1868"/>
      <c r="AI96" s="1868"/>
      <c r="AJ96" s="1868"/>
      <c r="AK96" s="1868"/>
      <c r="AL96" s="1868"/>
      <c r="AM96" s="1868"/>
      <c r="AN96" s="1868"/>
      <c r="AO96" s="1868"/>
      <c r="AP96" s="1868"/>
      <c r="AQ96" s="1868"/>
      <c r="AR96" s="1868"/>
      <c r="AS96" s="1868"/>
      <c r="AT96" s="1868"/>
      <c r="AU96" s="1868"/>
      <c r="AV96" s="1868"/>
      <c r="AW96" s="1868"/>
      <c r="AX96" s="1868"/>
      <c r="AY96" s="1868"/>
      <c r="AZ96" s="1868"/>
      <c r="BA96" s="1868"/>
      <c r="BB96" s="1868"/>
      <c r="BC96" s="1868"/>
      <c r="BD96" s="1868"/>
      <c r="BE96" s="1868"/>
      <c r="BF96" s="1868"/>
      <c r="BG96" s="1868"/>
      <c r="BH96" s="1868"/>
      <c r="BI96" s="1868"/>
      <c r="BJ96" s="1868"/>
      <c r="BK96" s="1868"/>
      <c r="BL96" s="1868"/>
      <c r="BM96" s="1868"/>
      <c r="BN96" s="1868"/>
      <c r="BO96" s="1868"/>
      <c r="BP96" s="1862"/>
    </row>
    <row r="97" spans="1:68" ht="21" customHeight="1">
      <c r="A97" s="1842">
        <v>157</v>
      </c>
      <c r="B97" s="1905"/>
      <c r="C97" s="1906"/>
      <c r="D97" s="1910"/>
      <c r="E97" s="1913" t="s">
        <v>1126</v>
      </c>
      <c r="F97" s="1914" t="s">
        <v>997</v>
      </c>
      <c r="G97" s="1225" t="s">
        <v>1109</v>
      </c>
      <c r="H97" s="1867"/>
      <c r="I97" s="1867"/>
      <c r="J97" s="1867"/>
      <c r="K97" s="1867"/>
      <c r="L97" s="1903">
        <f t="shared" ca="1" si="13"/>
        <v>0</v>
      </c>
      <c r="M97" s="1903">
        <f t="shared" ca="1" si="14"/>
        <v>0</v>
      </c>
      <c r="N97" s="1903">
        <f t="shared" ca="1" si="15"/>
        <v>0</v>
      </c>
      <c r="O97" s="1903">
        <f t="shared" ca="1" si="16"/>
        <v>0</v>
      </c>
      <c r="P97" s="1903">
        <f t="shared" ca="1" si="17"/>
        <v>0</v>
      </c>
      <c r="Q97" s="1903">
        <f t="shared" ca="1" si="18"/>
        <v>0</v>
      </c>
      <c r="R97" s="1903">
        <f t="shared" ca="1" si="19"/>
        <v>0</v>
      </c>
      <c r="S97" s="1903">
        <f t="shared" ca="1" si="20"/>
        <v>0</v>
      </c>
      <c r="T97" s="1903">
        <f t="shared" ca="1" si="21"/>
        <v>0</v>
      </c>
      <c r="U97" s="1903">
        <f t="shared" ca="1" si="22"/>
        <v>0</v>
      </c>
      <c r="V97" s="1903">
        <f t="shared" ca="1" si="23"/>
        <v>0</v>
      </c>
      <c r="W97" s="1903">
        <f t="shared" ca="1" si="24"/>
        <v>0</v>
      </c>
      <c r="X97" s="1868"/>
      <c r="Y97" s="1868"/>
      <c r="Z97" s="1868"/>
      <c r="AA97" s="1868"/>
      <c r="AB97" s="1868"/>
      <c r="AC97" s="1868"/>
      <c r="AD97" s="1868"/>
      <c r="AE97" s="1868"/>
      <c r="AF97" s="1868"/>
      <c r="AG97" s="1868"/>
      <c r="AH97" s="1868"/>
      <c r="AI97" s="1868"/>
      <c r="AJ97" s="1868"/>
      <c r="AK97" s="1868"/>
      <c r="AL97" s="1868"/>
      <c r="AM97" s="1868"/>
      <c r="AN97" s="1868"/>
      <c r="AO97" s="1868"/>
      <c r="AP97" s="1868"/>
      <c r="AQ97" s="1868"/>
      <c r="AR97" s="1868"/>
      <c r="AS97" s="1868"/>
      <c r="AT97" s="1868"/>
      <c r="AU97" s="1868"/>
      <c r="AV97" s="1868"/>
      <c r="AW97" s="1868"/>
      <c r="AX97" s="1868"/>
      <c r="AY97" s="1868"/>
      <c r="AZ97" s="1868"/>
      <c r="BA97" s="1868"/>
      <c r="BB97" s="1868"/>
      <c r="BC97" s="1868"/>
      <c r="BD97" s="1868"/>
      <c r="BE97" s="1868"/>
      <c r="BF97" s="1868"/>
      <c r="BG97" s="1868"/>
      <c r="BH97" s="1868"/>
      <c r="BI97" s="1868"/>
      <c r="BJ97" s="1868"/>
      <c r="BK97" s="1868"/>
      <c r="BL97" s="1868"/>
      <c r="BM97" s="1868"/>
      <c r="BN97" s="1868"/>
      <c r="BO97" s="1868"/>
      <c r="BP97" s="1862"/>
    </row>
    <row r="98" spans="1:68" ht="21" customHeight="1">
      <c r="A98" s="1842">
        <v>158</v>
      </c>
      <c r="B98" s="1905"/>
      <c r="C98" s="1906"/>
      <c r="D98" s="1910"/>
      <c r="E98" s="1915"/>
      <c r="F98" s="1916"/>
      <c r="G98" s="1225" t="s">
        <v>986</v>
      </c>
      <c r="H98" s="1867"/>
      <c r="I98" s="1867"/>
      <c r="J98" s="1867"/>
      <c r="K98" s="1867"/>
      <c r="L98" s="1903">
        <f t="shared" ca="1" si="13"/>
        <v>0</v>
      </c>
      <c r="M98" s="1903">
        <f t="shared" ca="1" si="14"/>
        <v>0</v>
      </c>
      <c r="N98" s="1903">
        <f t="shared" ca="1" si="15"/>
        <v>0</v>
      </c>
      <c r="O98" s="1903">
        <f t="shared" ca="1" si="16"/>
        <v>0</v>
      </c>
      <c r="P98" s="1903">
        <f t="shared" ca="1" si="17"/>
        <v>0</v>
      </c>
      <c r="Q98" s="1903">
        <f t="shared" ca="1" si="18"/>
        <v>0</v>
      </c>
      <c r="R98" s="1903">
        <f t="shared" ca="1" si="19"/>
        <v>0</v>
      </c>
      <c r="S98" s="1903">
        <f t="shared" ca="1" si="20"/>
        <v>0</v>
      </c>
      <c r="T98" s="1903">
        <f t="shared" ca="1" si="21"/>
        <v>0</v>
      </c>
      <c r="U98" s="1903">
        <f t="shared" ca="1" si="22"/>
        <v>0</v>
      </c>
      <c r="V98" s="1903">
        <f t="shared" ca="1" si="23"/>
        <v>0</v>
      </c>
      <c r="W98" s="1903">
        <f t="shared" ca="1" si="24"/>
        <v>0</v>
      </c>
      <c r="X98" s="1868"/>
      <c r="Y98" s="1868"/>
      <c r="Z98" s="1868"/>
      <c r="AA98" s="1868"/>
      <c r="AB98" s="1868"/>
      <c r="AC98" s="1868"/>
      <c r="AD98" s="1868"/>
      <c r="AE98" s="1868"/>
      <c r="AF98" s="1868"/>
      <c r="AG98" s="1868"/>
      <c r="AH98" s="1868"/>
      <c r="AI98" s="1868"/>
      <c r="AJ98" s="1868"/>
      <c r="AK98" s="1868"/>
      <c r="AL98" s="1868"/>
      <c r="AM98" s="1868"/>
      <c r="AN98" s="1868"/>
      <c r="AO98" s="1868"/>
      <c r="AP98" s="1868"/>
      <c r="AQ98" s="1868"/>
      <c r="AR98" s="1868"/>
      <c r="AS98" s="1868"/>
      <c r="AT98" s="1868"/>
      <c r="AU98" s="1868"/>
      <c r="AV98" s="1868"/>
      <c r="AW98" s="1868"/>
      <c r="AX98" s="1868"/>
      <c r="AY98" s="1868"/>
      <c r="AZ98" s="1868"/>
      <c r="BA98" s="1868"/>
      <c r="BB98" s="1868"/>
      <c r="BC98" s="1868"/>
      <c r="BD98" s="1868"/>
      <c r="BE98" s="1868"/>
      <c r="BF98" s="1868"/>
      <c r="BG98" s="1868"/>
      <c r="BH98" s="1868"/>
      <c r="BI98" s="1868"/>
      <c r="BJ98" s="1868"/>
      <c r="BK98" s="1868"/>
      <c r="BL98" s="1868"/>
      <c r="BM98" s="1868"/>
      <c r="BN98" s="1868"/>
      <c r="BO98" s="1868"/>
      <c r="BP98" s="1862"/>
    </row>
    <row r="99" spans="1:68" ht="21">
      <c r="A99" s="1842">
        <v>159</v>
      </c>
      <c r="B99" s="1905"/>
      <c r="C99" s="1906"/>
      <c r="D99" s="1917"/>
      <c r="E99" s="1918" t="s">
        <v>1127</v>
      </c>
      <c r="F99" s="1863" t="s">
        <v>1003</v>
      </c>
      <c r="G99" s="1225" t="s">
        <v>1109</v>
      </c>
      <c r="H99" s="1867"/>
      <c r="I99" s="1867"/>
      <c r="J99" s="1867"/>
      <c r="K99" s="1867"/>
      <c r="L99" s="1851">
        <f t="shared" ca="1" si="13"/>
        <v>0</v>
      </c>
      <c r="M99" s="1851">
        <f t="shared" ca="1" si="14"/>
        <v>0</v>
      </c>
      <c r="N99" s="1851">
        <f t="shared" ca="1" si="15"/>
        <v>0</v>
      </c>
      <c r="O99" s="1851">
        <f t="shared" ca="1" si="16"/>
        <v>0</v>
      </c>
      <c r="P99" s="1851">
        <f t="shared" ca="1" si="17"/>
        <v>0</v>
      </c>
      <c r="Q99" s="1851">
        <f t="shared" ca="1" si="18"/>
        <v>0</v>
      </c>
      <c r="R99" s="1851">
        <f t="shared" ca="1" si="19"/>
        <v>0</v>
      </c>
      <c r="S99" s="1851">
        <f t="shared" ca="1" si="20"/>
        <v>0</v>
      </c>
      <c r="T99" s="1851">
        <f t="shared" ca="1" si="21"/>
        <v>0</v>
      </c>
      <c r="U99" s="1851">
        <f t="shared" ca="1" si="22"/>
        <v>0</v>
      </c>
      <c r="V99" s="1851">
        <f t="shared" ca="1" si="23"/>
        <v>0</v>
      </c>
      <c r="W99" s="1851">
        <f t="shared" ca="1" si="24"/>
        <v>0</v>
      </c>
      <c r="X99" s="1868"/>
      <c r="Y99" s="1868"/>
      <c r="Z99" s="1868"/>
      <c r="AA99" s="1868"/>
      <c r="AB99" s="1868"/>
      <c r="AC99" s="1868"/>
      <c r="AD99" s="1868"/>
      <c r="AE99" s="1868"/>
      <c r="AF99" s="1868"/>
      <c r="AG99" s="1868"/>
      <c r="AH99" s="1868"/>
      <c r="AI99" s="1868"/>
      <c r="AJ99" s="1868"/>
      <c r="AK99" s="1868"/>
      <c r="AL99" s="1868"/>
      <c r="AM99" s="1868"/>
      <c r="AN99" s="1868"/>
      <c r="AO99" s="1868"/>
      <c r="AP99" s="1868"/>
      <c r="AQ99" s="1868"/>
      <c r="AR99" s="1868"/>
      <c r="AS99" s="1868"/>
      <c r="AT99" s="1868"/>
      <c r="AU99" s="1868"/>
      <c r="AV99" s="1868"/>
      <c r="AW99" s="1868"/>
      <c r="AX99" s="1868"/>
      <c r="AY99" s="1868"/>
      <c r="AZ99" s="1868"/>
      <c r="BA99" s="1868"/>
      <c r="BB99" s="1868"/>
      <c r="BC99" s="1868"/>
      <c r="BD99" s="1868"/>
      <c r="BE99" s="1868"/>
      <c r="BF99" s="1868"/>
      <c r="BG99" s="1868"/>
      <c r="BH99" s="1868"/>
      <c r="BI99" s="1868"/>
      <c r="BJ99" s="1868"/>
      <c r="BK99" s="1868"/>
      <c r="BL99" s="1868"/>
      <c r="BM99" s="1868"/>
      <c r="BN99" s="1868"/>
      <c r="BO99" s="1868"/>
      <c r="BP99" s="1862"/>
    </row>
    <row r="100" spans="1:68" ht="21">
      <c r="A100" s="1842">
        <v>160</v>
      </c>
      <c r="B100" s="1905"/>
      <c r="C100" s="1906"/>
      <c r="D100" s="1919" t="s">
        <v>1128</v>
      </c>
      <c r="E100" s="1920" t="s">
        <v>1129</v>
      </c>
      <c r="F100" s="1914" t="s">
        <v>1007</v>
      </c>
      <c r="G100" s="1225" t="s">
        <v>1109</v>
      </c>
      <c r="H100" s="1867"/>
      <c r="I100" s="1867"/>
      <c r="J100" s="1867"/>
      <c r="K100" s="1867"/>
      <c r="L100" s="1851">
        <f t="shared" ca="1" si="13"/>
        <v>0</v>
      </c>
      <c r="M100" s="1851">
        <f t="shared" ca="1" si="14"/>
        <v>0</v>
      </c>
      <c r="N100" s="1851">
        <f t="shared" ca="1" si="15"/>
        <v>0</v>
      </c>
      <c r="O100" s="1851">
        <f t="shared" ca="1" si="16"/>
        <v>0</v>
      </c>
      <c r="P100" s="1851">
        <f t="shared" ca="1" si="17"/>
        <v>0</v>
      </c>
      <c r="Q100" s="1851">
        <f t="shared" ca="1" si="18"/>
        <v>0</v>
      </c>
      <c r="R100" s="1851">
        <f t="shared" ca="1" si="19"/>
        <v>0</v>
      </c>
      <c r="S100" s="1851">
        <f t="shared" ca="1" si="20"/>
        <v>0</v>
      </c>
      <c r="T100" s="1851">
        <f t="shared" ca="1" si="21"/>
        <v>0</v>
      </c>
      <c r="U100" s="1851">
        <f t="shared" ca="1" si="22"/>
        <v>0</v>
      </c>
      <c r="V100" s="1851">
        <f t="shared" ca="1" si="23"/>
        <v>0</v>
      </c>
      <c r="W100" s="1851">
        <f t="shared" ca="1" si="24"/>
        <v>0</v>
      </c>
      <c r="X100" s="1868"/>
      <c r="Y100" s="1868"/>
      <c r="Z100" s="1868"/>
      <c r="AA100" s="1868"/>
      <c r="AB100" s="1868"/>
      <c r="AC100" s="1868"/>
      <c r="AD100" s="1868"/>
      <c r="AE100" s="1868"/>
      <c r="AF100" s="1868"/>
      <c r="AG100" s="1868"/>
      <c r="AH100" s="1868"/>
      <c r="AI100" s="1868"/>
      <c r="AJ100" s="1868"/>
      <c r="AK100" s="1868"/>
      <c r="AL100" s="1868"/>
      <c r="AM100" s="1868"/>
      <c r="AN100" s="1868"/>
      <c r="AO100" s="1868"/>
      <c r="AP100" s="1868"/>
      <c r="AQ100" s="1868"/>
      <c r="AR100" s="1868"/>
      <c r="AS100" s="1868"/>
      <c r="AT100" s="1868"/>
      <c r="AU100" s="1868"/>
      <c r="AV100" s="1868"/>
      <c r="AW100" s="1868"/>
      <c r="AX100" s="1868"/>
      <c r="AY100" s="1868"/>
      <c r="AZ100" s="1868"/>
      <c r="BA100" s="1868"/>
      <c r="BB100" s="1868"/>
      <c r="BC100" s="1868"/>
      <c r="BD100" s="1868"/>
      <c r="BE100" s="1868"/>
      <c r="BF100" s="1868"/>
      <c r="BG100" s="1868"/>
      <c r="BH100" s="1868"/>
      <c r="BI100" s="1868"/>
      <c r="BJ100" s="1868"/>
      <c r="BK100" s="1868"/>
      <c r="BL100" s="1868"/>
      <c r="BM100" s="1868"/>
      <c r="BN100" s="1868"/>
      <c r="BO100" s="1868"/>
      <c r="BP100" s="1862"/>
    </row>
    <row r="101" spans="1:68">
      <c r="A101" s="1842">
        <v>161</v>
      </c>
      <c r="B101" s="1905"/>
      <c r="C101" s="1906"/>
      <c r="D101" s="1921"/>
      <c r="E101" s="1922"/>
      <c r="F101" s="1916"/>
      <c r="G101" s="984" t="s">
        <v>1125</v>
      </c>
      <c r="H101" s="1867"/>
      <c r="I101" s="1867"/>
      <c r="J101" s="1867"/>
      <c r="K101" s="1867"/>
      <c r="L101" s="1851">
        <f t="shared" ca="1" si="13"/>
        <v>0</v>
      </c>
      <c r="M101" s="1851">
        <f t="shared" ca="1" si="14"/>
        <v>0</v>
      </c>
      <c r="N101" s="1851">
        <f t="shared" ca="1" si="15"/>
        <v>0</v>
      </c>
      <c r="O101" s="1851">
        <f t="shared" ca="1" si="16"/>
        <v>0</v>
      </c>
      <c r="P101" s="1851">
        <f t="shared" ca="1" si="17"/>
        <v>0</v>
      </c>
      <c r="Q101" s="1851">
        <f t="shared" ca="1" si="18"/>
        <v>0</v>
      </c>
      <c r="R101" s="1851">
        <f t="shared" ca="1" si="19"/>
        <v>0</v>
      </c>
      <c r="S101" s="1851">
        <f t="shared" ca="1" si="20"/>
        <v>0</v>
      </c>
      <c r="T101" s="1851">
        <f t="shared" ca="1" si="21"/>
        <v>0</v>
      </c>
      <c r="U101" s="1851">
        <f t="shared" ca="1" si="22"/>
        <v>0</v>
      </c>
      <c r="V101" s="1851">
        <f t="shared" ca="1" si="23"/>
        <v>0</v>
      </c>
      <c r="W101" s="1851">
        <f t="shared" ca="1" si="24"/>
        <v>0</v>
      </c>
      <c r="X101" s="1868"/>
      <c r="Y101" s="1868"/>
      <c r="Z101" s="1868"/>
      <c r="AA101" s="1868"/>
      <c r="AB101" s="1868"/>
      <c r="AC101" s="1868"/>
      <c r="AD101" s="1868"/>
      <c r="AE101" s="1868"/>
      <c r="AF101" s="1868"/>
      <c r="AG101" s="1868"/>
      <c r="AH101" s="1868"/>
      <c r="AI101" s="1868"/>
      <c r="AJ101" s="1868"/>
      <c r="AK101" s="1868"/>
      <c r="AL101" s="1868"/>
      <c r="AM101" s="1868"/>
      <c r="AN101" s="1868"/>
      <c r="AO101" s="1868"/>
      <c r="AP101" s="1868"/>
      <c r="AQ101" s="1868"/>
      <c r="AR101" s="1868"/>
      <c r="AS101" s="1868"/>
      <c r="AT101" s="1868"/>
      <c r="AU101" s="1868"/>
      <c r="AV101" s="1868"/>
      <c r="AW101" s="1868"/>
      <c r="AX101" s="1868"/>
      <c r="AY101" s="1868"/>
      <c r="AZ101" s="1868"/>
      <c r="BA101" s="1868"/>
      <c r="BB101" s="1868"/>
      <c r="BC101" s="1868"/>
      <c r="BD101" s="1868"/>
      <c r="BE101" s="1868"/>
      <c r="BF101" s="1868"/>
      <c r="BG101" s="1868"/>
      <c r="BH101" s="1868"/>
      <c r="BI101" s="1868"/>
      <c r="BJ101" s="1868"/>
      <c r="BK101" s="1868"/>
      <c r="BL101" s="1868"/>
      <c r="BM101" s="1868"/>
      <c r="BN101" s="1868"/>
      <c r="BO101" s="1868"/>
      <c r="BP101" s="1862"/>
    </row>
    <row r="102" spans="1:68" ht="21" customHeight="1">
      <c r="A102" s="1842">
        <v>162</v>
      </c>
      <c r="B102" s="1905"/>
      <c r="C102" s="1906"/>
      <c r="D102" s="1921"/>
      <c r="E102" s="1923" t="s">
        <v>1130</v>
      </c>
      <c r="F102" s="1914" t="s">
        <v>1009</v>
      </c>
      <c r="G102" s="1225" t="s">
        <v>1109</v>
      </c>
      <c r="H102" s="1867"/>
      <c r="I102" s="1867"/>
      <c r="J102" s="1867"/>
      <c r="K102" s="1867"/>
      <c r="L102" s="1851">
        <f t="shared" ca="1" si="13"/>
        <v>0</v>
      </c>
      <c r="M102" s="1851">
        <f t="shared" ca="1" si="14"/>
        <v>0</v>
      </c>
      <c r="N102" s="1851">
        <f t="shared" ca="1" si="15"/>
        <v>0</v>
      </c>
      <c r="O102" s="1851">
        <f t="shared" ca="1" si="16"/>
        <v>0</v>
      </c>
      <c r="P102" s="1851">
        <f t="shared" ca="1" si="17"/>
        <v>0</v>
      </c>
      <c r="Q102" s="1851">
        <f t="shared" ca="1" si="18"/>
        <v>0</v>
      </c>
      <c r="R102" s="1851">
        <f t="shared" ca="1" si="19"/>
        <v>0</v>
      </c>
      <c r="S102" s="1851">
        <f t="shared" ca="1" si="20"/>
        <v>0</v>
      </c>
      <c r="T102" s="1851">
        <f t="shared" ca="1" si="21"/>
        <v>0</v>
      </c>
      <c r="U102" s="1851">
        <f t="shared" ca="1" si="22"/>
        <v>0</v>
      </c>
      <c r="V102" s="1851">
        <f t="shared" ca="1" si="23"/>
        <v>0</v>
      </c>
      <c r="W102" s="1851">
        <f t="shared" ca="1" si="24"/>
        <v>0</v>
      </c>
      <c r="X102" s="1868"/>
      <c r="Y102" s="1868"/>
      <c r="Z102" s="1868"/>
      <c r="AA102" s="1868"/>
      <c r="AB102" s="1868"/>
      <c r="AC102" s="1868"/>
      <c r="AD102" s="1868"/>
      <c r="AE102" s="1868"/>
      <c r="AF102" s="1868"/>
      <c r="AG102" s="1868"/>
      <c r="AH102" s="1868"/>
      <c r="AI102" s="1868"/>
      <c r="AJ102" s="1868"/>
      <c r="AK102" s="1868"/>
      <c r="AL102" s="1868"/>
      <c r="AM102" s="1868"/>
      <c r="AN102" s="1868"/>
      <c r="AO102" s="1868"/>
      <c r="AP102" s="1868"/>
      <c r="AQ102" s="1868"/>
      <c r="AR102" s="1868"/>
      <c r="AS102" s="1868"/>
      <c r="AT102" s="1868"/>
      <c r="AU102" s="1868"/>
      <c r="AV102" s="1868"/>
      <c r="AW102" s="1868"/>
      <c r="AX102" s="1868"/>
      <c r="AY102" s="1868"/>
      <c r="AZ102" s="1868"/>
      <c r="BA102" s="1868"/>
      <c r="BB102" s="1868"/>
      <c r="BC102" s="1868"/>
      <c r="BD102" s="1868"/>
      <c r="BE102" s="1868"/>
      <c r="BF102" s="1868"/>
      <c r="BG102" s="1868"/>
      <c r="BH102" s="1868"/>
      <c r="BI102" s="1868"/>
      <c r="BJ102" s="1868"/>
      <c r="BK102" s="1868"/>
      <c r="BL102" s="1868"/>
      <c r="BM102" s="1868"/>
      <c r="BN102" s="1868"/>
      <c r="BO102" s="1868"/>
      <c r="BP102" s="1862"/>
    </row>
    <row r="103" spans="1:68">
      <c r="A103" s="1842">
        <v>163</v>
      </c>
      <c r="B103" s="1905"/>
      <c r="C103" s="1906"/>
      <c r="D103" s="1924"/>
      <c r="E103" s="1925"/>
      <c r="F103" s="1916"/>
      <c r="G103" s="1225" t="s">
        <v>986</v>
      </c>
      <c r="H103" s="1867"/>
      <c r="I103" s="1867"/>
      <c r="J103" s="1867"/>
      <c r="K103" s="1867"/>
      <c r="L103" s="1851">
        <f t="shared" ca="1" si="13"/>
        <v>0</v>
      </c>
      <c r="M103" s="1851">
        <f t="shared" ca="1" si="14"/>
        <v>0</v>
      </c>
      <c r="N103" s="1851">
        <f t="shared" ca="1" si="15"/>
        <v>0</v>
      </c>
      <c r="O103" s="1851">
        <f t="shared" ca="1" si="16"/>
        <v>0</v>
      </c>
      <c r="P103" s="1851">
        <f t="shared" ca="1" si="17"/>
        <v>0</v>
      </c>
      <c r="Q103" s="1851">
        <f t="shared" ca="1" si="18"/>
        <v>0</v>
      </c>
      <c r="R103" s="1851">
        <f t="shared" ca="1" si="19"/>
        <v>0</v>
      </c>
      <c r="S103" s="1851">
        <f t="shared" ca="1" si="20"/>
        <v>0</v>
      </c>
      <c r="T103" s="1851">
        <f t="shared" ca="1" si="21"/>
        <v>0</v>
      </c>
      <c r="U103" s="1851">
        <f t="shared" ca="1" si="22"/>
        <v>0</v>
      </c>
      <c r="V103" s="1851">
        <f t="shared" ca="1" si="23"/>
        <v>0</v>
      </c>
      <c r="W103" s="1851">
        <f t="shared" ca="1" si="24"/>
        <v>0</v>
      </c>
      <c r="X103" s="1868"/>
      <c r="Y103" s="1868"/>
      <c r="Z103" s="1868"/>
      <c r="AA103" s="1868"/>
      <c r="AB103" s="1868"/>
      <c r="AC103" s="1868"/>
      <c r="AD103" s="1868"/>
      <c r="AE103" s="1868"/>
      <c r="AF103" s="1868"/>
      <c r="AG103" s="1868"/>
      <c r="AH103" s="1868"/>
      <c r="AI103" s="1868"/>
      <c r="AJ103" s="1868"/>
      <c r="AK103" s="1868"/>
      <c r="AL103" s="1868"/>
      <c r="AM103" s="1868"/>
      <c r="AN103" s="1868"/>
      <c r="AO103" s="1868"/>
      <c r="AP103" s="1868"/>
      <c r="AQ103" s="1868"/>
      <c r="AR103" s="1868"/>
      <c r="AS103" s="1868"/>
      <c r="AT103" s="1868"/>
      <c r="AU103" s="1868"/>
      <c r="AV103" s="1868"/>
      <c r="AW103" s="1868"/>
      <c r="AX103" s="1868"/>
      <c r="AY103" s="1868"/>
      <c r="AZ103" s="1868"/>
      <c r="BA103" s="1868"/>
      <c r="BB103" s="1868"/>
      <c r="BC103" s="1868"/>
      <c r="BD103" s="1868"/>
      <c r="BE103" s="1868"/>
      <c r="BF103" s="1868"/>
      <c r="BG103" s="1868"/>
      <c r="BH103" s="1868"/>
      <c r="BI103" s="1868"/>
      <c r="BJ103" s="1868"/>
      <c r="BK103" s="1868"/>
      <c r="BL103" s="1868"/>
      <c r="BM103" s="1868"/>
      <c r="BN103" s="1868"/>
      <c r="BO103" s="1868"/>
      <c r="BP103" s="1862"/>
    </row>
    <row r="104" spans="1:68" ht="19.5" customHeight="1">
      <c r="A104" s="1842">
        <v>164</v>
      </c>
      <c r="B104" s="1905"/>
      <c r="C104" s="1926"/>
      <c r="D104" s="1927" t="s">
        <v>1131</v>
      </c>
      <c r="E104" s="1928" t="str">
        <f ca="1">OFFSET(A1_その他欄集計,20,14)</f>
        <v/>
      </c>
      <c r="F104" s="1863" t="s">
        <v>1015</v>
      </c>
      <c r="G104" s="1225" t="s">
        <v>1109</v>
      </c>
      <c r="H104" s="1867"/>
      <c r="I104" s="1867"/>
      <c r="J104" s="1867"/>
      <c r="K104" s="1867"/>
      <c r="L104" s="1851">
        <f t="shared" ca="1" si="13"/>
        <v>0</v>
      </c>
      <c r="M104" s="1851">
        <f t="shared" ca="1" si="14"/>
        <v>0</v>
      </c>
      <c r="N104" s="1851">
        <f t="shared" ca="1" si="15"/>
        <v>0</v>
      </c>
      <c r="O104" s="1851">
        <f t="shared" ca="1" si="16"/>
        <v>0</v>
      </c>
      <c r="P104" s="1851">
        <f t="shared" ca="1" si="17"/>
        <v>0</v>
      </c>
      <c r="Q104" s="1851">
        <f t="shared" ca="1" si="18"/>
        <v>0</v>
      </c>
      <c r="R104" s="1851">
        <f t="shared" ca="1" si="19"/>
        <v>0</v>
      </c>
      <c r="S104" s="1851">
        <f t="shared" ca="1" si="20"/>
        <v>0</v>
      </c>
      <c r="T104" s="1851">
        <f t="shared" ca="1" si="21"/>
        <v>0</v>
      </c>
      <c r="U104" s="1851">
        <f t="shared" ca="1" si="22"/>
        <v>0</v>
      </c>
      <c r="V104" s="1851">
        <f t="shared" ca="1" si="23"/>
        <v>0</v>
      </c>
      <c r="W104" s="1851">
        <f t="shared" ca="1" si="24"/>
        <v>0</v>
      </c>
      <c r="X104" s="1868"/>
      <c r="Y104" s="1868"/>
      <c r="Z104" s="1868"/>
      <c r="AA104" s="1868"/>
      <c r="AB104" s="1868"/>
      <c r="AC104" s="1868"/>
      <c r="AD104" s="1868"/>
      <c r="AE104" s="1868"/>
      <c r="AF104" s="1868"/>
      <c r="AG104" s="1868"/>
      <c r="AH104" s="1868"/>
      <c r="AI104" s="1868"/>
      <c r="AJ104" s="1868"/>
      <c r="AK104" s="1868"/>
      <c r="AL104" s="1868"/>
      <c r="AM104" s="1868"/>
      <c r="AN104" s="1868"/>
      <c r="AO104" s="1868"/>
      <c r="AP104" s="1868"/>
      <c r="AQ104" s="1868"/>
      <c r="AR104" s="1868"/>
      <c r="AS104" s="1868"/>
      <c r="AT104" s="1868"/>
      <c r="AU104" s="1868"/>
      <c r="AV104" s="1868"/>
      <c r="AW104" s="1868"/>
      <c r="AX104" s="1868"/>
      <c r="AY104" s="1868"/>
      <c r="AZ104" s="1868"/>
      <c r="BA104" s="1868"/>
      <c r="BB104" s="1868"/>
      <c r="BC104" s="1868"/>
      <c r="BD104" s="1868"/>
      <c r="BE104" s="1868"/>
      <c r="BF104" s="1868"/>
      <c r="BG104" s="1868"/>
      <c r="BH104" s="1868"/>
      <c r="BI104" s="1868"/>
      <c r="BJ104" s="1868"/>
      <c r="BK104" s="1868"/>
      <c r="BL104" s="1868"/>
      <c r="BM104" s="1868"/>
      <c r="BN104" s="1868"/>
      <c r="BO104" s="1868"/>
      <c r="BP104" s="1862"/>
    </row>
    <row r="105" spans="1:68" ht="21">
      <c r="A105" s="1842">
        <v>165</v>
      </c>
      <c r="B105" s="1905"/>
      <c r="C105" s="1929" t="s">
        <v>1132</v>
      </c>
      <c r="D105" s="1930"/>
      <c r="E105" s="1930"/>
      <c r="F105" s="1863" t="s">
        <v>1017</v>
      </c>
      <c r="G105" s="1225" t="s">
        <v>1109</v>
      </c>
      <c r="H105" s="1931" t="s">
        <v>1133</v>
      </c>
      <c r="I105" s="1932"/>
      <c r="J105" s="1932"/>
      <c r="K105" s="1933"/>
      <c r="L105" s="1851">
        <f t="shared" ca="1" si="13"/>
        <v>0</v>
      </c>
      <c r="M105" s="1851">
        <f t="shared" ca="1" si="14"/>
        <v>0</v>
      </c>
      <c r="N105" s="1851">
        <f t="shared" ca="1" si="15"/>
        <v>0</v>
      </c>
      <c r="O105" s="1851">
        <f t="shared" ca="1" si="16"/>
        <v>0</v>
      </c>
      <c r="P105" s="1851">
        <f t="shared" ca="1" si="17"/>
        <v>0</v>
      </c>
      <c r="Q105" s="1851">
        <f t="shared" ca="1" si="18"/>
        <v>0</v>
      </c>
      <c r="R105" s="1851">
        <f t="shared" ca="1" si="19"/>
        <v>0</v>
      </c>
      <c r="S105" s="1851">
        <f t="shared" ca="1" si="20"/>
        <v>0</v>
      </c>
      <c r="T105" s="1851">
        <f t="shared" ca="1" si="21"/>
        <v>0</v>
      </c>
      <c r="U105" s="1851">
        <f t="shared" ca="1" si="22"/>
        <v>0</v>
      </c>
      <c r="V105" s="1851">
        <f t="shared" ca="1" si="23"/>
        <v>0</v>
      </c>
      <c r="W105" s="1851">
        <f t="shared" ca="1" si="24"/>
        <v>0</v>
      </c>
      <c r="X105" s="1868"/>
      <c r="Y105" s="1868"/>
      <c r="Z105" s="1868"/>
      <c r="AA105" s="1868"/>
      <c r="AB105" s="1868"/>
      <c r="AC105" s="1868"/>
      <c r="AD105" s="1868"/>
      <c r="AE105" s="1868"/>
      <c r="AF105" s="1868"/>
      <c r="AG105" s="1868"/>
      <c r="AH105" s="1868"/>
      <c r="AI105" s="1868"/>
      <c r="AJ105" s="1868"/>
      <c r="AK105" s="1868"/>
      <c r="AL105" s="1868"/>
      <c r="AM105" s="1868"/>
      <c r="AN105" s="1868"/>
      <c r="AO105" s="1868"/>
      <c r="AP105" s="1868"/>
      <c r="AQ105" s="1868"/>
      <c r="AR105" s="1868"/>
      <c r="AS105" s="1868"/>
      <c r="AT105" s="1868"/>
      <c r="AU105" s="1868"/>
      <c r="AV105" s="1868"/>
      <c r="AW105" s="1868"/>
      <c r="AX105" s="1868"/>
      <c r="AY105" s="1868"/>
      <c r="AZ105" s="1868"/>
      <c r="BA105" s="1868"/>
      <c r="BB105" s="1868"/>
      <c r="BC105" s="1868"/>
      <c r="BD105" s="1868"/>
      <c r="BE105" s="1868"/>
      <c r="BF105" s="1868"/>
      <c r="BG105" s="1868"/>
      <c r="BH105" s="1868"/>
      <c r="BI105" s="1868"/>
      <c r="BJ105" s="1868"/>
      <c r="BK105" s="1868"/>
      <c r="BL105" s="1868"/>
      <c r="BM105" s="1868"/>
      <c r="BN105" s="1868"/>
      <c r="BO105" s="1868"/>
      <c r="BP105" s="1862"/>
    </row>
    <row r="106" spans="1:68" ht="19.5" customHeight="1">
      <c r="A106" s="1842">
        <v>166</v>
      </c>
      <c r="B106" s="1905"/>
      <c r="C106" s="1934" t="s">
        <v>1134</v>
      </c>
      <c r="D106" s="1919" t="s">
        <v>1135</v>
      </c>
      <c r="E106" s="1899" t="s">
        <v>1136</v>
      </c>
      <c r="F106" s="1863"/>
      <c r="G106" s="1225" t="s">
        <v>1125</v>
      </c>
      <c r="H106" s="1935">
        <f ca="1">OFFSET(貼付け_2024実績,$A106,14)</f>
        <v>0</v>
      </c>
      <c r="I106" s="1935">
        <f ca="1">OFFSET(貼付け_2025実績,$A106,14)</f>
        <v>0</v>
      </c>
      <c r="J106" s="1935">
        <f ca="1">OFFSET(貼付け_2026実績,$A106,14)</f>
        <v>0</v>
      </c>
      <c r="K106" s="1935">
        <f ca="1">OFFSET(貼付け_2027実績,$A106,14)</f>
        <v>0</v>
      </c>
      <c r="L106" s="1851">
        <f t="shared" ca="1" si="13"/>
        <v>0</v>
      </c>
      <c r="M106" s="1851">
        <f t="shared" ca="1" si="14"/>
        <v>0</v>
      </c>
      <c r="N106" s="1851">
        <f t="shared" ca="1" si="15"/>
        <v>0</v>
      </c>
      <c r="O106" s="1851">
        <f t="shared" ca="1" si="16"/>
        <v>0</v>
      </c>
      <c r="P106" s="1851">
        <f t="shared" ca="1" si="17"/>
        <v>0</v>
      </c>
      <c r="Q106" s="1851">
        <f t="shared" ca="1" si="18"/>
        <v>0</v>
      </c>
      <c r="R106" s="1851">
        <f t="shared" ca="1" si="19"/>
        <v>0</v>
      </c>
      <c r="S106" s="1851">
        <f t="shared" ca="1" si="20"/>
        <v>0</v>
      </c>
      <c r="T106" s="1851">
        <f t="shared" ca="1" si="21"/>
        <v>0</v>
      </c>
      <c r="U106" s="1851">
        <f t="shared" ca="1" si="22"/>
        <v>0</v>
      </c>
      <c r="V106" s="1851">
        <f t="shared" ca="1" si="23"/>
        <v>0</v>
      </c>
      <c r="W106" s="1851">
        <f t="shared" ca="1" si="24"/>
        <v>0</v>
      </c>
      <c r="X106" s="1868"/>
      <c r="Y106" s="1868"/>
      <c r="Z106" s="1868"/>
      <c r="AA106" s="1868"/>
      <c r="AB106" s="1868"/>
      <c r="AC106" s="1868"/>
      <c r="AD106" s="1868"/>
      <c r="AE106" s="1868"/>
      <c r="AF106" s="1868"/>
      <c r="AG106" s="1868"/>
      <c r="AH106" s="1868"/>
      <c r="AI106" s="1868"/>
      <c r="AJ106" s="1868"/>
      <c r="AK106" s="1868"/>
      <c r="AL106" s="1868"/>
      <c r="AM106" s="1868"/>
      <c r="AN106" s="1868"/>
      <c r="AO106" s="1868"/>
      <c r="AP106" s="1868"/>
      <c r="AQ106" s="1868"/>
      <c r="AR106" s="1868"/>
      <c r="AS106" s="1868"/>
      <c r="AT106" s="1868"/>
      <c r="AU106" s="1868"/>
      <c r="AV106" s="1868"/>
      <c r="AW106" s="1868"/>
      <c r="AX106" s="1868"/>
      <c r="AY106" s="1868"/>
      <c r="AZ106" s="1868"/>
      <c r="BA106" s="1868"/>
      <c r="BB106" s="1868"/>
      <c r="BC106" s="1868"/>
      <c r="BD106" s="1868"/>
      <c r="BE106" s="1868"/>
      <c r="BF106" s="1868"/>
      <c r="BG106" s="1868"/>
      <c r="BH106" s="1868"/>
      <c r="BI106" s="1868"/>
      <c r="BJ106" s="1868"/>
      <c r="BK106" s="1868"/>
      <c r="BL106" s="1868"/>
      <c r="BM106" s="1868"/>
      <c r="BN106" s="1868"/>
      <c r="BO106" s="1868"/>
      <c r="BP106" s="1862"/>
    </row>
    <row r="107" spans="1:68" ht="21">
      <c r="A107" s="1842"/>
      <c r="B107" s="1905"/>
      <c r="C107" s="1936"/>
      <c r="D107" s="1924"/>
      <c r="E107" s="1899" t="s">
        <v>1137</v>
      </c>
      <c r="F107" s="1863"/>
      <c r="G107" s="1225" t="s">
        <v>1109</v>
      </c>
      <c r="H107" s="1931" t="s">
        <v>1138</v>
      </c>
      <c r="I107" s="1932"/>
      <c r="J107" s="1932"/>
      <c r="K107" s="1933"/>
      <c r="L107" s="1937">
        <f ca="1">L106*$H$106*$H$108</f>
        <v>0</v>
      </c>
      <c r="M107" s="1937">
        <f ca="1">M106*$I$106*$I$108</f>
        <v>0</v>
      </c>
      <c r="N107" s="1937">
        <f ca="1">N106*$J$106*$J$108</f>
        <v>0</v>
      </c>
      <c r="O107" s="1937">
        <f ca="1">O106*$K$106*$K$108</f>
        <v>0</v>
      </c>
      <c r="P107" s="1937">
        <f ca="1">P106*$H$106*$H$108</f>
        <v>0</v>
      </c>
      <c r="Q107" s="1937">
        <f ca="1">Q106*$I$106*$I$108</f>
        <v>0</v>
      </c>
      <c r="R107" s="1937">
        <f ca="1">R106*$J$106*$J$108</f>
        <v>0</v>
      </c>
      <c r="S107" s="1937">
        <f ca="1">S106*$K$106*$K$108</f>
        <v>0</v>
      </c>
      <c r="T107" s="1937">
        <f ca="1">T106*$H$106*$H$108</f>
        <v>0</v>
      </c>
      <c r="U107" s="1937">
        <f ca="1">U106*$I$106*$I$108</f>
        <v>0</v>
      </c>
      <c r="V107" s="1937">
        <f ca="1">V106*$J$106*$J$108</f>
        <v>0</v>
      </c>
      <c r="W107" s="1937">
        <f ca="1">W106*$K$106*$K$108</f>
        <v>0</v>
      </c>
      <c r="X107" s="1868"/>
      <c r="Y107" s="1868"/>
      <c r="Z107" s="1868"/>
      <c r="AA107" s="1868"/>
      <c r="AB107" s="1868"/>
      <c r="AC107" s="1868"/>
      <c r="AD107" s="1868"/>
      <c r="AE107" s="1868"/>
      <c r="AF107" s="1868"/>
      <c r="AG107" s="1868"/>
      <c r="AH107" s="1868"/>
      <c r="AI107" s="1868"/>
      <c r="AJ107" s="1868"/>
      <c r="AK107" s="1868"/>
      <c r="AL107" s="1868"/>
      <c r="AM107" s="1868"/>
      <c r="AN107" s="1868"/>
      <c r="AO107" s="1868"/>
      <c r="AP107" s="1868"/>
      <c r="AQ107" s="1868"/>
      <c r="AR107" s="1868"/>
      <c r="AS107" s="1868"/>
      <c r="AT107" s="1868"/>
      <c r="AU107" s="1868"/>
      <c r="AV107" s="1868"/>
      <c r="AW107" s="1868"/>
      <c r="AX107" s="1868"/>
      <c r="AY107" s="1868"/>
      <c r="AZ107" s="1868"/>
      <c r="BA107" s="1868"/>
      <c r="BB107" s="1868"/>
      <c r="BC107" s="1868"/>
      <c r="BD107" s="1868"/>
      <c r="BE107" s="1868"/>
      <c r="BF107" s="1868"/>
      <c r="BG107" s="1868"/>
      <c r="BH107" s="1868"/>
      <c r="BI107" s="1868"/>
      <c r="BJ107" s="1868"/>
      <c r="BK107" s="1868"/>
      <c r="BL107" s="1868"/>
      <c r="BM107" s="1868"/>
      <c r="BN107" s="1868"/>
      <c r="BO107" s="1868"/>
      <c r="BP107" s="1862"/>
    </row>
    <row r="108" spans="1:68">
      <c r="A108" s="1842">
        <v>167</v>
      </c>
      <c r="B108" s="1905"/>
      <c r="C108" s="1936"/>
      <c r="D108" s="1919" t="s">
        <v>1139</v>
      </c>
      <c r="E108" s="1899" t="s">
        <v>1136</v>
      </c>
      <c r="F108" s="1863"/>
      <c r="G108" s="1225" t="s">
        <v>1125</v>
      </c>
      <c r="H108" s="1935">
        <f ca="1">OFFSET(貼付け_2024実績,$A108,14)</f>
        <v>0</v>
      </c>
      <c r="I108" s="1935">
        <f ca="1">OFFSET(貼付け_2025実績,$A108,14)</f>
        <v>0</v>
      </c>
      <c r="J108" s="1935">
        <f ca="1">OFFSET(貼付け_2026実績,$A108,14)</f>
        <v>0</v>
      </c>
      <c r="K108" s="1935">
        <f ca="1">OFFSET(貼付け_2027実績,$A108,14)</f>
        <v>0</v>
      </c>
      <c r="L108" s="1851">
        <f ca="1">SUM(P108,T108)</f>
        <v>0</v>
      </c>
      <c r="M108" s="1851">
        <f ca="1">SUM(Q108,U108)</f>
        <v>0</v>
      </c>
      <c r="N108" s="1851">
        <f ca="1">SUM(R108,V108)</f>
        <v>0</v>
      </c>
      <c r="O108" s="1851">
        <f ca="1">SUM(S108,W108)</f>
        <v>0</v>
      </c>
      <c r="P108" s="1851">
        <f ca="1">IFERROR(OFFSET(貼付け_2024実績,$A108,8)+OFFSET(貼付け_2024実績,$A108,9),"")</f>
        <v>0</v>
      </c>
      <c r="Q108" s="1851">
        <f ca="1">IFERROR(OFFSET(貼付け_2025実績,$A108,8)+OFFSET(貼付け_2025実績,$A108,9),"")</f>
        <v>0</v>
      </c>
      <c r="R108" s="1851">
        <f ca="1">IFERROR(OFFSET(貼付け_2026実績,$A108,8)+OFFSET(貼付け_2026実績,$A108,9),"")</f>
        <v>0</v>
      </c>
      <c r="S108" s="1851">
        <f ca="1">IFERROR(OFFSET(貼付け_2027実績,$A108,8)+OFFSET(貼付け_2027実績,$A108,9),"")</f>
        <v>0</v>
      </c>
      <c r="T108" s="1851">
        <f ca="1">IFERROR(OFFSET(貼付け_2024実績,$A108,7),"")</f>
        <v>0</v>
      </c>
      <c r="U108" s="1851">
        <f ca="1">IFERROR(OFFSET(貼付け_2025実績,$A108,7),"")</f>
        <v>0</v>
      </c>
      <c r="V108" s="1851">
        <f ca="1">IFERROR(OFFSET(貼付け_2026実績,$A108,7,),"")</f>
        <v>0</v>
      </c>
      <c r="W108" s="1851">
        <f ca="1">IFERROR(OFFSET(貼付け_2027実績,$A108,7),"")</f>
        <v>0</v>
      </c>
      <c r="X108" s="1868"/>
      <c r="Y108" s="1868"/>
      <c r="Z108" s="1868"/>
      <c r="AA108" s="1868"/>
      <c r="AB108" s="1868"/>
      <c r="AC108" s="1868"/>
      <c r="AD108" s="1868"/>
      <c r="AE108" s="1868"/>
      <c r="AF108" s="1868"/>
      <c r="AG108" s="1868"/>
      <c r="AH108" s="1868"/>
      <c r="AI108" s="1868"/>
      <c r="AJ108" s="1868"/>
      <c r="AK108" s="1868"/>
      <c r="AL108" s="1868"/>
      <c r="AM108" s="1868"/>
      <c r="AN108" s="1868"/>
      <c r="AO108" s="1868"/>
      <c r="AP108" s="1868"/>
      <c r="AQ108" s="1868"/>
      <c r="AR108" s="1868"/>
      <c r="AS108" s="1868"/>
      <c r="AT108" s="1868"/>
      <c r="AU108" s="1868"/>
      <c r="AV108" s="1868"/>
      <c r="AW108" s="1868"/>
      <c r="AX108" s="1868"/>
      <c r="AY108" s="1868"/>
      <c r="AZ108" s="1868"/>
      <c r="BA108" s="1868"/>
      <c r="BB108" s="1868"/>
      <c r="BC108" s="1868"/>
      <c r="BD108" s="1868"/>
      <c r="BE108" s="1868"/>
      <c r="BF108" s="1868"/>
      <c r="BG108" s="1868"/>
      <c r="BH108" s="1868"/>
      <c r="BI108" s="1868"/>
      <c r="BJ108" s="1868"/>
      <c r="BK108" s="1868"/>
      <c r="BL108" s="1868"/>
      <c r="BM108" s="1868"/>
      <c r="BN108" s="1868"/>
      <c r="BO108" s="1868"/>
      <c r="BP108" s="1862"/>
    </row>
    <row r="109" spans="1:68" ht="21">
      <c r="A109" s="1842"/>
      <c r="B109" s="1905"/>
      <c r="C109" s="1936"/>
      <c r="D109" s="1924"/>
      <c r="E109" s="1899" t="s">
        <v>1137</v>
      </c>
      <c r="F109" s="1863"/>
      <c r="G109" s="1225" t="s">
        <v>1109</v>
      </c>
      <c r="H109" s="1931" t="s">
        <v>1140</v>
      </c>
      <c r="I109" s="1932"/>
      <c r="J109" s="1932"/>
      <c r="K109" s="1933"/>
      <c r="L109" s="1937">
        <f ca="1">L108*$H$106*$H$110</f>
        <v>0</v>
      </c>
      <c r="M109" s="1937">
        <f ca="1">M108*$I$106*$I$110</f>
        <v>0</v>
      </c>
      <c r="N109" s="1937">
        <f ca="1">N108*$J$106*$J$110</f>
        <v>0</v>
      </c>
      <c r="O109" s="1937">
        <f ca="1">O108*$K$106*$K$110</f>
        <v>0</v>
      </c>
      <c r="P109" s="1937">
        <f ca="1">P108*$H$106*$H$110</f>
        <v>0</v>
      </c>
      <c r="Q109" s="1937">
        <f ca="1">Q108*$I$106*$I$110</f>
        <v>0</v>
      </c>
      <c r="R109" s="1937">
        <f ca="1">R108*$J$106*$J$110</f>
        <v>0</v>
      </c>
      <c r="S109" s="1937">
        <f ca="1">S108*$K$106*$K$110</f>
        <v>0</v>
      </c>
      <c r="T109" s="1937">
        <f ca="1">T108*$H$106*$H$110</f>
        <v>0</v>
      </c>
      <c r="U109" s="1937">
        <f ca="1">U108*$I$106*$I$110</f>
        <v>0</v>
      </c>
      <c r="V109" s="1937">
        <f ca="1">V108*$J$106*$J$110</f>
        <v>0</v>
      </c>
      <c r="W109" s="1937">
        <f ca="1">W108*$K$106*$K$110</f>
        <v>0</v>
      </c>
      <c r="X109" s="1868"/>
      <c r="Y109" s="1868"/>
      <c r="Z109" s="1868"/>
      <c r="AA109" s="1868"/>
      <c r="AB109" s="1868"/>
      <c r="AC109" s="1868"/>
      <c r="AD109" s="1868"/>
      <c r="AE109" s="1868"/>
      <c r="AF109" s="1868"/>
      <c r="AG109" s="1868"/>
      <c r="AH109" s="1868"/>
      <c r="AI109" s="1868"/>
      <c r="AJ109" s="1868"/>
      <c r="AK109" s="1868"/>
      <c r="AL109" s="1868"/>
      <c r="AM109" s="1868"/>
      <c r="AN109" s="1868"/>
      <c r="AO109" s="1868"/>
      <c r="AP109" s="1868"/>
      <c r="AQ109" s="1868"/>
      <c r="AR109" s="1868"/>
      <c r="AS109" s="1868"/>
      <c r="AT109" s="1868"/>
      <c r="AU109" s="1868"/>
      <c r="AV109" s="1868"/>
      <c r="AW109" s="1868"/>
      <c r="AX109" s="1868"/>
      <c r="AY109" s="1868"/>
      <c r="AZ109" s="1868"/>
      <c r="BA109" s="1868"/>
      <c r="BB109" s="1868"/>
      <c r="BC109" s="1868"/>
      <c r="BD109" s="1868"/>
      <c r="BE109" s="1868"/>
      <c r="BF109" s="1868"/>
      <c r="BG109" s="1868"/>
      <c r="BH109" s="1868"/>
      <c r="BI109" s="1868"/>
      <c r="BJ109" s="1868"/>
      <c r="BK109" s="1868"/>
      <c r="BL109" s="1868"/>
      <c r="BM109" s="1868"/>
      <c r="BN109" s="1868"/>
      <c r="BO109" s="1868"/>
      <c r="BP109" s="1862"/>
    </row>
    <row r="110" spans="1:68">
      <c r="A110" s="1842">
        <v>168</v>
      </c>
      <c r="B110" s="1905"/>
      <c r="C110" s="1936"/>
      <c r="D110" s="1919" t="s">
        <v>1141</v>
      </c>
      <c r="E110" s="1899" t="s">
        <v>1136</v>
      </c>
      <c r="F110" s="1863"/>
      <c r="G110" s="1225" t="s">
        <v>1125</v>
      </c>
      <c r="H110" s="1935">
        <f ca="1">OFFSET(貼付け_2024実績,$A110,14)</f>
        <v>0</v>
      </c>
      <c r="I110" s="1935">
        <f ca="1">OFFSET(貼付け_2025実績,$A110,14)</f>
        <v>0</v>
      </c>
      <c r="J110" s="1935">
        <f ca="1">OFFSET(貼付け_2026実績,$A110,14)</f>
        <v>0</v>
      </c>
      <c r="K110" s="1935">
        <f ca="1">OFFSET(貼付け_2027実績,$A110,14)</f>
        <v>0</v>
      </c>
      <c r="L110" s="1851">
        <f ca="1">SUM(P110,T110)</f>
        <v>0</v>
      </c>
      <c r="M110" s="1851">
        <f ca="1">SUM(Q110,U110)</f>
        <v>0</v>
      </c>
      <c r="N110" s="1851">
        <f ca="1">SUM(R110,V110)</f>
        <v>0</v>
      </c>
      <c r="O110" s="1851">
        <f ca="1">SUM(S110,W110)</f>
        <v>0</v>
      </c>
      <c r="P110" s="1851">
        <f ca="1">IFERROR(OFFSET(貼付け_2024実績,$A110,8)+OFFSET(貼付け_2024実績,$A110,9),"")</f>
        <v>0</v>
      </c>
      <c r="Q110" s="1851">
        <f ca="1">IFERROR(OFFSET(貼付け_2025実績,$A110,8)+OFFSET(貼付け_2025実績,$A110,9),"")</f>
        <v>0</v>
      </c>
      <c r="R110" s="1851">
        <f ca="1">IFERROR(OFFSET(貼付け_2026実績,$A110,8)+OFFSET(貼付け_2026実績,$A110,9),"")</f>
        <v>0</v>
      </c>
      <c r="S110" s="1851">
        <f ca="1">IFERROR(OFFSET(貼付け_2027実績,$A110,8)+OFFSET(貼付け_2027実績,$A110,9),"")</f>
        <v>0</v>
      </c>
      <c r="T110" s="1851">
        <f ca="1">IFERROR(OFFSET(貼付け_2024実績,$A110,7),"")</f>
        <v>0</v>
      </c>
      <c r="U110" s="1851">
        <f ca="1">IFERROR(OFFSET(貼付け_2025実績,$A110,7),"")</f>
        <v>0</v>
      </c>
      <c r="V110" s="1851">
        <f ca="1">IFERROR(OFFSET(貼付け_2026実績,$A110,7,),"")</f>
        <v>0</v>
      </c>
      <c r="W110" s="1851">
        <f ca="1">IFERROR(OFFSET(貼付け_2027実績,$A110,7),"")</f>
        <v>0</v>
      </c>
      <c r="X110" s="1868"/>
      <c r="Y110" s="1868"/>
      <c r="Z110" s="1868"/>
      <c r="AA110" s="1868"/>
      <c r="AB110" s="1868"/>
      <c r="AC110" s="1868"/>
      <c r="AD110" s="1868"/>
      <c r="AE110" s="1868"/>
      <c r="AF110" s="1868"/>
      <c r="AG110" s="1868"/>
      <c r="AH110" s="1868"/>
      <c r="AI110" s="1868"/>
      <c r="AJ110" s="1868"/>
      <c r="AK110" s="1868"/>
      <c r="AL110" s="1868"/>
      <c r="AM110" s="1868"/>
      <c r="AN110" s="1868"/>
      <c r="AO110" s="1868"/>
      <c r="AP110" s="1868"/>
      <c r="AQ110" s="1868"/>
      <c r="AR110" s="1868"/>
      <c r="AS110" s="1868"/>
      <c r="AT110" s="1868"/>
      <c r="AU110" s="1868"/>
      <c r="AV110" s="1868"/>
      <c r="AW110" s="1868"/>
      <c r="AX110" s="1868"/>
      <c r="AY110" s="1868"/>
      <c r="AZ110" s="1868"/>
      <c r="BA110" s="1868"/>
      <c r="BB110" s="1868"/>
      <c r="BC110" s="1868"/>
      <c r="BD110" s="1868"/>
      <c r="BE110" s="1868"/>
      <c r="BF110" s="1868"/>
      <c r="BG110" s="1868"/>
      <c r="BH110" s="1868"/>
      <c r="BI110" s="1868"/>
      <c r="BJ110" s="1868"/>
      <c r="BK110" s="1868"/>
      <c r="BL110" s="1868"/>
      <c r="BM110" s="1868"/>
      <c r="BN110" s="1868"/>
      <c r="BO110" s="1868"/>
      <c r="BP110" s="1862"/>
    </row>
    <row r="111" spans="1:68" ht="21">
      <c r="A111" s="1842"/>
      <c r="B111" s="1905"/>
      <c r="C111" s="1936"/>
      <c r="D111" s="1924"/>
      <c r="E111" s="1899" t="s">
        <v>1137</v>
      </c>
      <c r="F111" s="1863"/>
      <c r="G111" s="1225" t="s">
        <v>1109</v>
      </c>
      <c r="H111" s="1938"/>
      <c r="I111" s="1938"/>
      <c r="J111" s="1938"/>
      <c r="K111" s="1938"/>
      <c r="L111" s="1937">
        <f ca="1">L110*$H$106*$H$110</f>
        <v>0</v>
      </c>
      <c r="M111" s="1937">
        <f ca="1">M110*$I$106*$I$110</f>
        <v>0</v>
      </c>
      <c r="N111" s="1937">
        <f ca="1">N110*$J$106*$J$110</f>
        <v>0</v>
      </c>
      <c r="O111" s="1937">
        <f ca="1">O110*$K$106*$K$110</f>
        <v>0</v>
      </c>
      <c r="P111" s="1937">
        <f ca="1">P110*$H$106*$H$110</f>
        <v>0</v>
      </c>
      <c r="Q111" s="1937">
        <f ca="1">Q110*$I$106*$I$110</f>
        <v>0</v>
      </c>
      <c r="R111" s="1937">
        <f ca="1">R110*$J$106*$J$110</f>
        <v>0</v>
      </c>
      <c r="S111" s="1937">
        <f ca="1">S110*$K$106*$K$110</f>
        <v>0</v>
      </c>
      <c r="T111" s="1937">
        <f ca="1">T110*$H$106*$H$110</f>
        <v>0</v>
      </c>
      <c r="U111" s="1937">
        <f ca="1">U110*$I$106*$I$110</f>
        <v>0</v>
      </c>
      <c r="V111" s="1937">
        <f ca="1">V110*$J$106*$J$110</f>
        <v>0</v>
      </c>
      <c r="W111" s="1937">
        <f ca="1">W110*$K$106*$K$110</f>
        <v>0</v>
      </c>
      <c r="X111" s="1868"/>
      <c r="Y111" s="1868"/>
      <c r="Z111" s="1868"/>
      <c r="AA111" s="1868"/>
      <c r="AB111" s="1868"/>
      <c r="AC111" s="1868"/>
      <c r="AD111" s="1868"/>
      <c r="AE111" s="1868"/>
      <c r="AF111" s="1868"/>
      <c r="AG111" s="1868"/>
      <c r="AH111" s="1868"/>
      <c r="AI111" s="1868"/>
      <c r="AJ111" s="1868"/>
      <c r="AK111" s="1868"/>
      <c r="AL111" s="1868"/>
      <c r="AM111" s="1868"/>
      <c r="AN111" s="1868"/>
      <c r="AO111" s="1868"/>
      <c r="AP111" s="1868"/>
      <c r="AQ111" s="1868"/>
      <c r="AR111" s="1868"/>
      <c r="AS111" s="1868"/>
      <c r="AT111" s="1868"/>
      <c r="AU111" s="1868"/>
      <c r="AV111" s="1868"/>
      <c r="AW111" s="1868"/>
      <c r="AX111" s="1868"/>
      <c r="AY111" s="1868"/>
      <c r="AZ111" s="1868"/>
      <c r="BA111" s="1868"/>
      <c r="BB111" s="1868"/>
      <c r="BC111" s="1868"/>
      <c r="BD111" s="1868"/>
      <c r="BE111" s="1868"/>
      <c r="BF111" s="1868"/>
      <c r="BG111" s="1868"/>
      <c r="BH111" s="1868"/>
      <c r="BI111" s="1868"/>
      <c r="BJ111" s="1868"/>
      <c r="BK111" s="1868"/>
      <c r="BL111" s="1868"/>
      <c r="BM111" s="1868"/>
      <c r="BN111" s="1868"/>
      <c r="BO111" s="1868"/>
      <c r="BP111" s="1862"/>
    </row>
    <row r="112" spans="1:68">
      <c r="A112" s="1842"/>
      <c r="B112" s="1905"/>
      <c r="C112" s="1936"/>
      <c r="D112" s="1939" t="s">
        <v>992</v>
      </c>
      <c r="E112" s="1899" t="s">
        <v>1136</v>
      </c>
      <c r="F112" s="1863" t="s">
        <v>1019</v>
      </c>
      <c r="G112" s="1225" t="s">
        <v>1125</v>
      </c>
      <c r="H112" s="1938"/>
      <c r="I112" s="1938"/>
      <c r="J112" s="1938"/>
      <c r="K112" s="1938"/>
      <c r="L112" s="1888">
        <f t="shared" ref="L112:W112" ca="1" si="25">SUM(L106,L108,L110)</f>
        <v>0</v>
      </c>
      <c r="M112" s="1888">
        <f t="shared" ca="1" si="25"/>
        <v>0</v>
      </c>
      <c r="N112" s="1888">
        <f t="shared" ca="1" si="25"/>
        <v>0</v>
      </c>
      <c r="O112" s="1888">
        <f t="shared" ca="1" si="25"/>
        <v>0</v>
      </c>
      <c r="P112" s="1888">
        <f t="shared" ca="1" si="25"/>
        <v>0</v>
      </c>
      <c r="Q112" s="1888">
        <f t="shared" ca="1" si="25"/>
        <v>0</v>
      </c>
      <c r="R112" s="1888">
        <f t="shared" ca="1" si="25"/>
        <v>0</v>
      </c>
      <c r="S112" s="1888">
        <f t="shared" ca="1" si="25"/>
        <v>0</v>
      </c>
      <c r="T112" s="1888">
        <f t="shared" ca="1" si="25"/>
        <v>0</v>
      </c>
      <c r="U112" s="1888">
        <f t="shared" ca="1" si="25"/>
        <v>0</v>
      </c>
      <c r="V112" s="1888">
        <f t="shared" ca="1" si="25"/>
        <v>0</v>
      </c>
      <c r="W112" s="1888">
        <f t="shared" ca="1" si="25"/>
        <v>0</v>
      </c>
      <c r="X112" s="1868"/>
      <c r="Y112" s="1868"/>
      <c r="Z112" s="1868"/>
      <c r="AA112" s="1868"/>
      <c r="AB112" s="1868"/>
      <c r="AC112" s="1868"/>
      <c r="AD112" s="1868"/>
      <c r="AE112" s="1868"/>
      <c r="AF112" s="1868"/>
      <c r="AG112" s="1868"/>
      <c r="AH112" s="1868"/>
      <c r="AI112" s="1868"/>
      <c r="AJ112" s="1868"/>
      <c r="AK112" s="1868"/>
      <c r="AL112" s="1868"/>
      <c r="AM112" s="1868"/>
      <c r="AN112" s="1868"/>
      <c r="AO112" s="1868"/>
      <c r="AP112" s="1868"/>
      <c r="AQ112" s="1868"/>
      <c r="AR112" s="1868"/>
      <c r="AS112" s="1868"/>
      <c r="AT112" s="1868"/>
      <c r="AU112" s="1868"/>
      <c r="AV112" s="1868"/>
      <c r="AW112" s="1868"/>
      <c r="AX112" s="1868"/>
      <c r="AY112" s="1868"/>
      <c r="AZ112" s="1868"/>
      <c r="BA112" s="1868"/>
      <c r="BB112" s="1868"/>
      <c r="BC112" s="1868"/>
      <c r="BD112" s="1868"/>
      <c r="BE112" s="1868"/>
      <c r="BF112" s="1868"/>
      <c r="BG112" s="1868"/>
      <c r="BH112" s="1868"/>
      <c r="BI112" s="1868"/>
      <c r="BJ112" s="1868"/>
      <c r="BK112" s="1868"/>
      <c r="BL112" s="1868"/>
      <c r="BM112" s="1868"/>
      <c r="BN112" s="1868"/>
      <c r="BO112" s="1868"/>
      <c r="BP112" s="1862"/>
    </row>
    <row r="113" spans="1:68" ht="21">
      <c r="A113" s="1842"/>
      <c r="B113" s="1905"/>
      <c r="C113" s="1940"/>
      <c r="D113" s="1941"/>
      <c r="E113" s="1899" t="s">
        <v>1137</v>
      </c>
      <c r="F113" s="1863" t="s">
        <v>1021</v>
      </c>
      <c r="G113" s="1225" t="s">
        <v>1109</v>
      </c>
      <c r="H113" s="1867"/>
      <c r="I113" s="1867"/>
      <c r="J113" s="1867"/>
      <c r="K113" s="1867"/>
      <c r="L113" s="1851">
        <f t="shared" ref="L113:W113" ca="1" si="26">SUM(L107,L109,L111)</f>
        <v>0</v>
      </c>
      <c r="M113" s="1851">
        <f t="shared" ca="1" si="26"/>
        <v>0</v>
      </c>
      <c r="N113" s="1851">
        <f t="shared" ca="1" si="26"/>
        <v>0</v>
      </c>
      <c r="O113" s="1851">
        <f t="shared" ca="1" si="26"/>
        <v>0</v>
      </c>
      <c r="P113" s="1888">
        <f t="shared" ca="1" si="26"/>
        <v>0</v>
      </c>
      <c r="Q113" s="1888">
        <f t="shared" ca="1" si="26"/>
        <v>0</v>
      </c>
      <c r="R113" s="1888">
        <f t="shared" ca="1" si="26"/>
        <v>0</v>
      </c>
      <c r="S113" s="1888">
        <f t="shared" ca="1" si="26"/>
        <v>0</v>
      </c>
      <c r="T113" s="1888">
        <f t="shared" ca="1" si="26"/>
        <v>0</v>
      </c>
      <c r="U113" s="1888">
        <f t="shared" ca="1" si="26"/>
        <v>0</v>
      </c>
      <c r="V113" s="1888">
        <f t="shared" ca="1" si="26"/>
        <v>0</v>
      </c>
      <c r="W113" s="1888">
        <f t="shared" ca="1" si="26"/>
        <v>0</v>
      </c>
      <c r="X113" s="1868"/>
      <c r="Y113" s="1868"/>
      <c r="Z113" s="1868"/>
      <c r="AA113" s="1868"/>
      <c r="AB113" s="1868"/>
      <c r="AC113" s="1868"/>
      <c r="AD113" s="1868"/>
      <c r="AE113" s="1868"/>
      <c r="AF113" s="1868"/>
      <c r="AG113" s="1868"/>
      <c r="AH113" s="1868"/>
      <c r="AI113" s="1868"/>
      <c r="AJ113" s="1868"/>
      <c r="AK113" s="1868"/>
      <c r="AL113" s="1868"/>
      <c r="AM113" s="1868"/>
      <c r="AN113" s="1868"/>
      <c r="AO113" s="1868"/>
      <c r="AP113" s="1868"/>
      <c r="AQ113" s="1868"/>
      <c r="AR113" s="1868"/>
      <c r="AS113" s="1868"/>
      <c r="AT113" s="1868"/>
      <c r="AU113" s="1868"/>
      <c r="AV113" s="1868"/>
      <c r="AW113" s="1868"/>
      <c r="AX113" s="1868"/>
      <c r="AY113" s="1868"/>
      <c r="AZ113" s="1868"/>
      <c r="BA113" s="1868"/>
      <c r="BB113" s="1868"/>
      <c r="BC113" s="1868"/>
      <c r="BD113" s="1868"/>
      <c r="BE113" s="1868"/>
      <c r="BF113" s="1868"/>
      <c r="BG113" s="1868"/>
      <c r="BH113" s="1868"/>
      <c r="BI113" s="1868"/>
      <c r="BJ113" s="1868"/>
      <c r="BK113" s="1868"/>
      <c r="BL113" s="1868"/>
      <c r="BM113" s="1868"/>
      <c r="BN113" s="1868"/>
      <c r="BO113" s="1868"/>
      <c r="BP113" s="1862"/>
    </row>
    <row r="114" spans="1:68" ht="21">
      <c r="A114" s="1842"/>
      <c r="B114" s="1905"/>
      <c r="C114" s="1929" t="s">
        <v>1142</v>
      </c>
      <c r="D114" s="1942"/>
      <c r="E114" s="1900"/>
      <c r="F114" s="1863"/>
      <c r="G114" s="1225" t="s">
        <v>1109</v>
      </c>
      <c r="H114" s="1867"/>
      <c r="I114" s="1867"/>
      <c r="J114" s="1867"/>
      <c r="K114" s="1867"/>
      <c r="L114" s="1937">
        <f ca="1">ROUNDDOWN(IF(L95+L100+L113&gt;=L91,L91,L95+L100+L113),0)</f>
        <v>0</v>
      </c>
      <c r="M114" s="1937">
        <f t="shared" ref="M114:W114" ca="1" si="27">ROUNDDOWN(IF(M95+M100+M113&gt;=M91,M91,M95+M100+M113),0)</f>
        <v>0</v>
      </c>
      <c r="N114" s="1937">
        <f t="shared" ca="1" si="27"/>
        <v>0</v>
      </c>
      <c r="O114" s="1937">
        <f t="shared" ca="1" si="27"/>
        <v>0</v>
      </c>
      <c r="P114" s="1937">
        <f t="shared" ca="1" si="27"/>
        <v>0</v>
      </c>
      <c r="Q114" s="1937">
        <f t="shared" ca="1" si="27"/>
        <v>0</v>
      </c>
      <c r="R114" s="1937">
        <f t="shared" ca="1" si="27"/>
        <v>0</v>
      </c>
      <c r="S114" s="1937">
        <f t="shared" ca="1" si="27"/>
        <v>0</v>
      </c>
      <c r="T114" s="1937">
        <f t="shared" ca="1" si="27"/>
        <v>0</v>
      </c>
      <c r="U114" s="1937">
        <f t="shared" ca="1" si="27"/>
        <v>0</v>
      </c>
      <c r="V114" s="1937">
        <f t="shared" ca="1" si="27"/>
        <v>0</v>
      </c>
      <c r="W114" s="1937">
        <f t="shared" ca="1" si="27"/>
        <v>0</v>
      </c>
      <c r="X114" s="1868"/>
      <c r="Y114" s="1868"/>
      <c r="Z114" s="1868"/>
      <c r="AA114" s="1868"/>
      <c r="AB114" s="1868"/>
      <c r="AC114" s="1868"/>
      <c r="AD114" s="1868"/>
      <c r="AE114" s="1868"/>
      <c r="AF114" s="1868"/>
      <c r="AG114" s="1868"/>
      <c r="AH114" s="1868"/>
      <c r="AI114" s="1868"/>
      <c r="AJ114" s="1868"/>
      <c r="AK114" s="1868"/>
      <c r="AL114" s="1868"/>
      <c r="AM114" s="1868"/>
      <c r="AN114" s="1868"/>
      <c r="AO114" s="1868"/>
      <c r="AP114" s="1868"/>
      <c r="AQ114" s="1868"/>
      <c r="AR114" s="1868"/>
      <c r="AS114" s="1868"/>
      <c r="AT114" s="1868"/>
      <c r="AU114" s="1868"/>
      <c r="AV114" s="1868"/>
      <c r="AW114" s="1868"/>
      <c r="AX114" s="1868"/>
      <c r="AY114" s="1868"/>
      <c r="AZ114" s="1868"/>
      <c r="BA114" s="1868"/>
      <c r="BB114" s="1868"/>
      <c r="BC114" s="1868"/>
      <c r="BD114" s="1868"/>
      <c r="BE114" s="1868"/>
      <c r="BF114" s="1868"/>
      <c r="BG114" s="1868"/>
      <c r="BH114" s="1868"/>
      <c r="BI114" s="1868"/>
      <c r="BJ114" s="1868"/>
      <c r="BK114" s="1868"/>
      <c r="BL114" s="1868"/>
      <c r="BM114" s="1868"/>
      <c r="BN114" s="1868"/>
      <c r="BO114" s="1868"/>
      <c r="BP114" s="1862"/>
    </row>
    <row r="115" spans="1:68" ht="21">
      <c r="A115" s="1842"/>
      <c r="B115" s="1943"/>
      <c r="C115" s="1944" t="s">
        <v>1143</v>
      </c>
      <c r="D115" s="1942"/>
      <c r="E115" s="1900"/>
      <c r="F115" s="1863"/>
      <c r="G115" s="1225" t="s">
        <v>1109</v>
      </c>
      <c r="H115" s="1867"/>
      <c r="I115" s="1867"/>
      <c r="J115" s="1867"/>
      <c r="K115" s="1867"/>
      <c r="L115" s="1937">
        <f ca="1">ROUNDDOWN(IF(L97+L102&gt;=L90,L90,L97+L102),0)</f>
        <v>0</v>
      </c>
      <c r="M115" s="1937">
        <f t="shared" ref="M115:W115" ca="1" si="28">ROUNDDOWN(IF(M97+M102&gt;=M90,M90,M97+M102),0)</f>
        <v>0</v>
      </c>
      <c r="N115" s="1937">
        <f t="shared" ca="1" si="28"/>
        <v>0</v>
      </c>
      <c r="O115" s="1937">
        <f t="shared" ca="1" si="28"/>
        <v>0</v>
      </c>
      <c r="P115" s="1937">
        <f t="shared" ca="1" si="28"/>
        <v>0</v>
      </c>
      <c r="Q115" s="1937">
        <f t="shared" ca="1" si="28"/>
        <v>0</v>
      </c>
      <c r="R115" s="1937">
        <f t="shared" ca="1" si="28"/>
        <v>0</v>
      </c>
      <c r="S115" s="1937">
        <f t="shared" ca="1" si="28"/>
        <v>0</v>
      </c>
      <c r="T115" s="1937">
        <f t="shared" ca="1" si="28"/>
        <v>0</v>
      </c>
      <c r="U115" s="1937">
        <f t="shared" ca="1" si="28"/>
        <v>0</v>
      </c>
      <c r="V115" s="1937">
        <f t="shared" ca="1" si="28"/>
        <v>0</v>
      </c>
      <c r="W115" s="1937">
        <f t="shared" ca="1" si="28"/>
        <v>0</v>
      </c>
      <c r="X115" s="1868"/>
      <c r="Y115" s="1868"/>
      <c r="Z115" s="1868"/>
      <c r="AA115" s="1868"/>
      <c r="AB115" s="1868"/>
      <c r="AC115" s="1868"/>
      <c r="AD115" s="1868"/>
      <c r="AE115" s="1868"/>
      <c r="AF115" s="1868"/>
      <c r="AG115" s="1868"/>
      <c r="AH115" s="1868"/>
      <c r="AI115" s="1868"/>
      <c r="AJ115" s="1868"/>
      <c r="AK115" s="1868"/>
      <c r="AL115" s="1868"/>
      <c r="AM115" s="1868"/>
      <c r="AN115" s="1868"/>
      <c r="AO115" s="1868"/>
      <c r="AP115" s="1868"/>
      <c r="AQ115" s="1868"/>
      <c r="AR115" s="1868"/>
      <c r="AS115" s="1868"/>
      <c r="AT115" s="1868"/>
      <c r="AU115" s="1868"/>
      <c r="AV115" s="1868"/>
      <c r="AW115" s="1868"/>
      <c r="AX115" s="1868"/>
      <c r="AY115" s="1868"/>
      <c r="AZ115" s="1868"/>
      <c r="BA115" s="1868"/>
      <c r="BB115" s="1868"/>
      <c r="BC115" s="1868"/>
      <c r="BD115" s="1868"/>
      <c r="BE115" s="1868"/>
      <c r="BF115" s="1868"/>
      <c r="BG115" s="1868"/>
      <c r="BH115" s="1868"/>
      <c r="BI115" s="1868"/>
      <c r="BJ115" s="1868"/>
      <c r="BK115" s="1868"/>
      <c r="BL115" s="1868"/>
      <c r="BM115" s="1868"/>
      <c r="BN115" s="1868"/>
      <c r="BO115" s="1868"/>
      <c r="BP115" s="1862"/>
    </row>
    <row r="116" spans="1:68" ht="21">
      <c r="A116" s="1842"/>
      <c r="B116" s="1890" t="s">
        <v>1095</v>
      </c>
      <c r="C116" s="1945"/>
      <c r="D116" s="1895"/>
      <c r="E116" s="1946" t="s">
        <v>1144</v>
      </c>
      <c r="F116" s="1887"/>
      <c r="G116" s="1225" t="s">
        <v>1109</v>
      </c>
      <c r="H116" s="1867"/>
      <c r="I116" s="1867"/>
      <c r="J116" s="1867"/>
      <c r="K116" s="1867"/>
      <c r="L116" s="1852">
        <f ca="1">IF(L88+L89+L90+L91-L92-L104-L114-L115&gt;0,ROUND(L88+L89+L90+L91-L92-L104-L114-L115,2-INT(LOG(L88+L89+L90+L91-L92-L104-L114-L115))),0)</f>
        <v>0</v>
      </c>
      <c r="M116" s="1852">
        <f t="shared" ref="M116:AA116" ca="1" si="29">IF(M88+M89+M90+M91-M92-M104-M114-M115&gt;0,ROUND(M88+M89+M90+M91-M92-M104-M114-M115,2-INT(LOG(M88+M89+M90+M91-M92-M104-M114-M115))),0)</f>
        <v>0</v>
      </c>
      <c r="N116" s="1852">
        <f t="shared" ca="1" si="29"/>
        <v>0</v>
      </c>
      <c r="O116" s="1852">
        <f t="shared" ca="1" si="29"/>
        <v>0</v>
      </c>
      <c r="P116" s="1852">
        <f t="shared" ca="1" si="29"/>
        <v>0</v>
      </c>
      <c r="Q116" s="1852">
        <f t="shared" ca="1" si="29"/>
        <v>0</v>
      </c>
      <c r="R116" s="1852">
        <f t="shared" ca="1" si="29"/>
        <v>0</v>
      </c>
      <c r="S116" s="1852">
        <f t="shared" ca="1" si="29"/>
        <v>0</v>
      </c>
      <c r="T116" s="1852">
        <f t="shared" ca="1" si="29"/>
        <v>0</v>
      </c>
      <c r="U116" s="1852">
        <f t="shared" ca="1" si="29"/>
        <v>0</v>
      </c>
      <c r="V116" s="1852">
        <f t="shared" ca="1" si="29"/>
        <v>0</v>
      </c>
      <c r="W116" s="1852">
        <f t="shared" ca="1" si="29"/>
        <v>0</v>
      </c>
      <c r="X116" s="1853">
        <f t="shared" ca="1" si="29"/>
        <v>0</v>
      </c>
      <c r="Y116" s="1853">
        <f t="shared" ca="1" si="29"/>
        <v>0</v>
      </c>
      <c r="Z116" s="1853">
        <f t="shared" ca="1" si="29"/>
        <v>0</v>
      </c>
      <c r="AA116" s="1853">
        <f t="shared" ca="1" si="29"/>
        <v>0</v>
      </c>
      <c r="AB116" s="1947"/>
      <c r="AC116" s="1947"/>
      <c r="AD116" s="1947"/>
      <c r="AE116" s="1947"/>
      <c r="AF116" s="1947"/>
      <c r="AG116" s="1947"/>
      <c r="AH116" s="1947"/>
      <c r="AI116" s="1947"/>
      <c r="AJ116" s="1947"/>
      <c r="AK116" s="1947"/>
      <c r="AL116" s="1947"/>
      <c r="AM116" s="1947"/>
      <c r="AN116" s="1947"/>
      <c r="AO116" s="1947"/>
      <c r="AP116" s="1947"/>
      <c r="AQ116" s="1947"/>
      <c r="AR116" s="1947"/>
      <c r="AS116" s="1947"/>
      <c r="AT116" s="1947"/>
      <c r="AU116" s="1947"/>
      <c r="AV116" s="1947"/>
      <c r="AW116" s="1947"/>
      <c r="AX116" s="1947"/>
      <c r="AY116" s="1947"/>
      <c r="AZ116" s="1947"/>
      <c r="BA116" s="1947"/>
      <c r="BB116" s="1947"/>
      <c r="BC116" s="1947"/>
      <c r="BD116" s="1947"/>
      <c r="BE116" s="1947"/>
      <c r="BF116" s="1947"/>
      <c r="BG116" s="1947"/>
      <c r="BH116" s="1947"/>
      <c r="BI116" s="1947"/>
      <c r="BJ116" s="1947"/>
      <c r="BK116" s="1947"/>
      <c r="BL116" s="1947"/>
      <c r="BM116" s="1947"/>
      <c r="BN116" s="1947"/>
      <c r="BO116" s="1947"/>
      <c r="BP116" s="1862"/>
    </row>
    <row r="117" spans="1:68" ht="20.100000000000001" customHeight="1">
      <c r="A117" s="1842"/>
      <c r="B117" s="1843">
        <v>2</v>
      </c>
      <c r="C117" s="1844" t="s">
        <v>1096</v>
      </c>
      <c r="D117" s="1839"/>
      <c r="E117" s="1839"/>
      <c r="F117" s="1839"/>
      <c r="G117" s="1839"/>
      <c r="H117" s="1840"/>
      <c r="I117" s="1840"/>
      <c r="J117" s="1840"/>
      <c r="K117" s="1840"/>
      <c r="L117" s="1948"/>
      <c r="M117" s="1948"/>
      <c r="N117" s="1948"/>
      <c r="O117" s="1948"/>
      <c r="P117" s="1948"/>
      <c r="Q117" s="1948"/>
      <c r="R117" s="1948"/>
      <c r="S117" s="1948"/>
      <c r="T117" s="1948"/>
      <c r="U117" s="1948"/>
      <c r="V117" s="1948"/>
      <c r="W117" s="1948"/>
      <c r="X117" s="1949"/>
      <c r="Y117" s="1949"/>
      <c r="Z117" s="1949"/>
      <c r="AA117" s="1949"/>
      <c r="AB117" s="1841"/>
      <c r="AC117" s="1841"/>
      <c r="AD117" s="1841"/>
      <c r="AE117" s="1841"/>
      <c r="AF117" s="1841"/>
      <c r="AG117" s="1841"/>
      <c r="AH117" s="1841"/>
      <c r="AI117" s="1841"/>
      <c r="AJ117" s="1841"/>
      <c r="AK117" s="1841"/>
      <c r="AL117" s="1841"/>
      <c r="AM117" s="1841"/>
      <c r="AN117" s="1841"/>
      <c r="AO117" s="1841"/>
      <c r="AP117" s="1841"/>
      <c r="AQ117" s="1841"/>
      <c r="AR117" s="1841"/>
      <c r="AS117" s="1841"/>
      <c r="AT117" s="1841"/>
      <c r="AU117" s="1841"/>
      <c r="AV117" s="1841"/>
      <c r="AW117" s="1841"/>
      <c r="AX117" s="1841"/>
      <c r="AY117" s="1841"/>
      <c r="AZ117" s="1841"/>
      <c r="BA117" s="1841"/>
      <c r="BB117" s="1841"/>
      <c r="BC117" s="1841"/>
      <c r="BD117" s="1841"/>
      <c r="BE117" s="1841"/>
      <c r="BF117" s="1841"/>
      <c r="BG117" s="1841"/>
      <c r="BH117" s="1841"/>
      <c r="BI117" s="1841"/>
      <c r="BJ117" s="1841"/>
      <c r="BK117" s="1841"/>
      <c r="BL117" s="1841"/>
      <c r="BM117" s="1841"/>
      <c r="BN117" s="1841"/>
      <c r="BO117" s="1841"/>
    </row>
    <row r="118" spans="1:68" ht="20.100000000000001" hidden="1" customHeight="1" outlineLevel="1">
      <c r="A118" s="1842"/>
      <c r="B118" s="1950" t="s">
        <v>918</v>
      </c>
      <c r="C118" s="1873" t="s">
        <v>919</v>
      </c>
      <c r="D118" s="1866" t="s">
        <v>539</v>
      </c>
      <c r="E118" s="1866"/>
      <c r="F118" s="1951"/>
      <c r="G118" s="1952" t="s">
        <v>1109</v>
      </c>
      <c r="H118" s="1953"/>
      <c r="I118" s="1953"/>
      <c r="J118" s="1953"/>
      <c r="K118" s="1953"/>
      <c r="L118" s="1953">
        <f t="shared" ref="L118:AA118" ca="1" si="30">L8</f>
        <v>0</v>
      </c>
      <c r="M118" s="1953">
        <f t="shared" ca="1" si="30"/>
        <v>0</v>
      </c>
      <c r="N118" s="1953">
        <f t="shared" ca="1" si="30"/>
        <v>0</v>
      </c>
      <c r="O118" s="1953">
        <f t="shared" ca="1" si="30"/>
        <v>0</v>
      </c>
      <c r="P118" s="1953">
        <f t="shared" ca="1" si="30"/>
        <v>0</v>
      </c>
      <c r="Q118" s="1953">
        <f t="shared" ca="1" si="30"/>
        <v>0</v>
      </c>
      <c r="R118" s="1953">
        <f t="shared" ca="1" si="30"/>
        <v>0</v>
      </c>
      <c r="S118" s="1953">
        <f t="shared" ca="1" si="30"/>
        <v>0</v>
      </c>
      <c r="T118" s="1953">
        <f t="shared" ca="1" si="30"/>
        <v>0</v>
      </c>
      <c r="U118" s="1953">
        <f t="shared" ca="1" si="30"/>
        <v>0</v>
      </c>
      <c r="V118" s="1953">
        <f t="shared" ca="1" si="30"/>
        <v>0</v>
      </c>
      <c r="W118" s="1953">
        <f t="shared" ca="1" si="30"/>
        <v>0</v>
      </c>
      <c r="X118" s="1853">
        <f t="shared" ca="1" si="30"/>
        <v>0</v>
      </c>
      <c r="Y118" s="1853">
        <f t="shared" ca="1" si="30"/>
        <v>0</v>
      </c>
      <c r="Z118" s="1853">
        <f t="shared" ca="1" si="30"/>
        <v>0</v>
      </c>
      <c r="AA118" s="1853">
        <f t="shared" ca="1" si="30"/>
        <v>0</v>
      </c>
      <c r="AB118" s="1853"/>
      <c r="AC118" s="1853"/>
      <c r="AD118" s="1853"/>
      <c r="AE118" s="1853"/>
      <c r="AF118" s="1853"/>
      <c r="AG118" s="1853"/>
      <c r="AH118" s="1853"/>
      <c r="AI118" s="1853"/>
      <c r="AJ118" s="1853"/>
      <c r="AK118" s="1853"/>
      <c r="AL118" s="1853"/>
      <c r="AM118" s="1853"/>
      <c r="AN118" s="1853"/>
      <c r="AO118" s="1853"/>
      <c r="AP118" s="1853"/>
      <c r="AQ118" s="1853"/>
      <c r="AR118" s="1853"/>
      <c r="AS118" s="1853"/>
      <c r="AT118" s="1853"/>
      <c r="AU118" s="1853"/>
      <c r="AV118" s="1853"/>
      <c r="AW118" s="1853"/>
      <c r="AX118" s="1853"/>
      <c r="AY118" s="1853"/>
      <c r="AZ118" s="1853"/>
      <c r="BA118" s="1853"/>
      <c r="BB118" s="1853"/>
      <c r="BC118" s="1853"/>
      <c r="BD118" s="1853"/>
      <c r="BE118" s="1853"/>
      <c r="BF118" s="1853"/>
      <c r="BG118" s="1853"/>
      <c r="BH118" s="1853"/>
      <c r="BI118" s="1853"/>
      <c r="BJ118" s="1853"/>
      <c r="BK118" s="1853"/>
      <c r="BL118" s="1853"/>
      <c r="BM118" s="1853"/>
      <c r="BN118" s="1853"/>
      <c r="BO118" s="1853"/>
    </row>
    <row r="119" spans="1:68" ht="20.100000000000001" hidden="1" customHeight="1" outlineLevel="1">
      <c r="A119" s="1842"/>
      <c r="B119" s="1954"/>
      <c r="C119" s="1876"/>
      <c r="D119" s="1866" t="s">
        <v>920</v>
      </c>
      <c r="E119" s="1866"/>
      <c r="F119" s="1951"/>
      <c r="G119" s="1952" t="s">
        <v>1109</v>
      </c>
      <c r="H119" s="1953"/>
      <c r="I119" s="1953"/>
      <c r="J119" s="1953"/>
      <c r="K119" s="1953"/>
      <c r="L119" s="1953">
        <f t="shared" ref="L119:AA119" ca="1" si="31">L9</f>
        <v>0</v>
      </c>
      <c r="M119" s="1953">
        <f t="shared" ca="1" si="31"/>
        <v>0</v>
      </c>
      <c r="N119" s="1953">
        <f t="shared" ca="1" si="31"/>
        <v>0</v>
      </c>
      <c r="O119" s="1953">
        <f t="shared" ca="1" si="31"/>
        <v>0</v>
      </c>
      <c r="P119" s="1953">
        <f t="shared" ca="1" si="31"/>
        <v>0</v>
      </c>
      <c r="Q119" s="1953">
        <f t="shared" ca="1" si="31"/>
        <v>0</v>
      </c>
      <c r="R119" s="1953">
        <f t="shared" ca="1" si="31"/>
        <v>0</v>
      </c>
      <c r="S119" s="1953">
        <f t="shared" ca="1" si="31"/>
        <v>0</v>
      </c>
      <c r="T119" s="1953">
        <f t="shared" ca="1" si="31"/>
        <v>0</v>
      </c>
      <c r="U119" s="1953">
        <f t="shared" ca="1" si="31"/>
        <v>0</v>
      </c>
      <c r="V119" s="1953">
        <f t="shared" ca="1" si="31"/>
        <v>0</v>
      </c>
      <c r="W119" s="1953">
        <f t="shared" ca="1" si="31"/>
        <v>0</v>
      </c>
      <c r="X119" s="1853">
        <f t="shared" ca="1" si="31"/>
        <v>0</v>
      </c>
      <c r="Y119" s="1853">
        <f t="shared" ca="1" si="31"/>
        <v>0</v>
      </c>
      <c r="Z119" s="1853">
        <f t="shared" ca="1" si="31"/>
        <v>0</v>
      </c>
      <c r="AA119" s="1853">
        <f t="shared" ca="1" si="31"/>
        <v>0</v>
      </c>
      <c r="AB119" s="1853"/>
      <c r="AC119" s="1853"/>
      <c r="AD119" s="1853"/>
      <c r="AE119" s="1853"/>
      <c r="AF119" s="1853"/>
      <c r="AG119" s="1853"/>
      <c r="AH119" s="1853"/>
      <c r="AI119" s="1853"/>
      <c r="AJ119" s="1853"/>
      <c r="AK119" s="1853"/>
      <c r="AL119" s="1853"/>
      <c r="AM119" s="1853"/>
      <c r="AN119" s="1853"/>
      <c r="AO119" s="1853"/>
      <c r="AP119" s="1853"/>
      <c r="AQ119" s="1853"/>
      <c r="AR119" s="1853"/>
      <c r="AS119" s="1853"/>
      <c r="AT119" s="1853"/>
      <c r="AU119" s="1853"/>
      <c r="AV119" s="1853"/>
      <c r="AW119" s="1853"/>
      <c r="AX119" s="1853"/>
      <c r="AY119" s="1853"/>
      <c r="AZ119" s="1853"/>
      <c r="BA119" s="1853"/>
      <c r="BB119" s="1853"/>
      <c r="BC119" s="1853"/>
      <c r="BD119" s="1853"/>
      <c r="BE119" s="1853"/>
      <c r="BF119" s="1853"/>
      <c r="BG119" s="1853"/>
      <c r="BH119" s="1853"/>
      <c r="BI119" s="1853"/>
      <c r="BJ119" s="1853"/>
      <c r="BK119" s="1853"/>
      <c r="BL119" s="1853"/>
      <c r="BM119" s="1853"/>
      <c r="BN119" s="1853"/>
      <c r="BO119" s="1853"/>
    </row>
    <row r="120" spans="1:68" ht="20.100000000000001" hidden="1" customHeight="1" outlineLevel="1">
      <c r="A120" s="1842"/>
      <c r="B120" s="1955"/>
      <c r="C120" s="1876"/>
      <c r="D120" s="1866" t="s">
        <v>921</v>
      </c>
      <c r="E120" s="1866"/>
      <c r="F120" s="1951"/>
      <c r="G120" s="1952" t="s">
        <v>1109</v>
      </c>
      <c r="H120" s="1953"/>
      <c r="I120" s="1953"/>
      <c r="J120" s="1953"/>
      <c r="K120" s="1953"/>
      <c r="L120" s="1953">
        <f t="shared" ref="L120:AA120" ca="1" si="32">L10</f>
        <v>0</v>
      </c>
      <c r="M120" s="1953">
        <f t="shared" ca="1" si="32"/>
        <v>0</v>
      </c>
      <c r="N120" s="1953">
        <f t="shared" ca="1" si="32"/>
        <v>0</v>
      </c>
      <c r="O120" s="1953">
        <f t="shared" ca="1" si="32"/>
        <v>0</v>
      </c>
      <c r="P120" s="1953">
        <f t="shared" ca="1" si="32"/>
        <v>0</v>
      </c>
      <c r="Q120" s="1953">
        <f t="shared" ca="1" si="32"/>
        <v>0</v>
      </c>
      <c r="R120" s="1953">
        <f t="shared" ca="1" si="32"/>
        <v>0</v>
      </c>
      <c r="S120" s="1953">
        <f t="shared" ca="1" si="32"/>
        <v>0</v>
      </c>
      <c r="T120" s="1953">
        <f t="shared" ca="1" si="32"/>
        <v>0</v>
      </c>
      <c r="U120" s="1953">
        <f t="shared" ca="1" si="32"/>
        <v>0</v>
      </c>
      <c r="V120" s="1953">
        <f t="shared" ca="1" si="32"/>
        <v>0</v>
      </c>
      <c r="W120" s="1953">
        <f t="shared" ca="1" si="32"/>
        <v>0</v>
      </c>
      <c r="X120" s="1853">
        <f t="shared" ca="1" si="32"/>
        <v>0</v>
      </c>
      <c r="Y120" s="1853">
        <f t="shared" ca="1" si="32"/>
        <v>0</v>
      </c>
      <c r="Z120" s="1853">
        <f t="shared" ca="1" si="32"/>
        <v>0</v>
      </c>
      <c r="AA120" s="1853">
        <f t="shared" ca="1" si="32"/>
        <v>0</v>
      </c>
      <c r="AB120" s="1853"/>
      <c r="AC120" s="1853"/>
      <c r="AD120" s="1853"/>
      <c r="AE120" s="1853"/>
      <c r="AF120" s="1853"/>
      <c r="AG120" s="1853"/>
      <c r="AH120" s="1853"/>
      <c r="AI120" s="1853"/>
      <c r="AJ120" s="1853"/>
      <c r="AK120" s="1853"/>
      <c r="AL120" s="1853"/>
      <c r="AM120" s="1853"/>
      <c r="AN120" s="1853"/>
      <c r="AO120" s="1853"/>
      <c r="AP120" s="1853"/>
      <c r="AQ120" s="1853"/>
      <c r="AR120" s="1853"/>
      <c r="AS120" s="1853"/>
      <c r="AT120" s="1853"/>
      <c r="AU120" s="1853"/>
      <c r="AV120" s="1853"/>
      <c r="AW120" s="1853"/>
      <c r="AX120" s="1853"/>
      <c r="AY120" s="1853"/>
      <c r="AZ120" s="1853"/>
      <c r="BA120" s="1853"/>
      <c r="BB120" s="1853"/>
      <c r="BC120" s="1853"/>
      <c r="BD120" s="1853"/>
      <c r="BE120" s="1853"/>
      <c r="BF120" s="1853"/>
      <c r="BG120" s="1853"/>
      <c r="BH120" s="1853"/>
      <c r="BI120" s="1853"/>
      <c r="BJ120" s="1853"/>
      <c r="BK120" s="1853"/>
      <c r="BL120" s="1853"/>
      <c r="BM120" s="1853"/>
      <c r="BN120" s="1853"/>
      <c r="BO120" s="1853"/>
    </row>
    <row r="121" spans="1:68" ht="20.100000000000001" hidden="1" customHeight="1" outlineLevel="1">
      <c r="A121" s="1842"/>
      <c r="B121" s="1954"/>
      <c r="C121" s="1876"/>
      <c r="D121" s="1866" t="s">
        <v>542</v>
      </c>
      <c r="E121" s="1866"/>
      <c r="F121" s="1951"/>
      <c r="G121" s="1952" t="s">
        <v>1109</v>
      </c>
      <c r="H121" s="1953"/>
      <c r="I121" s="1953"/>
      <c r="J121" s="1953"/>
      <c r="K121" s="1953"/>
      <c r="L121" s="1953">
        <f t="shared" ref="L121:AA121" ca="1" si="33">L11</f>
        <v>0</v>
      </c>
      <c r="M121" s="1953">
        <f t="shared" ca="1" si="33"/>
        <v>0</v>
      </c>
      <c r="N121" s="1953">
        <f t="shared" ca="1" si="33"/>
        <v>0</v>
      </c>
      <c r="O121" s="1953">
        <f t="shared" ca="1" si="33"/>
        <v>0</v>
      </c>
      <c r="P121" s="1953">
        <f t="shared" ca="1" si="33"/>
        <v>0</v>
      </c>
      <c r="Q121" s="1953">
        <f t="shared" ca="1" si="33"/>
        <v>0</v>
      </c>
      <c r="R121" s="1953">
        <f t="shared" ca="1" si="33"/>
        <v>0</v>
      </c>
      <c r="S121" s="1953">
        <f t="shared" ca="1" si="33"/>
        <v>0</v>
      </c>
      <c r="T121" s="1953">
        <f t="shared" ca="1" si="33"/>
        <v>0</v>
      </c>
      <c r="U121" s="1953">
        <f t="shared" ca="1" si="33"/>
        <v>0</v>
      </c>
      <c r="V121" s="1953">
        <f t="shared" ca="1" si="33"/>
        <v>0</v>
      </c>
      <c r="W121" s="1953">
        <f t="shared" ca="1" si="33"/>
        <v>0</v>
      </c>
      <c r="X121" s="1853">
        <f t="shared" ca="1" si="33"/>
        <v>0</v>
      </c>
      <c r="Y121" s="1853">
        <f t="shared" ca="1" si="33"/>
        <v>0</v>
      </c>
      <c r="Z121" s="1853">
        <f t="shared" ca="1" si="33"/>
        <v>0</v>
      </c>
      <c r="AA121" s="1853">
        <f t="shared" ca="1" si="33"/>
        <v>0</v>
      </c>
      <c r="AB121" s="1853"/>
      <c r="AC121" s="1853"/>
      <c r="AD121" s="1853"/>
      <c r="AE121" s="1853"/>
      <c r="AF121" s="1853"/>
      <c r="AG121" s="1853"/>
      <c r="AH121" s="1853"/>
      <c r="AI121" s="1853"/>
      <c r="AJ121" s="1853"/>
      <c r="AK121" s="1853"/>
      <c r="AL121" s="1853"/>
      <c r="AM121" s="1853"/>
      <c r="AN121" s="1853"/>
      <c r="AO121" s="1853"/>
      <c r="AP121" s="1853"/>
      <c r="AQ121" s="1853"/>
      <c r="AR121" s="1853"/>
      <c r="AS121" s="1853"/>
      <c r="AT121" s="1853"/>
      <c r="AU121" s="1853"/>
      <c r="AV121" s="1853"/>
      <c r="AW121" s="1853"/>
      <c r="AX121" s="1853"/>
      <c r="AY121" s="1853"/>
      <c r="AZ121" s="1853"/>
      <c r="BA121" s="1853"/>
      <c r="BB121" s="1853"/>
      <c r="BC121" s="1853"/>
      <c r="BD121" s="1853"/>
      <c r="BE121" s="1853"/>
      <c r="BF121" s="1853"/>
      <c r="BG121" s="1853"/>
      <c r="BH121" s="1853"/>
      <c r="BI121" s="1853"/>
      <c r="BJ121" s="1853"/>
      <c r="BK121" s="1853"/>
      <c r="BL121" s="1853"/>
      <c r="BM121" s="1853"/>
      <c r="BN121" s="1853"/>
      <c r="BO121" s="1853"/>
    </row>
    <row r="122" spans="1:68" ht="20.100000000000001" hidden="1" customHeight="1" outlineLevel="1">
      <c r="A122" s="1842"/>
      <c r="B122" s="1954"/>
      <c r="C122" s="1876"/>
      <c r="D122" s="1866" t="s">
        <v>922</v>
      </c>
      <c r="E122" s="1866"/>
      <c r="F122" s="1951"/>
      <c r="G122" s="1952" t="s">
        <v>1109</v>
      </c>
      <c r="H122" s="1953"/>
      <c r="I122" s="1953"/>
      <c r="J122" s="1953"/>
      <c r="K122" s="1953"/>
      <c r="L122" s="1953">
        <f t="shared" ref="L122:AA122" ca="1" si="34">L12</f>
        <v>0</v>
      </c>
      <c r="M122" s="1953">
        <f t="shared" ca="1" si="34"/>
        <v>0</v>
      </c>
      <c r="N122" s="1953">
        <f t="shared" ca="1" si="34"/>
        <v>0</v>
      </c>
      <c r="O122" s="1953">
        <f t="shared" ca="1" si="34"/>
        <v>0</v>
      </c>
      <c r="P122" s="1953">
        <f t="shared" ca="1" si="34"/>
        <v>0</v>
      </c>
      <c r="Q122" s="1953">
        <f t="shared" ca="1" si="34"/>
        <v>0</v>
      </c>
      <c r="R122" s="1953">
        <f t="shared" ca="1" si="34"/>
        <v>0</v>
      </c>
      <c r="S122" s="1953">
        <f t="shared" ca="1" si="34"/>
        <v>0</v>
      </c>
      <c r="T122" s="1953">
        <f t="shared" ca="1" si="34"/>
        <v>0</v>
      </c>
      <c r="U122" s="1953">
        <f t="shared" ca="1" si="34"/>
        <v>0</v>
      </c>
      <c r="V122" s="1953">
        <f t="shared" ca="1" si="34"/>
        <v>0</v>
      </c>
      <c r="W122" s="1953">
        <f t="shared" ca="1" si="34"/>
        <v>0</v>
      </c>
      <c r="X122" s="1853">
        <f t="shared" ca="1" si="34"/>
        <v>0</v>
      </c>
      <c r="Y122" s="1853">
        <f t="shared" ca="1" si="34"/>
        <v>0</v>
      </c>
      <c r="Z122" s="1853">
        <f t="shared" ca="1" si="34"/>
        <v>0</v>
      </c>
      <c r="AA122" s="1853">
        <f t="shared" ca="1" si="34"/>
        <v>0</v>
      </c>
      <c r="AB122" s="1853"/>
      <c r="AC122" s="1853"/>
      <c r="AD122" s="1853"/>
      <c r="AE122" s="1853"/>
      <c r="AF122" s="1853"/>
      <c r="AG122" s="1853"/>
      <c r="AH122" s="1853"/>
      <c r="AI122" s="1853"/>
      <c r="AJ122" s="1853"/>
      <c r="AK122" s="1853"/>
      <c r="AL122" s="1853"/>
      <c r="AM122" s="1853"/>
      <c r="AN122" s="1853"/>
      <c r="AO122" s="1853"/>
      <c r="AP122" s="1853"/>
      <c r="AQ122" s="1853"/>
      <c r="AR122" s="1853"/>
      <c r="AS122" s="1853"/>
      <c r="AT122" s="1853"/>
      <c r="AU122" s="1853"/>
      <c r="AV122" s="1853"/>
      <c r="AW122" s="1853"/>
      <c r="AX122" s="1853"/>
      <c r="AY122" s="1853"/>
      <c r="AZ122" s="1853"/>
      <c r="BA122" s="1853"/>
      <c r="BB122" s="1853"/>
      <c r="BC122" s="1853"/>
      <c r="BD122" s="1853"/>
      <c r="BE122" s="1853"/>
      <c r="BF122" s="1853"/>
      <c r="BG122" s="1853"/>
      <c r="BH122" s="1853"/>
      <c r="BI122" s="1853"/>
      <c r="BJ122" s="1853"/>
      <c r="BK122" s="1853"/>
      <c r="BL122" s="1853"/>
      <c r="BM122" s="1853"/>
      <c r="BN122" s="1853"/>
      <c r="BO122" s="1853"/>
    </row>
    <row r="123" spans="1:68" ht="20.100000000000001" hidden="1" customHeight="1" outlineLevel="1">
      <c r="A123" s="1842"/>
      <c r="B123" s="1955"/>
      <c r="C123" s="1876"/>
      <c r="D123" s="1866" t="s">
        <v>543</v>
      </c>
      <c r="E123" s="1866"/>
      <c r="F123" s="1951"/>
      <c r="G123" s="1952" t="s">
        <v>1109</v>
      </c>
      <c r="H123" s="1953"/>
      <c r="I123" s="1953"/>
      <c r="J123" s="1953"/>
      <c r="K123" s="1953"/>
      <c r="L123" s="1953">
        <f t="shared" ref="L123:AA123" ca="1" si="35">L13</f>
        <v>0</v>
      </c>
      <c r="M123" s="1953">
        <f t="shared" ca="1" si="35"/>
        <v>0</v>
      </c>
      <c r="N123" s="1953">
        <f t="shared" ca="1" si="35"/>
        <v>0</v>
      </c>
      <c r="O123" s="1953">
        <f t="shared" ca="1" si="35"/>
        <v>0</v>
      </c>
      <c r="P123" s="1953">
        <f t="shared" ca="1" si="35"/>
        <v>0</v>
      </c>
      <c r="Q123" s="1953">
        <f t="shared" ca="1" si="35"/>
        <v>0</v>
      </c>
      <c r="R123" s="1953">
        <f t="shared" ca="1" si="35"/>
        <v>0</v>
      </c>
      <c r="S123" s="1953">
        <f t="shared" ca="1" si="35"/>
        <v>0</v>
      </c>
      <c r="T123" s="1953">
        <f t="shared" ca="1" si="35"/>
        <v>0</v>
      </c>
      <c r="U123" s="1953">
        <f t="shared" ca="1" si="35"/>
        <v>0</v>
      </c>
      <c r="V123" s="1953">
        <f t="shared" ca="1" si="35"/>
        <v>0</v>
      </c>
      <c r="W123" s="1953">
        <f t="shared" ca="1" si="35"/>
        <v>0</v>
      </c>
      <c r="X123" s="1853">
        <f t="shared" ca="1" si="35"/>
        <v>0</v>
      </c>
      <c r="Y123" s="1853">
        <f t="shared" ca="1" si="35"/>
        <v>0</v>
      </c>
      <c r="Z123" s="1853">
        <f t="shared" ca="1" si="35"/>
        <v>0</v>
      </c>
      <c r="AA123" s="1853">
        <f t="shared" ca="1" si="35"/>
        <v>0</v>
      </c>
      <c r="AB123" s="1853"/>
      <c r="AC123" s="1853"/>
      <c r="AD123" s="1853"/>
      <c r="AE123" s="1853"/>
      <c r="AF123" s="1853"/>
      <c r="AG123" s="1853"/>
      <c r="AH123" s="1853"/>
      <c r="AI123" s="1853"/>
      <c r="AJ123" s="1853"/>
      <c r="AK123" s="1853"/>
      <c r="AL123" s="1853"/>
      <c r="AM123" s="1853"/>
      <c r="AN123" s="1853"/>
      <c r="AO123" s="1853"/>
      <c r="AP123" s="1853"/>
      <c r="AQ123" s="1853"/>
      <c r="AR123" s="1853"/>
      <c r="AS123" s="1853"/>
      <c r="AT123" s="1853"/>
      <c r="AU123" s="1853"/>
      <c r="AV123" s="1853"/>
      <c r="AW123" s="1853"/>
      <c r="AX123" s="1853"/>
      <c r="AY123" s="1853"/>
      <c r="AZ123" s="1853"/>
      <c r="BA123" s="1853"/>
      <c r="BB123" s="1853"/>
      <c r="BC123" s="1853"/>
      <c r="BD123" s="1853"/>
      <c r="BE123" s="1853"/>
      <c r="BF123" s="1853"/>
      <c r="BG123" s="1853"/>
      <c r="BH123" s="1853"/>
      <c r="BI123" s="1853"/>
      <c r="BJ123" s="1853"/>
      <c r="BK123" s="1853"/>
      <c r="BL123" s="1853"/>
      <c r="BM123" s="1853"/>
      <c r="BN123" s="1853"/>
      <c r="BO123" s="1853"/>
    </row>
    <row r="124" spans="1:68" ht="20.100000000000001" hidden="1" customHeight="1" outlineLevel="1">
      <c r="A124" s="1842"/>
      <c r="B124" s="1955"/>
      <c r="C124" s="1876"/>
      <c r="D124" s="1866" t="s">
        <v>544</v>
      </c>
      <c r="E124" s="1866"/>
      <c r="F124" s="1951"/>
      <c r="G124" s="1952" t="s">
        <v>1109</v>
      </c>
      <c r="H124" s="1953"/>
      <c r="I124" s="1953"/>
      <c r="J124" s="1953"/>
      <c r="K124" s="1953"/>
      <c r="L124" s="1953">
        <f t="shared" ref="L124:AA124" ca="1" si="36">L14</f>
        <v>0</v>
      </c>
      <c r="M124" s="1953">
        <f t="shared" ca="1" si="36"/>
        <v>0</v>
      </c>
      <c r="N124" s="1953">
        <f t="shared" ca="1" si="36"/>
        <v>0</v>
      </c>
      <c r="O124" s="1953">
        <f t="shared" ca="1" si="36"/>
        <v>0</v>
      </c>
      <c r="P124" s="1953">
        <f t="shared" ca="1" si="36"/>
        <v>0</v>
      </c>
      <c r="Q124" s="1953">
        <f t="shared" ca="1" si="36"/>
        <v>0</v>
      </c>
      <c r="R124" s="1953">
        <f t="shared" ca="1" si="36"/>
        <v>0</v>
      </c>
      <c r="S124" s="1953">
        <f t="shared" ca="1" si="36"/>
        <v>0</v>
      </c>
      <c r="T124" s="1953">
        <f t="shared" ca="1" si="36"/>
        <v>0</v>
      </c>
      <c r="U124" s="1953">
        <f t="shared" ca="1" si="36"/>
        <v>0</v>
      </c>
      <c r="V124" s="1953">
        <f t="shared" ca="1" si="36"/>
        <v>0</v>
      </c>
      <c r="W124" s="1953">
        <f t="shared" ca="1" si="36"/>
        <v>0</v>
      </c>
      <c r="X124" s="1853">
        <f t="shared" ca="1" si="36"/>
        <v>0</v>
      </c>
      <c r="Y124" s="1853">
        <f t="shared" ca="1" si="36"/>
        <v>0</v>
      </c>
      <c r="Z124" s="1853">
        <f t="shared" ca="1" si="36"/>
        <v>0</v>
      </c>
      <c r="AA124" s="1853">
        <f t="shared" ca="1" si="36"/>
        <v>0</v>
      </c>
      <c r="AB124" s="1853"/>
      <c r="AC124" s="1853"/>
      <c r="AD124" s="1853"/>
      <c r="AE124" s="1853"/>
      <c r="AF124" s="1853"/>
      <c r="AG124" s="1853"/>
      <c r="AH124" s="1853"/>
      <c r="AI124" s="1853"/>
      <c r="AJ124" s="1853"/>
      <c r="AK124" s="1853"/>
      <c r="AL124" s="1853"/>
      <c r="AM124" s="1853"/>
      <c r="AN124" s="1853"/>
      <c r="AO124" s="1853"/>
      <c r="AP124" s="1853"/>
      <c r="AQ124" s="1853"/>
      <c r="AR124" s="1853"/>
      <c r="AS124" s="1853"/>
      <c r="AT124" s="1853"/>
      <c r="AU124" s="1853"/>
      <c r="AV124" s="1853"/>
      <c r="AW124" s="1853"/>
      <c r="AX124" s="1853"/>
      <c r="AY124" s="1853"/>
      <c r="AZ124" s="1853"/>
      <c r="BA124" s="1853"/>
      <c r="BB124" s="1853"/>
      <c r="BC124" s="1853"/>
      <c r="BD124" s="1853"/>
      <c r="BE124" s="1853"/>
      <c r="BF124" s="1853"/>
      <c r="BG124" s="1853"/>
      <c r="BH124" s="1853"/>
      <c r="BI124" s="1853"/>
      <c r="BJ124" s="1853"/>
      <c r="BK124" s="1853"/>
      <c r="BL124" s="1853"/>
      <c r="BM124" s="1853"/>
      <c r="BN124" s="1853"/>
      <c r="BO124" s="1853"/>
    </row>
    <row r="125" spans="1:68" ht="20.100000000000001" hidden="1" customHeight="1" outlineLevel="1">
      <c r="A125" s="1842"/>
      <c r="B125" s="1954"/>
      <c r="C125" s="1876"/>
      <c r="D125" s="1866" t="s">
        <v>545</v>
      </c>
      <c r="E125" s="1866"/>
      <c r="F125" s="1951"/>
      <c r="G125" s="1952" t="s">
        <v>1109</v>
      </c>
      <c r="H125" s="1953"/>
      <c r="I125" s="1953"/>
      <c r="J125" s="1953"/>
      <c r="K125" s="1953"/>
      <c r="L125" s="1953">
        <f t="shared" ref="L125:AA125" ca="1" si="37">L15</f>
        <v>0</v>
      </c>
      <c r="M125" s="1953">
        <f t="shared" ca="1" si="37"/>
        <v>0</v>
      </c>
      <c r="N125" s="1953">
        <f t="shared" ca="1" si="37"/>
        <v>0</v>
      </c>
      <c r="O125" s="1953">
        <f t="shared" ca="1" si="37"/>
        <v>0</v>
      </c>
      <c r="P125" s="1953">
        <f t="shared" ca="1" si="37"/>
        <v>0</v>
      </c>
      <c r="Q125" s="1953">
        <f t="shared" ca="1" si="37"/>
        <v>0</v>
      </c>
      <c r="R125" s="1953">
        <f t="shared" ca="1" si="37"/>
        <v>0</v>
      </c>
      <c r="S125" s="1953">
        <f t="shared" ca="1" si="37"/>
        <v>0</v>
      </c>
      <c r="T125" s="1953">
        <f t="shared" ca="1" si="37"/>
        <v>0</v>
      </c>
      <c r="U125" s="1953">
        <f t="shared" ca="1" si="37"/>
        <v>0</v>
      </c>
      <c r="V125" s="1953">
        <f t="shared" ca="1" si="37"/>
        <v>0</v>
      </c>
      <c r="W125" s="1953">
        <f t="shared" ca="1" si="37"/>
        <v>0</v>
      </c>
      <c r="X125" s="1853">
        <f t="shared" ca="1" si="37"/>
        <v>0</v>
      </c>
      <c r="Y125" s="1853">
        <f t="shared" ca="1" si="37"/>
        <v>0</v>
      </c>
      <c r="Z125" s="1853">
        <f t="shared" ca="1" si="37"/>
        <v>0</v>
      </c>
      <c r="AA125" s="1853">
        <f t="shared" ca="1" si="37"/>
        <v>0</v>
      </c>
      <c r="AB125" s="1853"/>
      <c r="AC125" s="1853"/>
      <c r="AD125" s="1853"/>
      <c r="AE125" s="1853"/>
      <c r="AF125" s="1853"/>
      <c r="AG125" s="1853"/>
      <c r="AH125" s="1853"/>
      <c r="AI125" s="1853"/>
      <c r="AJ125" s="1853"/>
      <c r="AK125" s="1853"/>
      <c r="AL125" s="1853"/>
      <c r="AM125" s="1853"/>
      <c r="AN125" s="1853"/>
      <c r="AO125" s="1853"/>
      <c r="AP125" s="1853"/>
      <c r="AQ125" s="1853"/>
      <c r="AR125" s="1853"/>
      <c r="AS125" s="1853"/>
      <c r="AT125" s="1853"/>
      <c r="AU125" s="1853"/>
      <c r="AV125" s="1853"/>
      <c r="AW125" s="1853"/>
      <c r="AX125" s="1853"/>
      <c r="AY125" s="1853"/>
      <c r="AZ125" s="1853"/>
      <c r="BA125" s="1853"/>
      <c r="BB125" s="1853"/>
      <c r="BC125" s="1853"/>
      <c r="BD125" s="1853"/>
      <c r="BE125" s="1853"/>
      <c r="BF125" s="1853"/>
      <c r="BG125" s="1853"/>
      <c r="BH125" s="1853"/>
      <c r="BI125" s="1853"/>
      <c r="BJ125" s="1853"/>
      <c r="BK125" s="1853"/>
      <c r="BL125" s="1853"/>
      <c r="BM125" s="1853"/>
      <c r="BN125" s="1853"/>
      <c r="BO125" s="1853"/>
    </row>
    <row r="126" spans="1:68" ht="20.100000000000001" hidden="1" customHeight="1" outlineLevel="1">
      <c r="A126" s="1842"/>
      <c r="B126" s="1954"/>
      <c r="C126" s="1876"/>
      <c r="D126" s="1866" t="s">
        <v>546</v>
      </c>
      <c r="E126" s="1956"/>
      <c r="F126" s="1951"/>
      <c r="G126" s="1952" t="s">
        <v>1109</v>
      </c>
      <c r="H126" s="1953"/>
      <c r="I126" s="1953"/>
      <c r="J126" s="1953"/>
      <c r="K126" s="1953"/>
      <c r="L126" s="1953">
        <f t="shared" ref="L126:AA126" ca="1" si="38">L16</f>
        <v>0</v>
      </c>
      <c r="M126" s="1953">
        <f t="shared" ca="1" si="38"/>
        <v>0</v>
      </c>
      <c r="N126" s="1953">
        <f t="shared" ca="1" si="38"/>
        <v>0</v>
      </c>
      <c r="O126" s="1953">
        <f t="shared" ca="1" si="38"/>
        <v>0</v>
      </c>
      <c r="P126" s="1953">
        <f t="shared" ca="1" si="38"/>
        <v>0</v>
      </c>
      <c r="Q126" s="1953">
        <f t="shared" ca="1" si="38"/>
        <v>0</v>
      </c>
      <c r="R126" s="1953">
        <f t="shared" ca="1" si="38"/>
        <v>0</v>
      </c>
      <c r="S126" s="1953">
        <f t="shared" ca="1" si="38"/>
        <v>0</v>
      </c>
      <c r="T126" s="1953">
        <f t="shared" ca="1" si="38"/>
        <v>0</v>
      </c>
      <c r="U126" s="1953">
        <f t="shared" ca="1" si="38"/>
        <v>0</v>
      </c>
      <c r="V126" s="1953">
        <f t="shared" ca="1" si="38"/>
        <v>0</v>
      </c>
      <c r="W126" s="1953">
        <f t="shared" ca="1" si="38"/>
        <v>0</v>
      </c>
      <c r="X126" s="1853">
        <f t="shared" ca="1" si="38"/>
        <v>0</v>
      </c>
      <c r="Y126" s="1853">
        <f t="shared" ca="1" si="38"/>
        <v>0</v>
      </c>
      <c r="Z126" s="1853">
        <f t="shared" ca="1" si="38"/>
        <v>0</v>
      </c>
      <c r="AA126" s="1853">
        <f t="shared" ca="1" si="38"/>
        <v>0</v>
      </c>
      <c r="AB126" s="1853"/>
      <c r="AC126" s="1853"/>
      <c r="AD126" s="1853"/>
      <c r="AE126" s="1853"/>
      <c r="AF126" s="1853"/>
      <c r="AG126" s="1853"/>
      <c r="AH126" s="1853"/>
      <c r="AI126" s="1853"/>
      <c r="AJ126" s="1853"/>
      <c r="AK126" s="1853"/>
      <c r="AL126" s="1853"/>
      <c r="AM126" s="1853"/>
      <c r="AN126" s="1853"/>
      <c r="AO126" s="1853"/>
      <c r="AP126" s="1853"/>
      <c r="AQ126" s="1853"/>
      <c r="AR126" s="1853"/>
      <c r="AS126" s="1853"/>
      <c r="AT126" s="1853"/>
      <c r="AU126" s="1853"/>
      <c r="AV126" s="1853"/>
      <c r="AW126" s="1853"/>
      <c r="AX126" s="1853"/>
      <c r="AY126" s="1853"/>
      <c r="AZ126" s="1853"/>
      <c r="BA126" s="1853"/>
      <c r="BB126" s="1853"/>
      <c r="BC126" s="1853"/>
      <c r="BD126" s="1853"/>
      <c r="BE126" s="1853"/>
      <c r="BF126" s="1853"/>
      <c r="BG126" s="1853"/>
      <c r="BH126" s="1853"/>
      <c r="BI126" s="1853"/>
      <c r="BJ126" s="1853"/>
      <c r="BK126" s="1853"/>
      <c r="BL126" s="1853"/>
      <c r="BM126" s="1853"/>
      <c r="BN126" s="1853"/>
      <c r="BO126" s="1853"/>
    </row>
    <row r="127" spans="1:68" ht="20.100000000000001" hidden="1" customHeight="1" outlineLevel="1">
      <c r="A127" s="1842"/>
      <c r="B127" s="1954"/>
      <c r="C127" s="1876"/>
      <c r="D127" s="1866" t="s">
        <v>547</v>
      </c>
      <c r="E127" s="1866"/>
      <c r="F127" s="1951"/>
      <c r="G127" s="1952" t="s">
        <v>1109</v>
      </c>
      <c r="H127" s="1953"/>
      <c r="I127" s="1953"/>
      <c r="J127" s="1953"/>
      <c r="K127" s="1953"/>
      <c r="L127" s="1953">
        <f t="shared" ref="L127:AA127" ca="1" si="39">L17</f>
        <v>0</v>
      </c>
      <c r="M127" s="1953">
        <f t="shared" ca="1" si="39"/>
        <v>0</v>
      </c>
      <c r="N127" s="1953">
        <f t="shared" ca="1" si="39"/>
        <v>0</v>
      </c>
      <c r="O127" s="1953">
        <f t="shared" ca="1" si="39"/>
        <v>0</v>
      </c>
      <c r="P127" s="1953">
        <f t="shared" ca="1" si="39"/>
        <v>0</v>
      </c>
      <c r="Q127" s="1953">
        <f t="shared" ca="1" si="39"/>
        <v>0</v>
      </c>
      <c r="R127" s="1953">
        <f t="shared" ca="1" si="39"/>
        <v>0</v>
      </c>
      <c r="S127" s="1953">
        <f t="shared" ca="1" si="39"/>
        <v>0</v>
      </c>
      <c r="T127" s="1953">
        <f t="shared" ca="1" si="39"/>
        <v>0</v>
      </c>
      <c r="U127" s="1953">
        <f t="shared" ca="1" si="39"/>
        <v>0</v>
      </c>
      <c r="V127" s="1953">
        <f t="shared" ca="1" si="39"/>
        <v>0</v>
      </c>
      <c r="W127" s="1953">
        <f t="shared" ca="1" si="39"/>
        <v>0</v>
      </c>
      <c r="X127" s="1853">
        <f t="shared" ca="1" si="39"/>
        <v>0</v>
      </c>
      <c r="Y127" s="1853">
        <f t="shared" ca="1" si="39"/>
        <v>0</v>
      </c>
      <c r="Z127" s="1853">
        <f t="shared" ca="1" si="39"/>
        <v>0</v>
      </c>
      <c r="AA127" s="1853">
        <f t="shared" ca="1" si="39"/>
        <v>0</v>
      </c>
      <c r="AB127" s="1853"/>
      <c r="AC127" s="1853"/>
      <c r="AD127" s="1853"/>
      <c r="AE127" s="1853"/>
      <c r="AF127" s="1853"/>
      <c r="AG127" s="1853"/>
      <c r="AH127" s="1853"/>
      <c r="AI127" s="1853"/>
      <c r="AJ127" s="1853"/>
      <c r="AK127" s="1853"/>
      <c r="AL127" s="1853"/>
      <c r="AM127" s="1853"/>
      <c r="AN127" s="1853"/>
      <c r="AO127" s="1853"/>
      <c r="AP127" s="1853"/>
      <c r="AQ127" s="1853"/>
      <c r="AR127" s="1853"/>
      <c r="AS127" s="1853"/>
      <c r="AT127" s="1853"/>
      <c r="AU127" s="1853"/>
      <c r="AV127" s="1853"/>
      <c r="AW127" s="1853"/>
      <c r="AX127" s="1853"/>
      <c r="AY127" s="1853"/>
      <c r="AZ127" s="1853"/>
      <c r="BA127" s="1853"/>
      <c r="BB127" s="1853"/>
      <c r="BC127" s="1853"/>
      <c r="BD127" s="1853"/>
      <c r="BE127" s="1853"/>
      <c r="BF127" s="1853"/>
      <c r="BG127" s="1853"/>
      <c r="BH127" s="1853"/>
      <c r="BI127" s="1853"/>
      <c r="BJ127" s="1853"/>
      <c r="BK127" s="1853"/>
      <c r="BL127" s="1853"/>
      <c r="BM127" s="1853"/>
      <c r="BN127" s="1853"/>
      <c r="BO127" s="1853"/>
    </row>
    <row r="128" spans="1:68" ht="20.100000000000001" hidden="1" customHeight="1" outlineLevel="1">
      <c r="A128" s="1842"/>
      <c r="B128" s="1954"/>
      <c r="C128" s="1876"/>
      <c r="D128" s="1866" t="s">
        <v>549</v>
      </c>
      <c r="E128" s="1866"/>
      <c r="F128" s="1951"/>
      <c r="G128" s="1952" t="s">
        <v>1109</v>
      </c>
      <c r="H128" s="1953"/>
      <c r="I128" s="1953"/>
      <c r="J128" s="1953"/>
      <c r="K128" s="1953"/>
      <c r="L128" s="1953">
        <f t="shared" ref="L128:AA128" ca="1" si="40">L18</f>
        <v>0</v>
      </c>
      <c r="M128" s="1953">
        <f t="shared" ca="1" si="40"/>
        <v>0</v>
      </c>
      <c r="N128" s="1953">
        <f t="shared" ca="1" si="40"/>
        <v>0</v>
      </c>
      <c r="O128" s="1953">
        <f t="shared" ca="1" si="40"/>
        <v>0</v>
      </c>
      <c r="P128" s="1953">
        <f t="shared" ca="1" si="40"/>
        <v>0</v>
      </c>
      <c r="Q128" s="1953">
        <f t="shared" ca="1" si="40"/>
        <v>0</v>
      </c>
      <c r="R128" s="1953">
        <f t="shared" ca="1" si="40"/>
        <v>0</v>
      </c>
      <c r="S128" s="1953">
        <f t="shared" ca="1" si="40"/>
        <v>0</v>
      </c>
      <c r="T128" s="1953">
        <f t="shared" ca="1" si="40"/>
        <v>0</v>
      </c>
      <c r="U128" s="1953">
        <f t="shared" ca="1" si="40"/>
        <v>0</v>
      </c>
      <c r="V128" s="1953">
        <f t="shared" ca="1" si="40"/>
        <v>0</v>
      </c>
      <c r="W128" s="1953">
        <f t="shared" ca="1" si="40"/>
        <v>0</v>
      </c>
      <c r="X128" s="1853">
        <f t="shared" ca="1" si="40"/>
        <v>0</v>
      </c>
      <c r="Y128" s="1853">
        <f t="shared" ca="1" si="40"/>
        <v>0</v>
      </c>
      <c r="Z128" s="1853">
        <f t="shared" ca="1" si="40"/>
        <v>0</v>
      </c>
      <c r="AA128" s="1853">
        <f t="shared" ca="1" si="40"/>
        <v>0</v>
      </c>
      <c r="AB128" s="1853"/>
      <c r="AC128" s="1853"/>
      <c r="AD128" s="1853"/>
      <c r="AE128" s="1853"/>
      <c r="AF128" s="1853"/>
      <c r="AG128" s="1853"/>
      <c r="AH128" s="1853"/>
      <c r="AI128" s="1853"/>
      <c r="AJ128" s="1853"/>
      <c r="AK128" s="1853"/>
      <c r="AL128" s="1853"/>
      <c r="AM128" s="1853"/>
      <c r="AN128" s="1853"/>
      <c r="AO128" s="1853"/>
      <c r="AP128" s="1853"/>
      <c r="AQ128" s="1853"/>
      <c r="AR128" s="1853"/>
      <c r="AS128" s="1853"/>
      <c r="AT128" s="1853"/>
      <c r="AU128" s="1853"/>
      <c r="AV128" s="1853"/>
      <c r="AW128" s="1853"/>
      <c r="AX128" s="1853"/>
      <c r="AY128" s="1853"/>
      <c r="AZ128" s="1853"/>
      <c r="BA128" s="1853"/>
      <c r="BB128" s="1853"/>
      <c r="BC128" s="1853"/>
      <c r="BD128" s="1853"/>
      <c r="BE128" s="1853"/>
      <c r="BF128" s="1853"/>
      <c r="BG128" s="1853"/>
      <c r="BH128" s="1853"/>
      <c r="BI128" s="1853"/>
      <c r="BJ128" s="1853"/>
      <c r="BK128" s="1853"/>
      <c r="BL128" s="1853"/>
      <c r="BM128" s="1853"/>
      <c r="BN128" s="1853"/>
      <c r="BO128" s="1853"/>
    </row>
    <row r="129" spans="1:67" ht="20.100000000000001" hidden="1" customHeight="1" outlineLevel="1">
      <c r="A129" s="1842"/>
      <c r="B129" s="1955"/>
      <c r="C129" s="1876"/>
      <c r="D129" s="1866" t="s">
        <v>923</v>
      </c>
      <c r="E129" s="1866"/>
      <c r="F129" s="1951"/>
      <c r="G129" s="1952" t="s">
        <v>1109</v>
      </c>
      <c r="H129" s="1953"/>
      <c r="I129" s="1953"/>
      <c r="J129" s="1953"/>
      <c r="K129" s="1953"/>
      <c r="L129" s="1953">
        <f t="shared" ref="L129:AA129" ca="1" si="41">L19</f>
        <v>0</v>
      </c>
      <c r="M129" s="1953">
        <f t="shared" ca="1" si="41"/>
        <v>0</v>
      </c>
      <c r="N129" s="1953">
        <f t="shared" ca="1" si="41"/>
        <v>0</v>
      </c>
      <c r="O129" s="1953">
        <f t="shared" ca="1" si="41"/>
        <v>0</v>
      </c>
      <c r="P129" s="1953">
        <f t="shared" ca="1" si="41"/>
        <v>0</v>
      </c>
      <c r="Q129" s="1953">
        <f t="shared" ca="1" si="41"/>
        <v>0</v>
      </c>
      <c r="R129" s="1953">
        <f t="shared" ca="1" si="41"/>
        <v>0</v>
      </c>
      <c r="S129" s="1953">
        <f t="shared" ca="1" si="41"/>
        <v>0</v>
      </c>
      <c r="T129" s="1953">
        <f t="shared" ca="1" si="41"/>
        <v>0</v>
      </c>
      <c r="U129" s="1953">
        <f t="shared" ca="1" si="41"/>
        <v>0</v>
      </c>
      <c r="V129" s="1953">
        <f t="shared" ca="1" si="41"/>
        <v>0</v>
      </c>
      <c r="W129" s="1953">
        <f t="shared" ca="1" si="41"/>
        <v>0</v>
      </c>
      <c r="X129" s="1853">
        <f t="shared" ca="1" si="41"/>
        <v>0</v>
      </c>
      <c r="Y129" s="1853">
        <f t="shared" ca="1" si="41"/>
        <v>0</v>
      </c>
      <c r="Z129" s="1853">
        <f t="shared" ca="1" si="41"/>
        <v>0</v>
      </c>
      <c r="AA129" s="1853">
        <f t="shared" ca="1" si="41"/>
        <v>0</v>
      </c>
      <c r="AB129" s="1853"/>
      <c r="AC129" s="1853"/>
      <c r="AD129" s="1853"/>
      <c r="AE129" s="1853"/>
      <c r="AF129" s="1853"/>
      <c r="AG129" s="1853"/>
      <c r="AH129" s="1853"/>
      <c r="AI129" s="1853"/>
      <c r="AJ129" s="1853"/>
      <c r="AK129" s="1853"/>
      <c r="AL129" s="1853"/>
      <c r="AM129" s="1853"/>
      <c r="AN129" s="1853"/>
      <c r="AO129" s="1853"/>
      <c r="AP129" s="1853"/>
      <c r="AQ129" s="1853"/>
      <c r="AR129" s="1853"/>
      <c r="AS129" s="1853"/>
      <c r="AT129" s="1853"/>
      <c r="AU129" s="1853"/>
      <c r="AV129" s="1853"/>
      <c r="AW129" s="1853"/>
      <c r="AX129" s="1853"/>
      <c r="AY129" s="1853"/>
      <c r="AZ129" s="1853"/>
      <c r="BA129" s="1853"/>
      <c r="BB129" s="1853"/>
      <c r="BC129" s="1853"/>
      <c r="BD129" s="1853"/>
      <c r="BE129" s="1853"/>
      <c r="BF129" s="1853"/>
      <c r="BG129" s="1853"/>
      <c r="BH129" s="1853"/>
      <c r="BI129" s="1853"/>
      <c r="BJ129" s="1853"/>
      <c r="BK129" s="1853"/>
      <c r="BL129" s="1853"/>
      <c r="BM129" s="1853"/>
      <c r="BN129" s="1853"/>
      <c r="BO129" s="1853"/>
    </row>
    <row r="130" spans="1:67" ht="20.100000000000001" hidden="1" customHeight="1" outlineLevel="1">
      <c r="A130" s="1842"/>
      <c r="B130" s="1954"/>
      <c r="C130" s="1876"/>
      <c r="D130" s="1866" t="s">
        <v>924</v>
      </c>
      <c r="E130" s="1866"/>
      <c r="F130" s="1951"/>
      <c r="G130" s="1952" t="s">
        <v>1109</v>
      </c>
      <c r="H130" s="1953"/>
      <c r="I130" s="1953"/>
      <c r="J130" s="1953"/>
      <c r="K130" s="1953"/>
      <c r="L130" s="1953">
        <f t="shared" ref="L130:AA130" ca="1" si="42">L20</f>
        <v>0</v>
      </c>
      <c r="M130" s="1953">
        <f t="shared" ca="1" si="42"/>
        <v>0</v>
      </c>
      <c r="N130" s="1953">
        <f t="shared" ca="1" si="42"/>
        <v>0</v>
      </c>
      <c r="O130" s="1953">
        <f t="shared" ca="1" si="42"/>
        <v>0</v>
      </c>
      <c r="P130" s="1953">
        <f t="shared" ca="1" si="42"/>
        <v>0</v>
      </c>
      <c r="Q130" s="1953">
        <f t="shared" ca="1" si="42"/>
        <v>0</v>
      </c>
      <c r="R130" s="1953">
        <f t="shared" ca="1" si="42"/>
        <v>0</v>
      </c>
      <c r="S130" s="1953">
        <f t="shared" ca="1" si="42"/>
        <v>0</v>
      </c>
      <c r="T130" s="1953">
        <f t="shared" ca="1" si="42"/>
        <v>0</v>
      </c>
      <c r="U130" s="1953">
        <f t="shared" ca="1" si="42"/>
        <v>0</v>
      </c>
      <c r="V130" s="1953">
        <f t="shared" ca="1" si="42"/>
        <v>0</v>
      </c>
      <c r="W130" s="1953">
        <f t="shared" ca="1" si="42"/>
        <v>0</v>
      </c>
      <c r="X130" s="1853">
        <f t="shared" ca="1" si="42"/>
        <v>0</v>
      </c>
      <c r="Y130" s="1853">
        <f t="shared" ca="1" si="42"/>
        <v>0</v>
      </c>
      <c r="Z130" s="1853">
        <f t="shared" ca="1" si="42"/>
        <v>0</v>
      </c>
      <c r="AA130" s="1853">
        <f t="shared" ca="1" si="42"/>
        <v>0</v>
      </c>
      <c r="AB130" s="1853"/>
      <c r="AC130" s="1853"/>
      <c r="AD130" s="1853"/>
      <c r="AE130" s="1853"/>
      <c r="AF130" s="1853"/>
      <c r="AG130" s="1853"/>
      <c r="AH130" s="1853"/>
      <c r="AI130" s="1853"/>
      <c r="AJ130" s="1853"/>
      <c r="AK130" s="1853"/>
      <c r="AL130" s="1853"/>
      <c r="AM130" s="1853"/>
      <c r="AN130" s="1853"/>
      <c r="AO130" s="1853"/>
      <c r="AP130" s="1853"/>
      <c r="AQ130" s="1853"/>
      <c r="AR130" s="1853"/>
      <c r="AS130" s="1853"/>
      <c r="AT130" s="1853"/>
      <c r="AU130" s="1853"/>
      <c r="AV130" s="1853"/>
      <c r="AW130" s="1853"/>
      <c r="AX130" s="1853"/>
      <c r="AY130" s="1853"/>
      <c r="AZ130" s="1853"/>
      <c r="BA130" s="1853"/>
      <c r="BB130" s="1853"/>
      <c r="BC130" s="1853"/>
      <c r="BD130" s="1853"/>
      <c r="BE130" s="1853"/>
      <c r="BF130" s="1853"/>
      <c r="BG130" s="1853"/>
      <c r="BH130" s="1853"/>
      <c r="BI130" s="1853"/>
      <c r="BJ130" s="1853"/>
      <c r="BK130" s="1853"/>
      <c r="BL130" s="1853"/>
      <c r="BM130" s="1853"/>
      <c r="BN130" s="1853"/>
      <c r="BO130" s="1853"/>
    </row>
    <row r="131" spans="1:67" ht="20.100000000000001" hidden="1" customHeight="1" outlineLevel="1">
      <c r="A131" s="1842"/>
      <c r="B131" s="1955"/>
      <c r="C131" s="1876"/>
      <c r="D131" s="1866" t="s">
        <v>925</v>
      </c>
      <c r="E131" s="1956"/>
      <c r="F131" s="1951"/>
      <c r="G131" s="1952" t="s">
        <v>1109</v>
      </c>
      <c r="H131" s="1953"/>
      <c r="I131" s="1953"/>
      <c r="J131" s="1953"/>
      <c r="K131" s="1953"/>
      <c r="L131" s="1953">
        <f t="shared" ref="L131:AA131" ca="1" si="43">L21</f>
        <v>0</v>
      </c>
      <c r="M131" s="1953">
        <f t="shared" ca="1" si="43"/>
        <v>0</v>
      </c>
      <c r="N131" s="1953">
        <f t="shared" ca="1" si="43"/>
        <v>0</v>
      </c>
      <c r="O131" s="1953">
        <f t="shared" ca="1" si="43"/>
        <v>0</v>
      </c>
      <c r="P131" s="1953">
        <f t="shared" ca="1" si="43"/>
        <v>0</v>
      </c>
      <c r="Q131" s="1953">
        <f t="shared" ca="1" si="43"/>
        <v>0</v>
      </c>
      <c r="R131" s="1953">
        <f t="shared" ca="1" si="43"/>
        <v>0</v>
      </c>
      <c r="S131" s="1953">
        <f t="shared" ca="1" si="43"/>
        <v>0</v>
      </c>
      <c r="T131" s="1953">
        <f t="shared" ca="1" si="43"/>
        <v>0</v>
      </c>
      <c r="U131" s="1953">
        <f t="shared" ca="1" si="43"/>
        <v>0</v>
      </c>
      <c r="V131" s="1953">
        <f t="shared" ca="1" si="43"/>
        <v>0</v>
      </c>
      <c r="W131" s="1953">
        <f t="shared" ca="1" si="43"/>
        <v>0</v>
      </c>
      <c r="X131" s="1853">
        <f t="shared" ca="1" si="43"/>
        <v>0</v>
      </c>
      <c r="Y131" s="1853">
        <f t="shared" ca="1" si="43"/>
        <v>0</v>
      </c>
      <c r="Z131" s="1853">
        <f t="shared" ca="1" si="43"/>
        <v>0</v>
      </c>
      <c r="AA131" s="1853">
        <f t="shared" ca="1" si="43"/>
        <v>0</v>
      </c>
      <c r="AB131" s="1853"/>
      <c r="AC131" s="1853"/>
      <c r="AD131" s="1853"/>
      <c r="AE131" s="1853"/>
      <c r="AF131" s="1853"/>
      <c r="AG131" s="1853"/>
      <c r="AH131" s="1853"/>
      <c r="AI131" s="1853"/>
      <c r="AJ131" s="1853"/>
      <c r="AK131" s="1853"/>
      <c r="AL131" s="1853"/>
      <c r="AM131" s="1853"/>
      <c r="AN131" s="1853"/>
      <c r="AO131" s="1853"/>
      <c r="AP131" s="1853"/>
      <c r="AQ131" s="1853"/>
      <c r="AR131" s="1853"/>
      <c r="AS131" s="1853"/>
      <c r="AT131" s="1853"/>
      <c r="AU131" s="1853"/>
      <c r="AV131" s="1853"/>
      <c r="AW131" s="1853"/>
      <c r="AX131" s="1853"/>
      <c r="AY131" s="1853"/>
      <c r="AZ131" s="1853"/>
      <c r="BA131" s="1853"/>
      <c r="BB131" s="1853"/>
      <c r="BC131" s="1853"/>
      <c r="BD131" s="1853"/>
      <c r="BE131" s="1853"/>
      <c r="BF131" s="1853"/>
      <c r="BG131" s="1853"/>
      <c r="BH131" s="1853"/>
      <c r="BI131" s="1853"/>
      <c r="BJ131" s="1853"/>
      <c r="BK131" s="1853"/>
      <c r="BL131" s="1853"/>
      <c r="BM131" s="1853"/>
      <c r="BN131" s="1853"/>
      <c r="BO131" s="1853"/>
    </row>
    <row r="132" spans="1:67" ht="20.100000000000001" hidden="1" customHeight="1" outlineLevel="1">
      <c r="A132" s="1842"/>
      <c r="B132" s="1954"/>
      <c r="C132" s="1876"/>
      <c r="D132" s="1866" t="s">
        <v>926</v>
      </c>
      <c r="E132" s="1866"/>
      <c r="F132" s="1951"/>
      <c r="G132" s="1952" t="s">
        <v>1109</v>
      </c>
      <c r="H132" s="1953"/>
      <c r="I132" s="1953"/>
      <c r="J132" s="1953"/>
      <c r="K132" s="1953"/>
      <c r="L132" s="1953">
        <f t="shared" ref="L132:AA132" ca="1" si="44">L22</f>
        <v>0</v>
      </c>
      <c r="M132" s="1953">
        <f t="shared" ca="1" si="44"/>
        <v>0</v>
      </c>
      <c r="N132" s="1953">
        <f t="shared" ca="1" si="44"/>
        <v>0</v>
      </c>
      <c r="O132" s="1953">
        <f t="shared" ca="1" si="44"/>
        <v>0</v>
      </c>
      <c r="P132" s="1953">
        <f t="shared" ca="1" si="44"/>
        <v>0</v>
      </c>
      <c r="Q132" s="1953">
        <f t="shared" ca="1" si="44"/>
        <v>0</v>
      </c>
      <c r="R132" s="1953">
        <f t="shared" ca="1" si="44"/>
        <v>0</v>
      </c>
      <c r="S132" s="1953">
        <f t="shared" ca="1" si="44"/>
        <v>0</v>
      </c>
      <c r="T132" s="1953">
        <f t="shared" ca="1" si="44"/>
        <v>0</v>
      </c>
      <c r="U132" s="1953">
        <f t="shared" ca="1" si="44"/>
        <v>0</v>
      </c>
      <c r="V132" s="1953">
        <f t="shared" ca="1" si="44"/>
        <v>0</v>
      </c>
      <c r="W132" s="1953">
        <f t="shared" ca="1" si="44"/>
        <v>0</v>
      </c>
      <c r="X132" s="1853">
        <f t="shared" ca="1" si="44"/>
        <v>0</v>
      </c>
      <c r="Y132" s="1853">
        <f t="shared" ca="1" si="44"/>
        <v>0</v>
      </c>
      <c r="Z132" s="1853">
        <f t="shared" ca="1" si="44"/>
        <v>0</v>
      </c>
      <c r="AA132" s="1853">
        <f t="shared" ca="1" si="44"/>
        <v>0</v>
      </c>
      <c r="AB132" s="1853"/>
      <c r="AC132" s="1853"/>
      <c r="AD132" s="1853"/>
      <c r="AE132" s="1853"/>
      <c r="AF132" s="1853"/>
      <c r="AG132" s="1853"/>
      <c r="AH132" s="1853"/>
      <c r="AI132" s="1853"/>
      <c r="AJ132" s="1853"/>
      <c r="AK132" s="1853"/>
      <c r="AL132" s="1853"/>
      <c r="AM132" s="1853"/>
      <c r="AN132" s="1853"/>
      <c r="AO132" s="1853"/>
      <c r="AP132" s="1853"/>
      <c r="AQ132" s="1853"/>
      <c r="AR132" s="1853"/>
      <c r="AS132" s="1853"/>
      <c r="AT132" s="1853"/>
      <c r="AU132" s="1853"/>
      <c r="AV132" s="1853"/>
      <c r="AW132" s="1853"/>
      <c r="AX132" s="1853"/>
      <c r="AY132" s="1853"/>
      <c r="AZ132" s="1853"/>
      <c r="BA132" s="1853"/>
      <c r="BB132" s="1853"/>
      <c r="BC132" s="1853"/>
      <c r="BD132" s="1853"/>
      <c r="BE132" s="1853"/>
      <c r="BF132" s="1853"/>
      <c r="BG132" s="1853"/>
      <c r="BH132" s="1853"/>
      <c r="BI132" s="1853"/>
      <c r="BJ132" s="1853"/>
      <c r="BK132" s="1853"/>
      <c r="BL132" s="1853"/>
      <c r="BM132" s="1853"/>
      <c r="BN132" s="1853"/>
      <c r="BO132" s="1853"/>
    </row>
    <row r="133" spans="1:67" ht="20.100000000000001" hidden="1" customHeight="1" outlineLevel="1">
      <c r="A133" s="1842"/>
      <c r="B133" s="1954"/>
      <c r="C133" s="1876"/>
      <c r="D133" s="1866" t="s">
        <v>927</v>
      </c>
      <c r="E133" s="1866"/>
      <c r="F133" s="1951"/>
      <c r="G133" s="1952" t="s">
        <v>1109</v>
      </c>
      <c r="H133" s="1953"/>
      <c r="I133" s="1953"/>
      <c r="J133" s="1953"/>
      <c r="K133" s="1953"/>
      <c r="L133" s="1953">
        <f t="shared" ref="L133:AA133" ca="1" si="45">L23</f>
        <v>0</v>
      </c>
      <c r="M133" s="1953">
        <f t="shared" ca="1" si="45"/>
        <v>0</v>
      </c>
      <c r="N133" s="1953">
        <f t="shared" ca="1" si="45"/>
        <v>0</v>
      </c>
      <c r="O133" s="1953">
        <f t="shared" ca="1" si="45"/>
        <v>0</v>
      </c>
      <c r="P133" s="1953">
        <f t="shared" ca="1" si="45"/>
        <v>0</v>
      </c>
      <c r="Q133" s="1953">
        <f t="shared" ca="1" si="45"/>
        <v>0</v>
      </c>
      <c r="R133" s="1953">
        <f t="shared" ca="1" si="45"/>
        <v>0</v>
      </c>
      <c r="S133" s="1953">
        <f t="shared" ca="1" si="45"/>
        <v>0</v>
      </c>
      <c r="T133" s="1953">
        <f t="shared" ca="1" si="45"/>
        <v>0</v>
      </c>
      <c r="U133" s="1953">
        <f t="shared" ca="1" si="45"/>
        <v>0</v>
      </c>
      <c r="V133" s="1953">
        <f t="shared" ca="1" si="45"/>
        <v>0</v>
      </c>
      <c r="W133" s="1953">
        <f t="shared" ca="1" si="45"/>
        <v>0</v>
      </c>
      <c r="X133" s="1853">
        <f t="shared" ca="1" si="45"/>
        <v>0</v>
      </c>
      <c r="Y133" s="1853">
        <f t="shared" ca="1" si="45"/>
        <v>0</v>
      </c>
      <c r="Z133" s="1853">
        <f t="shared" ca="1" si="45"/>
        <v>0</v>
      </c>
      <c r="AA133" s="1853">
        <f t="shared" ca="1" si="45"/>
        <v>0</v>
      </c>
      <c r="AB133" s="1853"/>
      <c r="AC133" s="1853"/>
      <c r="AD133" s="1853"/>
      <c r="AE133" s="1853"/>
      <c r="AF133" s="1853"/>
      <c r="AG133" s="1853"/>
      <c r="AH133" s="1853"/>
      <c r="AI133" s="1853"/>
      <c r="AJ133" s="1853"/>
      <c r="AK133" s="1853"/>
      <c r="AL133" s="1853"/>
      <c r="AM133" s="1853"/>
      <c r="AN133" s="1853"/>
      <c r="AO133" s="1853"/>
      <c r="AP133" s="1853"/>
      <c r="AQ133" s="1853"/>
      <c r="AR133" s="1853"/>
      <c r="AS133" s="1853"/>
      <c r="AT133" s="1853"/>
      <c r="AU133" s="1853"/>
      <c r="AV133" s="1853"/>
      <c r="AW133" s="1853"/>
      <c r="AX133" s="1853"/>
      <c r="AY133" s="1853"/>
      <c r="AZ133" s="1853"/>
      <c r="BA133" s="1853"/>
      <c r="BB133" s="1853"/>
      <c r="BC133" s="1853"/>
      <c r="BD133" s="1853"/>
      <c r="BE133" s="1853"/>
      <c r="BF133" s="1853"/>
      <c r="BG133" s="1853"/>
      <c r="BH133" s="1853"/>
      <c r="BI133" s="1853"/>
      <c r="BJ133" s="1853"/>
      <c r="BK133" s="1853"/>
      <c r="BL133" s="1853"/>
      <c r="BM133" s="1853"/>
      <c r="BN133" s="1853"/>
      <c r="BO133" s="1853"/>
    </row>
    <row r="134" spans="1:67" ht="20.100000000000001" hidden="1" customHeight="1" outlineLevel="1">
      <c r="A134" s="1842"/>
      <c r="B134" s="1954"/>
      <c r="C134" s="1876"/>
      <c r="D134" s="1866" t="s">
        <v>928</v>
      </c>
      <c r="E134" s="1956"/>
      <c r="F134" s="1951"/>
      <c r="G134" s="1952" t="s">
        <v>1109</v>
      </c>
      <c r="H134" s="1953"/>
      <c r="I134" s="1953"/>
      <c r="J134" s="1953"/>
      <c r="K134" s="1953"/>
      <c r="L134" s="1953">
        <f t="shared" ref="L134:AA134" ca="1" si="46">L24</f>
        <v>0</v>
      </c>
      <c r="M134" s="1953">
        <f t="shared" ca="1" si="46"/>
        <v>0</v>
      </c>
      <c r="N134" s="1953">
        <f t="shared" ca="1" si="46"/>
        <v>0</v>
      </c>
      <c r="O134" s="1953">
        <f t="shared" ca="1" si="46"/>
        <v>0</v>
      </c>
      <c r="P134" s="1953">
        <f t="shared" ca="1" si="46"/>
        <v>0</v>
      </c>
      <c r="Q134" s="1953">
        <f t="shared" ca="1" si="46"/>
        <v>0</v>
      </c>
      <c r="R134" s="1953">
        <f t="shared" ca="1" si="46"/>
        <v>0</v>
      </c>
      <c r="S134" s="1953">
        <f t="shared" ca="1" si="46"/>
        <v>0</v>
      </c>
      <c r="T134" s="1953">
        <f t="shared" ca="1" si="46"/>
        <v>0</v>
      </c>
      <c r="U134" s="1953">
        <f t="shared" ca="1" si="46"/>
        <v>0</v>
      </c>
      <c r="V134" s="1953">
        <f t="shared" ca="1" si="46"/>
        <v>0</v>
      </c>
      <c r="W134" s="1953">
        <f t="shared" ca="1" si="46"/>
        <v>0</v>
      </c>
      <c r="X134" s="1853">
        <f t="shared" ca="1" si="46"/>
        <v>0</v>
      </c>
      <c r="Y134" s="1853">
        <f t="shared" ca="1" si="46"/>
        <v>0</v>
      </c>
      <c r="Z134" s="1853">
        <f t="shared" ca="1" si="46"/>
        <v>0</v>
      </c>
      <c r="AA134" s="1853">
        <f t="shared" ca="1" si="46"/>
        <v>0</v>
      </c>
      <c r="AB134" s="1853"/>
      <c r="AC134" s="1853"/>
      <c r="AD134" s="1853"/>
      <c r="AE134" s="1853"/>
      <c r="AF134" s="1853"/>
      <c r="AG134" s="1853"/>
      <c r="AH134" s="1853"/>
      <c r="AI134" s="1853"/>
      <c r="AJ134" s="1853"/>
      <c r="AK134" s="1853"/>
      <c r="AL134" s="1853"/>
      <c r="AM134" s="1853"/>
      <c r="AN134" s="1853"/>
      <c r="AO134" s="1853"/>
      <c r="AP134" s="1853"/>
      <c r="AQ134" s="1853"/>
      <c r="AR134" s="1853"/>
      <c r="AS134" s="1853"/>
      <c r="AT134" s="1853"/>
      <c r="AU134" s="1853"/>
      <c r="AV134" s="1853"/>
      <c r="AW134" s="1853"/>
      <c r="AX134" s="1853"/>
      <c r="AY134" s="1853"/>
      <c r="AZ134" s="1853"/>
      <c r="BA134" s="1853"/>
      <c r="BB134" s="1853"/>
      <c r="BC134" s="1853"/>
      <c r="BD134" s="1853"/>
      <c r="BE134" s="1853"/>
      <c r="BF134" s="1853"/>
      <c r="BG134" s="1853"/>
      <c r="BH134" s="1853"/>
      <c r="BI134" s="1853"/>
      <c r="BJ134" s="1853"/>
      <c r="BK134" s="1853"/>
      <c r="BL134" s="1853"/>
      <c r="BM134" s="1853"/>
      <c r="BN134" s="1853"/>
      <c r="BO134" s="1853"/>
    </row>
    <row r="135" spans="1:67" ht="20.100000000000001" hidden="1" customHeight="1" outlineLevel="1">
      <c r="A135" s="1842"/>
      <c r="B135" s="1954"/>
      <c r="C135" s="1876"/>
      <c r="D135" s="1866" t="s">
        <v>929</v>
      </c>
      <c r="E135" s="1866"/>
      <c r="F135" s="1951"/>
      <c r="G135" s="1952" t="s">
        <v>1109</v>
      </c>
      <c r="H135" s="1953"/>
      <c r="I135" s="1953"/>
      <c r="J135" s="1953"/>
      <c r="K135" s="1953"/>
      <c r="L135" s="1953">
        <f t="shared" ref="L135:AA135" ca="1" si="47">L25</f>
        <v>0</v>
      </c>
      <c r="M135" s="1953">
        <f t="shared" ca="1" si="47"/>
        <v>0</v>
      </c>
      <c r="N135" s="1953">
        <f t="shared" ca="1" si="47"/>
        <v>0</v>
      </c>
      <c r="O135" s="1953">
        <f t="shared" ca="1" si="47"/>
        <v>0</v>
      </c>
      <c r="P135" s="1953">
        <f t="shared" ca="1" si="47"/>
        <v>0</v>
      </c>
      <c r="Q135" s="1953">
        <f t="shared" ca="1" si="47"/>
        <v>0</v>
      </c>
      <c r="R135" s="1953">
        <f t="shared" ca="1" si="47"/>
        <v>0</v>
      </c>
      <c r="S135" s="1953">
        <f t="shared" ca="1" si="47"/>
        <v>0</v>
      </c>
      <c r="T135" s="1953">
        <f t="shared" ca="1" si="47"/>
        <v>0</v>
      </c>
      <c r="U135" s="1953">
        <f t="shared" ca="1" si="47"/>
        <v>0</v>
      </c>
      <c r="V135" s="1953">
        <f t="shared" ca="1" si="47"/>
        <v>0</v>
      </c>
      <c r="W135" s="1953">
        <f t="shared" ca="1" si="47"/>
        <v>0</v>
      </c>
      <c r="X135" s="1853">
        <f t="shared" ca="1" si="47"/>
        <v>0</v>
      </c>
      <c r="Y135" s="1853">
        <f t="shared" ca="1" si="47"/>
        <v>0</v>
      </c>
      <c r="Z135" s="1853">
        <f t="shared" ca="1" si="47"/>
        <v>0</v>
      </c>
      <c r="AA135" s="1853">
        <f t="shared" ca="1" si="47"/>
        <v>0</v>
      </c>
      <c r="AB135" s="1853"/>
      <c r="AC135" s="1853"/>
      <c r="AD135" s="1853"/>
      <c r="AE135" s="1853"/>
      <c r="AF135" s="1853"/>
      <c r="AG135" s="1853"/>
      <c r="AH135" s="1853"/>
      <c r="AI135" s="1853"/>
      <c r="AJ135" s="1853"/>
      <c r="AK135" s="1853"/>
      <c r="AL135" s="1853"/>
      <c r="AM135" s="1853"/>
      <c r="AN135" s="1853"/>
      <c r="AO135" s="1853"/>
      <c r="AP135" s="1853"/>
      <c r="AQ135" s="1853"/>
      <c r="AR135" s="1853"/>
      <c r="AS135" s="1853"/>
      <c r="AT135" s="1853"/>
      <c r="AU135" s="1853"/>
      <c r="AV135" s="1853"/>
      <c r="AW135" s="1853"/>
      <c r="AX135" s="1853"/>
      <c r="AY135" s="1853"/>
      <c r="AZ135" s="1853"/>
      <c r="BA135" s="1853"/>
      <c r="BB135" s="1853"/>
      <c r="BC135" s="1853"/>
      <c r="BD135" s="1853"/>
      <c r="BE135" s="1853"/>
      <c r="BF135" s="1853"/>
      <c r="BG135" s="1853"/>
      <c r="BH135" s="1853"/>
      <c r="BI135" s="1853"/>
      <c r="BJ135" s="1853"/>
      <c r="BK135" s="1853"/>
      <c r="BL135" s="1853"/>
      <c r="BM135" s="1853"/>
      <c r="BN135" s="1853"/>
      <c r="BO135" s="1853"/>
    </row>
    <row r="136" spans="1:67" ht="20.100000000000001" hidden="1" customHeight="1" outlineLevel="1">
      <c r="A136" s="1842"/>
      <c r="B136" s="1954"/>
      <c r="C136" s="1876"/>
      <c r="D136" s="1866" t="s">
        <v>930</v>
      </c>
      <c r="E136" s="1866"/>
      <c r="F136" s="1951"/>
      <c r="G136" s="1952" t="s">
        <v>1109</v>
      </c>
      <c r="H136" s="1953"/>
      <c r="I136" s="1953"/>
      <c r="J136" s="1953"/>
      <c r="K136" s="1953"/>
      <c r="L136" s="1953">
        <f t="shared" ref="L136:AA136" ca="1" si="48">L26</f>
        <v>0</v>
      </c>
      <c r="M136" s="1953">
        <f t="shared" ca="1" si="48"/>
        <v>0</v>
      </c>
      <c r="N136" s="1953">
        <f t="shared" ca="1" si="48"/>
        <v>0</v>
      </c>
      <c r="O136" s="1953">
        <f t="shared" ca="1" si="48"/>
        <v>0</v>
      </c>
      <c r="P136" s="1953">
        <f t="shared" ca="1" si="48"/>
        <v>0</v>
      </c>
      <c r="Q136" s="1953">
        <f t="shared" ca="1" si="48"/>
        <v>0</v>
      </c>
      <c r="R136" s="1953">
        <f t="shared" ca="1" si="48"/>
        <v>0</v>
      </c>
      <c r="S136" s="1953">
        <f t="shared" ca="1" si="48"/>
        <v>0</v>
      </c>
      <c r="T136" s="1953">
        <f t="shared" ca="1" si="48"/>
        <v>0</v>
      </c>
      <c r="U136" s="1953">
        <f t="shared" ca="1" si="48"/>
        <v>0</v>
      </c>
      <c r="V136" s="1953">
        <f t="shared" ca="1" si="48"/>
        <v>0</v>
      </c>
      <c r="W136" s="1953">
        <f t="shared" ca="1" si="48"/>
        <v>0</v>
      </c>
      <c r="X136" s="1853">
        <f t="shared" ca="1" si="48"/>
        <v>0</v>
      </c>
      <c r="Y136" s="1853">
        <f t="shared" ca="1" si="48"/>
        <v>0</v>
      </c>
      <c r="Z136" s="1853">
        <f t="shared" ca="1" si="48"/>
        <v>0</v>
      </c>
      <c r="AA136" s="1853">
        <f t="shared" ca="1" si="48"/>
        <v>0</v>
      </c>
      <c r="AB136" s="1853"/>
      <c r="AC136" s="1853"/>
      <c r="AD136" s="1853"/>
      <c r="AE136" s="1853"/>
      <c r="AF136" s="1853"/>
      <c r="AG136" s="1853"/>
      <c r="AH136" s="1853"/>
      <c r="AI136" s="1853"/>
      <c r="AJ136" s="1853"/>
      <c r="AK136" s="1853"/>
      <c r="AL136" s="1853"/>
      <c r="AM136" s="1853"/>
      <c r="AN136" s="1853"/>
      <c r="AO136" s="1853"/>
      <c r="AP136" s="1853"/>
      <c r="AQ136" s="1853"/>
      <c r="AR136" s="1853"/>
      <c r="AS136" s="1853"/>
      <c r="AT136" s="1853"/>
      <c r="AU136" s="1853"/>
      <c r="AV136" s="1853"/>
      <c r="AW136" s="1853"/>
      <c r="AX136" s="1853"/>
      <c r="AY136" s="1853"/>
      <c r="AZ136" s="1853"/>
      <c r="BA136" s="1853"/>
      <c r="BB136" s="1853"/>
      <c r="BC136" s="1853"/>
      <c r="BD136" s="1853"/>
      <c r="BE136" s="1853"/>
      <c r="BF136" s="1853"/>
      <c r="BG136" s="1853"/>
      <c r="BH136" s="1853"/>
      <c r="BI136" s="1853"/>
      <c r="BJ136" s="1853"/>
      <c r="BK136" s="1853"/>
      <c r="BL136" s="1853"/>
      <c r="BM136" s="1853"/>
      <c r="BN136" s="1853"/>
      <c r="BO136" s="1853"/>
    </row>
    <row r="137" spans="1:67" ht="20.100000000000001" hidden="1" customHeight="1" outlineLevel="1">
      <c r="A137" s="1842"/>
      <c r="B137" s="1954"/>
      <c r="C137" s="1876"/>
      <c r="D137" s="1866" t="s">
        <v>931</v>
      </c>
      <c r="E137" s="1866"/>
      <c r="F137" s="1951"/>
      <c r="G137" s="1952" t="s">
        <v>1109</v>
      </c>
      <c r="H137" s="1953"/>
      <c r="I137" s="1953"/>
      <c r="J137" s="1953"/>
      <c r="K137" s="1953"/>
      <c r="L137" s="1953">
        <f t="shared" ref="L137:AA137" ca="1" si="49">L27</f>
        <v>0</v>
      </c>
      <c r="M137" s="1953">
        <f t="shared" ca="1" si="49"/>
        <v>0</v>
      </c>
      <c r="N137" s="1953">
        <f t="shared" ca="1" si="49"/>
        <v>0</v>
      </c>
      <c r="O137" s="1953">
        <f t="shared" ca="1" si="49"/>
        <v>0</v>
      </c>
      <c r="P137" s="1953">
        <f t="shared" ca="1" si="49"/>
        <v>0</v>
      </c>
      <c r="Q137" s="1953">
        <f t="shared" ca="1" si="49"/>
        <v>0</v>
      </c>
      <c r="R137" s="1953">
        <f t="shared" ca="1" si="49"/>
        <v>0</v>
      </c>
      <c r="S137" s="1953">
        <f t="shared" ca="1" si="49"/>
        <v>0</v>
      </c>
      <c r="T137" s="1953">
        <f t="shared" ca="1" si="49"/>
        <v>0</v>
      </c>
      <c r="U137" s="1953">
        <f t="shared" ca="1" si="49"/>
        <v>0</v>
      </c>
      <c r="V137" s="1953">
        <f t="shared" ca="1" si="49"/>
        <v>0</v>
      </c>
      <c r="W137" s="1953">
        <f t="shared" ca="1" si="49"/>
        <v>0</v>
      </c>
      <c r="X137" s="1853">
        <f t="shared" ca="1" si="49"/>
        <v>0</v>
      </c>
      <c r="Y137" s="1853">
        <f t="shared" ca="1" si="49"/>
        <v>0</v>
      </c>
      <c r="Z137" s="1853">
        <f t="shared" ca="1" si="49"/>
        <v>0</v>
      </c>
      <c r="AA137" s="1853">
        <f t="shared" ca="1" si="49"/>
        <v>0</v>
      </c>
      <c r="AB137" s="1853"/>
      <c r="AC137" s="1853"/>
      <c r="AD137" s="1853"/>
      <c r="AE137" s="1853"/>
      <c r="AF137" s="1853"/>
      <c r="AG137" s="1853"/>
      <c r="AH137" s="1853"/>
      <c r="AI137" s="1853"/>
      <c r="AJ137" s="1853"/>
      <c r="AK137" s="1853"/>
      <c r="AL137" s="1853"/>
      <c r="AM137" s="1853"/>
      <c r="AN137" s="1853"/>
      <c r="AO137" s="1853"/>
      <c r="AP137" s="1853"/>
      <c r="AQ137" s="1853"/>
      <c r="AR137" s="1853"/>
      <c r="AS137" s="1853"/>
      <c r="AT137" s="1853"/>
      <c r="AU137" s="1853"/>
      <c r="AV137" s="1853"/>
      <c r="AW137" s="1853"/>
      <c r="AX137" s="1853"/>
      <c r="AY137" s="1853"/>
      <c r="AZ137" s="1853"/>
      <c r="BA137" s="1853"/>
      <c r="BB137" s="1853"/>
      <c r="BC137" s="1853"/>
      <c r="BD137" s="1853"/>
      <c r="BE137" s="1853"/>
      <c r="BF137" s="1853"/>
      <c r="BG137" s="1853"/>
      <c r="BH137" s="1853"/>
      <c r="BI137" s="1853"/>
      <c r="BJ137" s="1853"/>
      <c r="BK137" s="1853"/>
      <c r="BL137" s="1853"/>
      <c r="BM137" s="1853"/>
      <c r="BN137" s="1853"/>
      <c r="BO137" s="1853"/>
    </row>
    <row r="138" spans="1:67" ht="20.100000000000001" hidden="1" customHeight="1" outlineLevel="1">
      <c r="A138" s="1842"/>
      <c r="B138" s="1954"/>
      <c r="C138" s="1876"/>
      <c r="D138" s="1866" t="s">
        <v>932</v>
      </c>
      <c r="E138" s="1866"/>
      <c r="F138" s="1951"/>
      <c r="G138" s="1952" t="s">
        <v>1109</v>
      </c>
      <c r="H138" s="1953"/>
      <c r="I138" s="1953"/>
      <c r="J138" s="1953"/>
      <c r="K138" s="1953"/>
      <c r="L138" s="1953">
        <f t="shared" ref="L138:AA138" ca="1" si="50">L28</f>
        <v>0</v>
      </c>
      <c r="M138" s="1953">
        <f t="shared" ca="1" si="50"/>
        <v>0</v>
      </c>
      <c r="N138" s="1953">
        <f t="shared" ca="1" si="50"/>
        <v>0</v>
      </c>
      <c r="O138" s="1953">
        <f t="shared" ca="1" si="50"/>
        <v>0</v>
      </c>
      <c r="P138" s="1953">
        <f t="shared" ca="1" si="50"/>
        <v>0</v>
      </c>
      <c r="Q138" s="1953">
        <f t="shared" ca="1" si="50"/>
        <v>0</v>
      </c>
      <c r="R138" s="1953">
        <f t="shared" ca="1" si="50"/>
        <v>0</v>
      </c>
      <c r="S138" s="1953">
        <f t="shared" ca="1" si="50"/>
        <v>0</v>
      </c>
      <c r="T138" s="1953">
        <f t="shared" ca="1" si="50"/>
        <v>0</v>
      </c>
      <c r="U138" s="1953">
        <f t="shared" ca="1" si="50"/>
        <v>0</v>
      </c>
      <c r="V138" s="1953">
        <f t="shared" ca="1" si="50"/>
        <v>0</v>
      </c>
      <c r="W138" s="1953">
        <f t="shared" ca="1" si="50"/>
        <v>0</v>
      </c>
      <c r="X138" s="1853">
        <f t="shared" ca="1" si="50"/>
        <v>0</v>
      </c>
      <c r="Y138" s="1853">
        <f t="shared" ca="1" si="50"/>
        <v>0</v>
      </c>
      <c r="Z138" s="1853">
        <f t="shared" ca="1" si="50"/>
        <v>0</v>
      </c>
      <c r="AA138" s="1853">
        <f t="shared" ca="1" si="50"/>
        <v>0</v>
      </c>
      <c r="AB138" s="1853"/>
      <c r="AC138" s="1853"/>
      <c r="AD138" s="1853"/>
      <c r="AE138" s="1853"/>
      <c r="AF138" s="1853"/>
      <c r="AG138" s="1853"/>
      <c r="AH138" s="1853"/>
      <c r="AI138" s="1853"/>
      <c r="AJ138" s="1853"/>
      <c r="AK138" s="1853"/>
      <c r="AL138" s="1853"/>
      <c r="AM138" s="1853"/>
      <c r="AN138" s="1853"/>
      <c r="AO138" s="1853"/>
      <c r="AP138" s="1853"/>
      <c r="AQ138" s="1853"/>
      <c r="AR138" s="1853"/>
      <c r="AS138" s="1853"/>
      <c r="AT138" s="1853"/>
      <c r="AU138" s="1853"/>
      <c r="AV138" s="1853"/>
      <c r="AW138" s="1853"/>
      <c r="AX138" s="1853"/>
      <c r="AY138" s="1853"/>
      <c r="AZ138" s="1853"/>
      <c r="BA138" s="1853"/>
      <c r="BB138" s="1853"/>
      <c r="BC138" s="1853"/>
      <c r="BD138" s="1853"/>
      <c r="BE138" s="1853"/>
      <c r="BF138" s="1853"/>
      <c r="BG138" s="1853"/>
      <c r="BH138" s="1853"/>
      <c r="BI138" s="1853"/>
      <c r="BJ138" s="1853"/>
      <c r="BK138" s="1853"/>
      <c r="BL138" s="1853"/>
      <c r="BM138" s="1853"/>
      <c r="BN138" s="1853"/>
      <c r="BO138" s="1853"/>
    </row>
    <row r="139" spans="1:67" ht="20.100000000000001" hidden="1" customHeight="1" outlineLevel="1">
      <c r="A139" s="1842"/>
      <c r="B139" s="1954"/>
      <c r="C139" s="1876"/>
      <c r="D139" s="1866" t="s">
        <v>558</v>
      </c>
      <c r="E139" s="1866"/>
      <c r="F139" s="1951"/>
      <c r="G139" s="1952" t="s">
        <v>1109</v>
      </c>
      <c r="H139" s="1953"/>
      <c r="I139" s="1953"/>
      <c r="J139" s="1953"/>
      <c r="K139" s="1953"/>
      <c r="L139" s="1953">
        <f t="shared" ref="L139:AA139" ca="1" si="51">L29</f>
        <v>0</v>
      </c>
      <c r="M139" s="1953">
        <f t="shared" ca="1" si="51"/>
        <v>0</v>
      </c>
      <c r="N139" s="1953">
        <f t="shared" ca="1" si="51"/>
        <v>0</v>
      </c>
      <c r="O139" s="1953">
        <f t="shared" ca="1" si="51"/>
        <v>0</v>
      </c>
      <c r="P139" s="1953">
        <f t="shared" ca="1" si="51"/>
        <v>0</v>
      </c>
      <c r="Q139" s="1953">
        <f t="shared" ca="1" si="51"/>
        <v>0</v>
      </c>
      <c r="R139" s="1953">
        <f t="shared" ca="1" si="51"/>
        <v>0</v>
      </c>
      <c r="S139" s="1953">
        <f t="shared" ca="1" si="51"/>
        <v>0</v>
      </c>
      <c r="T139" s="1953">
        <f t="shared" ca="1" si="51"/>
        <v>0</v>
      </c>
      <c r="U139" s="1953">
        <f t="shared" ca="1" si="51"/>
        <v>0</v>
      </c>
      <c r="V139" s="1953">
        <f t="shared" ca="1" si="51"/>
        <v>0</v>
      </c>
      <c r="W139" s="1953">
        <f t="shared" ca="1" si="51"/>
        <v>0</v>
      </c>
      <c r="X139" s="1853">
        <f t="shared" ca="1" si="51"/>
        <v>0</v>
      </c>
      <c r="Y139" s="1853">
        <f t="shared" ca="1" si="51"/>
        <v>0</v>
      </c>
      <c r="Z139" s="1853">
        <f t="shared" ca="1" si="51"/>
        <v>0</v>
      </c>
      <c r="AA139" s="1853">
        <f t="shared" ca="1" si="51"/>
        <v>0</v>
      </c>
      <c r="AB139" s="1853"/>
      <c r="AC139" s="1853"/>
      <c r="AD139" s="1853"/>
      <c r="AE139" s="1853"/>
      <c r="AF139" s="1853"/>
      <c r="AG139" s="1853"/>
      <c r="AH139" s="1853"/>
      <c r="AI139" s="1853"/>
      <c r="AJ139" s="1853"/>
      <c r="AK139" s="1853"/>
      <c r="AL139" s="1853"/>
      <c r="AM139" s="1853"/>
      <c r="AN139" s="1853"/>
      <c r="AO139" s="1853"/>
      <c r="AP139" s="1853"/>
      <c r="AQ139" s="1853"/>
      <c r="AR139" s="1853"/>
      <c r="AS139" s="1853"/>
      <c r="AT139" s="1853"/>
      <c r="AU139" s="1853"/>
      <c r="AV139" s="1853"/>
      <c r="AW139" s="1853"/>
      <c r="AX139" s="1853"/>
      <c r="AY139" s="1853"/>
      <c r="AZ139" s="1853"/>
      <c r="BA139" s="1853"/>
      <c r="BB139" s="1853"/>
      <c r="BC139" s="1853"/>
      <c r="BD139" s="1853"/>
      <c r="BE139" s="1853"/>
      <c r="BF139" s="1853"/>
      <c r="BG139" s="1853"/>
      <c r="BH139" s="1853"/>
      <c r="BI139" s="1853"/>
      <c r="BJ139" s="1853"/>
      <c r="BK139" s="1853"/>
      <c r="BL139" s="1853"/>
      <c r="BM139" s="1853"/>
      <c r="BN139" s="1853"/>
      <c r="BO139" s="1853"/>
    </row>
    <row r="140" spans="1:67" ht="20.100000000000001" hidden="1" customHeight="1" outlineLevel="1">
      <c r="A140" s="1842"/>
      <c r="B140" s="1954"/>
      <c r="C140" s="1876"/>
      <c r="D140" s="1866" t="s">
        <v>559</v>
      </c>
      <c r="E140" s="1956"/>
      <c r="F140" s="1951"/>
      <c r="G140" s="1952" t="s">
        <v>1109</v>
      </c>
      <c r="H140" s="1953"/>
      <c r="I140" s="1953"/>
      <c r="J140" s="1953"/>
      <c r="K140" s="1953"/>
      <c r="L140" s="1953">
        <f t="shared" ref="L140:AA140" ca="1" si="52">L30</f>
        <v>0</v>
      </c>
      <c r="M140" s="1953">
        <f t="shared" ca="1" si="52"/>
        <v>0</v>
      </c>
      <c r="N140" s="1953">
        <f t="shared" ca="1" si="52"/>
        <v>0</v>
      </c>
      <c r="O140" s="1953">
        <f t="shared" ca="1" si="52"/>
        <v>0</v>
      </c>
      <c r="P140" s="1953">
        <f t="shared" ca="1" si="52"/>
        <v>0</v>
      </c>
      <c r="Q140" s="1953">
        <f t="shared" ca="1" si="52"/>
        <v>0</v>
      </c>
      <c r="R140" s="1953">
        <f t="shared" ca="1" si="52"/>
        <v>0</v>
      </c>
      <c r="S140" s="1953">
        <f t="shared" ca="1" si="52"/>
        <v>0</v>
      </c>
      <c r="T140" s="1953">
        <f t="shared" ca="1" si="52"/>
        <v>0</v>
      </c>
      <c r="U140" s="1953">
        <f t="shared" ca="1" si="52"/>
        <v>0</v>
      </c>
      <c r="V140" s="1953">
        <f t="shared" ca="1" si="52"/>
        <v>0</v>
      </c>
      <c r="W140" s="1953">
        <f t="shared" ca="1" si="52"/>
        <v>0</v>
      </c>
      <c r="X140" s="1853">
        <f t="shared" ca="1" si="52"/>
        <v>0</v>
      </c>
      <c r="Y140" s="1853">
        <f t="shared" ca="1" si="52"/>
        <v>0</v>
      </c>
      <c r="Z140" s="1853">
        <f t="shared" ca="1" si="52"/>
        <v>0</v>
      </c>
      <c r="AA140" s="1853">
        <f t="shared" ca="1" si="52"/>
        <v>0</v>
      </c>
      <c r="AB140" s="1853"/>
      <c r="AC140" s="1853"/>
      <c r="AD140" s="1853"/>
      <c r="AE140" s="1853"/>
      <c r="AF140" s="1853"/>
      <c r="AG140" s="1853"/>
      <c r="AH140" s="1853"/>
      <c r="AI140" s="1853"/>
      <c r="AJ140" s="1853"/>
      <c r="AK140" s="1853"/>
      <c r="AL140" s="1853"/>
      <c r="AM140" s="1853"/>
      <c r="AN140" s="1853"/>
      <c r="AO140" s="1853"/>
      <c r="AP140" s="1853"/>
      <c r="AQ140" s="1853"/>
      <c r="AR140" s="1853"/>
      <c r="AS140" s="1853"/>
      <c r="AT140" s="1853"/>
      <c r="AU140" s="1853"/>
      <c r="AV140" s="1853"/>
      <c r="AW140" s="1853"/>
      <c r="AX140" s="1853"/>
      <c r="AY140" s="1853"/>
      <c r="AZ140" s="1853"/>
      <c r="BA140" s="1853"/>
      <c r="BB140" s="1853"/>
      <c r="BC140" s="1853"/>
      <c r="BD140" s="1853"/>
      <c r="BE140" s="1853"/>
      <c r="BF140" s="1853"/>
      <c r="BG140" s="1853"/>
      <c r="BH140" s="1853"/>
      <c r="BI140" s="1853"/>
      <c r="BJ140" s="1853"/>
      <c r="BK140" s="1853"/>
      <c r="BL140" s="1853"/>
      <c r="BM140" s="1853"/>
      <c r="BN140" s="1853"/>
      <c r="BO140" s="1853"/>
    </row>
    <row r="141" spans="1:67" ht="20.100000000000001" hidden="1" customHeight="1" outlineLevel="1">
      <c r="A141" s="1842"/>
      <c r="B141" s="1954"/>
      <c r="C141" s="1876"/>
      <c r="D141" s="1866" t="s">
        <v>560</v>
      </c>
      <c r="E141" s="1866"/>
      <c r="F141" s="1951"/>
      <c r="G141" s="1952" t="s">
        <v>1109</v>
      </c>
      <c r="H141" s="1953"/>
      <c r="I141" s="1953"/>
      <c r="J141" s="1953"/>
      <c r="K141" s="1953"/>
      <c r="L141" s="1953">
        <f t="shared" ref="L141:AA141" ca="1" si="53">L31</f>
        <v>0</v>
      </c>
      <c r="M141" s="1953">
        <f t="shared" ca="1" si="53"/>
        <v>0</v>
      </c>
      <c r="N141" s="1953">
        <f t="shared" ca="1" si="53"/>
        <v>0</v>
      </c>
      <c r="O141" s="1953">
        <f t="shared" ca="1" si="53"/>
        <v>0</v>
      </c>
      <c r="P141" s="1953">
        <f t="shared" ca="1" si="53"/>
        <v>0</v>
      </c>
      <c r="Q141" s="1953">
        <f t="shared" ca="1" si="53"/>
        <v>0</v>
      </c>
      <c r="R141" s="1953">
        <f t="shared" ca="1" si="53"/>
        <v>0</v>
      </c>
      <c r="S141" s="1953">
        <f t="shared" ca="1" si="53"/>
        <v>0</v>
      </c>
      <c r="T141" s="1953">
        <f t="shared" ca="1" si="53"/>
        <v>0</v>
      </c>
      <c r="U141" s="1953">
        <f t="shared" ca="1" si="53"/>
        <v>0</v>
      </c>
      <c r="V141" s="1953">
        <f t="shared" ca="1" si="53"/>
        <v>0</v>
      </c>
      <c r="W141" s="1953">
        <f t="shared" ca="1" si="53"/>
        <v>0</v>
      </c>
      <c r="X141" s="1853">
        <f t="shared" ca="1" si="53"/>
        <v>0</v>
      </c>
      <c r="Y141" s="1853">
        <f t="shared" ca="1" si="53"/>
        <v>0</v>
      </c>
      <c r="Z141" s="1853">
        <f t="shared" ca="1" si="53"/>
        <v>0</v>
      </c>
      <c r="AA141" s="1853">
        <f t="shared" ca="1" si="53"/>
        <v>0</v>
      </c>
      <c r="AB141" s="1853"/>
      <c r="AC141" s="1853"/>
      <c r="AD141" s="1853"/>
      <c r="AE141" s="1853"/>
      <c r="AF141" s="1853"/>
      <c r="AG141" s="1853"/>
      <c r="AH141" s="1853"/>
      <c r="AI141" s="1853"/>
      <c r="AJ141" s="1853"/>
      <c r="AK141" s="1853"/>
      <c r="AL141" s="1853"/>
      <c r="AM141" s="1853"/>
      <c r="AN141" s="1853"/>
      <c r="AO141" s="1853"/>
      <c r="AP141" s="1853"/>
      <c r="AQ141" s="1853"/>
      <c r="AR141" s="1853"/>
      <c r="AS141" s="1853"/>
      <c r="AT141" s="1853"/>
      <c r="AU141" s="1853"/>
      <c r="AV141" s="1853"/>
      <c r="AW141" s="1853"/>
      <c r="AX141" s="1853"/>
      <c r="AY141" s="1853"/>
      <c r="AZ141" s="1853"/>
      <c r="BA141" s="1853"/>
      <c r="BB141" s="1853"/>
      <c r="BC141" s="1853"/>
      <c r="BD141" s="1853"/>
      <c r="BE141" s="1853"/>
      <c r="BF141" s="1853"/>
      <c r="BG141" s="1853"/>
      <c r="BH141" s="1853"/>
      <c r="BI141" s="1853"/>
      <c r="BJ141" s="1853"/>
      <c r="BK141" s="1853"/>
      <c r="BL141" s="1853"/>
      <c r="BM141" s="1853"/>
      <c r="BN141" s="1853"/>
      <c r="BO141" s="1853"/>
    </row>
    <row r="142" spans="1:67" ht="20.100000000000001" hidden="1" customHeight="1" outlineLevel="1">
      <c r="A142" s="1842"/>
      <c r="B142" s="1954"/>
      <c r="C142" s="1876"/>
      <c r="D142" s="1866" t="s">
        <v>561</v>
      </c>
      <c r="E142" s="1866"/>
      <c r="F142" s="1951"/>
      <c r="G142" s="1952" t="s">
        <v>1109</v>
      </c>
      <c r="H142" s="1953"/>
      <c r="I142" s="1953"/>
      <c r="J142" s="1953"/>
      <c r="K142" s="1953"/>
      <c r="L142" s="1953">
        <f t="shared" ref="L142:AA142" ca="1" si="54">L32</f>
        <v>0</v>
      </c>
      <c r="M142" s="1953">
        <f t="shared" ca="1" si="54"/>
        <v>0</v>
      </c>
      <c r="N142" s="1953">
        <f t="shared" ca="1" si="54"/>
        <v>0</v>
      </c>
      <c r="O142" s="1953">
        <f t="shared" ca="1" si="54"/>
        <v>0</v>
      </c>
      <c r="P142" s="1953">
        <f t="shared" ca="1" si="54"/>
        <v>0</v>
      </c>
      <c r="Q142" s="1953">
        <f t="shared" ca="1" si="54"/>
        <v>0</v>
      </c>
      <c r="R142" s="1953">
        <f t="shared" ca="1" si="54"/>
        <v>0</v>
      </c>
      <c r="S142" s="1953">
        <f t="shared" ca="1" si="54"/>
        <v>0</v>
      </c>
      <c r="T142" s="1953">
        <f t="shared" ca="1" si="54"/>
        <v>0</v>
      </c>
      <c r="U142" s="1953">
        <f t="shared" ca="1" si="54"/>
        <v>0</v>
      </c>
      <c r="V142" s="1953">
        <f t="shared" ca="1" si="54"/>
        <v>0</v>
      </c>
      <c r="W142" s="1953">
        <f t="shared" ca="1" si="54"/>
        <v>0</v>
      </c>
      <c r="X142" s="1853">
        <f t="shared" ca="1" si="54"/>
        <v>0</v>
      </c>
      <c r="Y142" s="1853">
        <f t="shared" ca="1" si="54"/>
        <v>0</v>
      </c>
      <c r="Z142" s="1853">
        <f t="shared" ca="1" si="54"/>
        <v>0</v>
      </c>
      <c r="AA142" s="1853">
        <f t="shared" ca="1" si="54"/>
        <v>0</v>
      </c>
      <c r="AB142" s="1853"/>
      <c r="AC142" s="1853"/>
      <c r="AD142" s="1853"/>
      <c r="AE142" s="1853"/>
      <c r="AF142" s="1853"/>
      <c r="AG142" s="1853"/>
      <c r="AH142" s="1853"/>
      <c r="AI142" s="1853"/>
      <c r="AJ142" s="1853"/>
      <c r="AK142" s="1853"/>
      <c r="AL142" s="1853"/>
      <c r="AM142" s="1853"/>
      <c r="AN142" s="1853"/>
      <c r="AO142" s="1853"/>
      <c r="AP142" s="1853"/>
      <c r="AQ142" s="1853"/>
      <c r="AR142" s="1853"/>
      <c r="AS142" s="1853"/>
      <c r="AT142" s="1853"/>
      <c r="AU142" s="1853"/>
      <c r="AV142" s="1853"/>
      <c r="AW142" s="1853"/>
      <c r="AX142" s="1853"/>
      <c r="AY142" s="1853"/>
      <c r="AZ142" s="1853"/>
      <c r="BA142" s="1853"/>
      <c r="BB142" s="1853"/>
      <c r="BC142" s="1853"/>
      <c r="BD142" s="1853"/>
      <c r="BE142" s="1853"/>
      <c r="BF142" s="1853"/>
      <c r="BG142" s="1853"/>
      <c r="BH142" s="1853"/>
      <c r="BI142" s="1853"/>
      <c r="BJ142" s="1853"/>
      <c r="BK142" s="1853"/>
      <c r="BL142" s="1853"/>
      <c r="BM142" s="1853"/>
      <c r="BN142" s="1853"/>
      <c r="BO142" s="1853"/>
    </row>
    <row r="143" spans="1:67" ht="20.100000000000001" hidden="1" customHeight="1" outlineLevel="1">
      <c r="A143" s="1842"/>
      <c r="B143" s="1954"/>
      <c r="C143" s="1876"/>
      <c r="D143" s="1866" t="s">
        <v>933</v>
      </c>
      <c r="E143" s="1866"/>
      <c r="F143" s="1951"/>
      <c r="G143" s="1952" t="s">
        <v>1109</v>
      </c>
      <c r="H143" s="1953"/>
      <c r="I143" s="1953"/>
      <c r="J143" s="1953"/>
      <c r="K143" s="1953"/>
      <c r="L143" s="1953">
        <f t="shared" ref="L143:AA143" ca="1" si="55">L33</f>
        <v>0</v>
      </c>
      <c r="M143" s="1953">
        <f t="shared" ca="1" si="55"/>
        <v>0</v>
      </c>
      <c r="N143" s="1953">
        <f t="shared" ca="1" si="55"/>
        <v>0</v>
      </c>
      <c r="O143" s="1953">
        <f t="shared" ca="1" si="55"/>
        <v>0</v>
      </c>
      <c r="P143" s="1953">
        <f t="shared" ca="1" si="55"/>
        <v>0</v>
      </c>
      <c r="Q143" s="1953">
        <f t="shared" ca="1" si="55"/>
        <v>0</v>
      </c>
      <c r="R143" s="1953">
        <f t="shared" ca="1" si="55"/>
        <v>0</v>
      </c>
      <c r="S143" s="1953">
        <f t="shared" ca="1" si="55"/>
        <v>0</v>
      </c>
      <c r="T143" s="1953">
        <f t="shared" ca="1" si="55"/>
        <v>0</v>
      </c>
      <c r="U143" s="1953">
        <f t="shared" ca="1" si="55"/>
        <v>0</v>
      </c>
      <c r="V143" s="1953">
        <f t="shared" ca="1" si="55"/>
        <v>0</v>
      </c>
      <c r="W143" s="1953">
        <f t="shared" ca="1" si="55"/>
        <v>0</v>
      </c>
      <c r="X143" s="1853">
        <f t="shared" ca="1" si="55"/>
        <v>0</v>
      </c>
      <c r="Y143" s="1853">
        <f t="shared" ca="1" si="55"/>
        <v>0</v>
      </c>
      <c r="Z143" s="1853">
        <f t="shared" ca="1" si="55"/>
        <v>0</v>
      </c>
      <c r="AA143" s="1853">
        <f t="shared" ca="1" si="55"/>
        <v>0</v>
      </c>
      <c r="AB143" s="1853"/>
      <c r="AC143" s="1853"/>
      <c r="AD143" s="1853"/>
      <c r="AE143" s="1853"/>
      <c r="AF143" s="1853"/>
      <c r="AG143" s="1853"/>
      <c r="AH143" s="1853"/>
      <c r="AI143" s="1853"/>
      <c r="AJ143" s="1853"/>
      <c r="AK143" s="1853"/>
      <c r="AL143" s="1853"/>
      <c r="AM143" s="1853"/>
      <c r="AN143" s="1853"/>
      <c r="AO143" s="1853"/>
      <c r="AP143" s="1853"/>
      <c r="AQ143" s="1853"/>
      <c r="AR143" s="1853"/>
      <c r="AS143" s="1853"/>
      <c r="AT143" s="1853"/>
      <c r="AU143" s="1853"/>
      <c r="AV143" s="1853"/>
      <c r="AW143" s="1853"/>
      <c r="AX143" s="1853"/>
      <c r="AY143" s="1853"/>
      <c r="AZ143" s="1853"/>
      <c r="BA143" s="1853"/>
      <c r="BB143" s="1853"/>
      <c r="BC143" s="1853"/>
      <c r="BD143" s="1853"/>
      <c r="BE143" s="1853"/>
      <c r="BF143" s="1853"/>
      <c r="BG143" s="1853"/>
      <c r="BH143" s="1853"/>
      <c r="BI143" s="1853"/>
      <c r="BJ143" s="1853"/>
      <c r="BK143" s="1853"/>
      <c r="BL143" s="1853"/>
      <c r="BM143" s="1853"/>
      <c r="BN143" s="1853"/>
      <c r="BO143" s="1853"/>
    </row>
    <row r="144" spans="1:67" ht="20.100000000000001" hidden="1" customHeight="1" outlineLevel="1">
      <c r="A144" s="1842"/>
      <c r="B144" s="1954"/>
      <c r="C144" s="1876"/>
      <c r="D144" s="1866" t="s">
        <v>562</v>
      </c>
      <c r="E144" s="1866"/>
      <c r="F144" s="1951"/>
      <c r="G144" s="1952" t="s">
        <v>1109</v>
      </c>
      <c r="H144" s="1953"/>
      <c r="I144" s="1953"/>
      <c r="J144" s="1953"/>
      <c r="K144" s="1953"/>
      <c r="L144" s="1953">
        <f t="shared" ref="L144:AA144" ca="1" si="56">L34</f>
        <v>0</v>
      </c>
      <c r="M144" s="1953">
        <f t="shared" ca="1" si="56"/>
        <v>0</v>
      </c>
      <c r="N144" s="1953">
        <f t="shared" ca="1" si="56"/>
        <v>0</v>
      </c>
      <c r="O144" s="1953">
        <f t="shared" ca="1" si="56"/>
        <v>0</v>
      </c>
      <c r="P144" s="1953">
        <f t="shared" ca="1" si="56"/>
        <v>0</v>
      </c>
      <c r="Q144" s="1953">
        <f t="shared" ca="1" si="56"/>
        <v>0</v>
      </c>
      <c r="R144" s="1953">
        <f t="shared" ca="1" si="56"/>
        <v>0</v>
      </c>
      <c r="S144" s="1953">
        <f t="shared" ca="1" si="56"/>
        <v>0</v>
      </c>
      <c r="T144" s="1953">
        <f t="shared" ca="1" si="56"/>
        <v>0</v>
      </c>
      <c r="U144" s="1953">
        <f t="shared" ca="1" si="56"/>
        <v>0</v>
      </c>
      <c r="V144" s="1953">
        <f t="shared" ca="1" si="56"/>
        <v>0</v>
      </c>
      <c r="W144" s="1953">
        <f t="shared" ca="1" si="56"/>
        <v>0</v>
      </c>
      <c r="X144" s="1853">
        <f t="shared" ca="1" si="56"/>
        <v>0</v>
      </c>
      <c r="Y144" s="1853">
        <f t="shared" ca="1" si="56"/>
        <v>0</v>
      </c>
      <c r="Z144" s="1853">
        <f t="shared" ca="1" si="56"/>
        <v>0</v>
      </c>
      <c r="AA144" s="1853">
        <f t="shared" ca="1" si="56"/>
        <v>0</v>
      </c>
      <c r="AB144" s="1853"/>
      <c r="AC144" s="1853"/>
      <c r="AD144" s="1853"/>
      <c r="AE144" s="1853"/>
      <c r="AF144" s="1853"/>
      <c r="AG144" s="1853"/>
      <c r="AH144" s="1853"/>
      <c r="AI144" s="1853"/>
      <c r="AJ144" s="1853"/>
      <c r="AK144" s="1853"/>
      <c r="AL144" s="1853"/>
      <c r="AM144" s="1853"/>
      <c r="AN144" s="1853"/>
      <c r="AO144" s="1853"/>
      <c r="AP144" s="1853"/>
      <c r="AQ144" s="1853"/>
      <c r="AR144" s="1853"/>
      <c r="AS144" s="1853"/>
      <c r="AT144" s="1853"/>
      <c r="AU144" s="1853"/>
      <c r="AV144" s="1853"/>
      <c r="AW144" s="1853"/>
      <c r="AX144" s="1853"/>
      <c r="AY144" s="1853"/>
      <c r="AZ144" s="1853"/>
      <c r="BA144" s="1853"/>
      <c r="BB144" s="1853"/>
      <c r="BC144" s="1853"/>
      <c r="BD144" s="1853"/>
      <c r="BE144" s="1853"/>
      <c r="BF144" s="1853"/>
      <c r="BG144" s="1853"/>
      <c r="BH144" s="1853"/>
      <c r="BI144" s="1853"/>
      <c r="BJ144" s="1853"/>
      <c r="BK144" s="1853"/>
      <c r="BL144" s="1853"/>
      <c r="BM144" s="1853"/>
      <c r="BN144" s="1853"/>
      <c r="BO144" s="1853"/>
    </row>
    <row r="145" spans="1:67" ht="20.100000000000001" hidden="1" customHeight="1" outlineLevel="1">
      <c r="A145" s="1842">
        <v>8</v>
      </c>
      <c r="B145" s="1955"/>
      <c r="C145" s="1876"/>
      <c r="D145" s="1866" t="s">
        <v>934</v>
      </c>
      <c r="E145" s="1957"/>
      <c r="F145" s="1951"/>
      <c r="G145" s="1952" t="s">
        <v>1109</v>
      </c>
      <c r="H145" s="1953"/>
      <c r="I145" s="1953"/>
      <c r="J145" s="1953"/>
      <c r="K145" s="1953"/>
      <c r="L145" s="1953">
        <f ca="1">SUM(SUMIFS(OFFSET(A1_集計2024,$A145,9,1,200),OFFSET(貼付け_2024実績,4,9,1,200),{"横浜*","川崎*","県域*","エネルギー管理指定工場等*"}))</f>
        <v>0</v>
      </c>
      <c r="M145" s="1953">
        <f ca="1">SUM(SUMIFS(OFFSET(A1_集計2025,$A145,9,1,200),OFFSET(貼付け_2025実績,4,9,1,200),{"横浜*","川崎*","県域*","エネルギー管理指定工場等*"}))</f>
        <v>0</v>
      </c>
      <c r="N145" s="1953">
        <f ca="1">SUM(SUMIFS(OFFSET(A1_集計2026,$A145,9,1,200),OFFSET(貼付け_2026実績,4,9,1,200),{"横浜*","川崎*","県域*","エネルギー管理指定工場等*"}))</f>
        <v>0</v>
      </c>
      <c r="O145" s="1953">
        <f ca="1">SUM(SUMIFS(OFFSET(A1_集計2027,$A145,9,1,200),OFFSET(貼付け_2027実績,4,9,1,200),{"横浜*","川崎*","県域*","エネルギー管理指定工場等*"}))</f>
        <v>0</v>
      </c>
      <c r="P145" s="1953">
        <f ca="1">SUM(SUMIFS(OFFSET(A1_集計2024,$A145,9,1,200),OFFSET(貼付け_2024実績,4,9,1,200),{"横浜*","川崎*"}))</f>
        <v>0</v>
      </c>
      <c r="Q145" s="1953">
        <f ca="1">SUM(SUMIFS(OFFSET(A1_集計2025,$A145,9,1,200),OFFSET(貼付け_2025実績,4,9,1,200),{"横浜*","川崎*"}))</f>
        <v>0</v>
      </c>
      <c r="R145" s="1953">
        <f ca="1">SUM(SUMIFS(OFFSET(A1_集計2026,$A145,9,1,200),OFFSET(貼付け_2026実績,4,9,1,200),{"横浜*","川崎*"}))</f>
        <v>0</v>
      </c>
      <c r="S145" s="1953">
        <f ca="1">SUM(SUMIFS(OFFSET(A1_集計2027,$A145,9,1,200),OFFSET(貼付け_2027実績,4,9,1,200),{"横浜*","川崎*"}))</f>
        <v>0</v>
      </c>
      <c r="T145" s="1953">
        <f ca="1">SUM(SUMIFS(OFFSET(A1_集計2024,$A145,9,1,200),OFFSET(貼付け_2024実績,4,9,1,200),{"県域*","エネルギー管理指定工場等*"}))</f>
        <v>0</v>
      </c>
      <c r="U145" s="1953">
        <f ca="1">SUM(SUMIFS(OFFSET(A1_集計2025,$A145,9,1,200),OFFSET(貼付け_2025実績,4,9,1,200),{"県域*","エネルギー管理指定工場等*"}))</f>
        <v>0</v>
      </c>
      <c r="V145" s="1953">
        <f ca="1">SUM(SUMIFS(OFFSET(A1_集計2026,$A145,9,1,200),OFFSET(貼付け_2026実績,4,9,1,200),{"県域*","エネルギー管理指定工場等*"}))</f>
        <v>0</v>
      </c>
      <c r="W145" s="1953">
        <f ca="1">SUM(SUMIFS(OFFSET(A1_集計2027,$A145,9,1,200),OFFSET(貼付け_2027実績,4,9,1,200),{"県域*","エネルギー管理指定工場等*"}))</f>
        <v>0</v>
      </c>
      <c r="X145" s="1853">
        <f ca="1">SUMIFS(OFFSET(A1_集計2024,$A145,9,1,200),OFFSET(貼付け_2024実績,4,9,1,200),"県域*")</f>
        <v>0</v>
      </c>
      <c r="Y145" s="1853">
        <f ca="1">SUMIFS(OFFSET(A1_集計2025,$A145,9,1,200),OFFSET(貼付け_2025実績,4,9,1,200),"県域*")</f>
        <v>0</v>
      </c>
      <c r="Z145" s="1853">
        <f ca="1">SUMIFS(OFFSET(A1_集計2026,$A145,9,1,200),OFFSET(貼付け_2026実績,4,9,1,200),"県域*")</f>
        <v>0</v>
      </c>
      <c r="AA145" s="1853">
        <f ca="1">SUMIFS(OFFSET(A1_集計2027,$A145,9,1,200),OFFSET(貼付け_2027実績,4,9,1,200),"県域*")</f>
        <v>0</v>
      </c>
      <c r="AB145" s="1853"/>
      <c r="AC145" s="1853"/>
      <c r="AD145" s="1853"/>
      <c r="AE145" s="1853"/>
      <c r="AF145" s="1853"/>
      <c r="AG145" s="1853"/>
      <c r="AH145" s="1853"/>
      <c r="AI145" s="1853"/>
      <c r="AJ145" s="1853"/>
      <c r="AK145" s="1853"/>
      <c r="AL145" s="1853"/>
      <c r="AM145" s="1853"/>
      <c r="AN145" s="1853"/>
      <c r="AO145" s="1853"/>
      <c r="AP145" s="1853"/>
      <c r="AQ145" s="1853"/>
      <c r="AR145" s="1853"/>
      <c r="AS145" s="1853"/>
      <c r="AT145" s="1853"/>
      <c r="AU145" s="1853"/>
      <c r="AV145" s="1853"/>
      <c r="AW145" s="1853"/>
      <c r="AX145" s="1853"/>
      <c r="AY145" s="1853"/>
      <c r="AZ145" s="1853"/>
      <c r="BA145" s="1853"/>
      <c r="BB145" s="1853"/>
      <c r="BC145" s="1853"/>
      <c r="BD145" s="1853"/>
      <c r="BE145" s="1853"/>
      <c r="BF145" s="1853"/>
      <c r="BG145" s="1853"/>
      <c r="BH145" s="1853"/>
      <c r="BI145" s="1853"/>
      <c r="BJ145" s="1853"/>
      <c r="BK145" s="1853"/>
      <c r="BL145" s="1853"/>
      <c r="BM145" s="1853"/>
      <c r="BN145" s="1853"/>
      <c r="BO145" s="1853"/>
    </row>
    <row r="146" spans="1:67" ht="20.100000000000001" hidden="1" customHeight="1" outlineLevel="1">
      <c r="A146" s="1842"/>
      <c r="B146" s="1954"/>
      <c r="C146" s="1876"/>
      <c r="D146" s="1866" t="s">
        <v>935</v>
      </c>
      <c r="E146" s="1958"/>
      <c r="F146" s="1951"/>
      <c r="G146" s="1952" t="s">
        <v>1109</v>
      </c>
      <c r="H146" s="1953"/>
      <c r="I146" s="1953"/>
      <c r="J146" s="1953"/>
      <c r="K146" s="1953"/>
      <c r="L146" s="1953">
        <f t="shared" ref="L146:AA146" ca="1" si="57">L36</f>
        <v>0</v>
      </c>
      <c r="M146" s="1953">
        <f t="shared" ca="1" si="57"/>
        <v>0</v>
      </c>
      <c r="N146" s="1953">
        <f t="shared" ca="1" si="57"/>
        <v>0</v>
      </c>
      <c r="O146" s="1953">
        <f t="shared" ca="1" si="57"/>
        <v>0</v>
      </c>
      <c r="P146" s="1953">
        <f t="shared" ca="1" si="57"/>
        <v>0</v>
      </c>
      <c r="Q146" s="1953">
        <f t="shared" ca="1" si="57"/>
        <v>0</v>
      </c>
      <c r="R146" s="1953">
        <f t="shared" ca="1" si="57"/>
        <v>0</v>
      </c>
      <c r="S146" s="1953">
        <f t="shared" ca="1" si="57"/>
        <v>0</v>
      </c>
      <c r="T146" s="1953">
        <f t="shared" ca="1" si="57"/>
        <v>0</v>
      </c>
      <c r="U146" s="1953">
        <f t="shared" ca="1" si="57"/>
        <v>0</v>
      </c>
      <c r="V146" s="1953">
        <f t="shared" ca="1" si="57"/>
        <v>0</v>
      </c>
      <c r="W146" s="1953">
        <f t="shared" ca="1" si="57"/>
        <v>0</v>
      </c>
      <c r="X146" s="1853">
        <f t="shared" ca="1" si="57"/>
        <v>0</v>
      </c>
      <c r="Y146" s="1853">
        <f t="shared" ca="1" si="57"/>
        <v>0</v>
      </c>
      <c r="Z146" s="1853">
        <f t="shared" ca="1" si="57"/>
        <v>0</v>
      </c>
      <c r="AA146" s="1853">
        <f t="shared" ca="1" si="57"/>
        <v>0</v>
      </c>
      <c r="AB146" s="1853"/>
      <c r="AC146" s="1853"/>
      <c r="AD146" s="1853"/>
      <c r="AE146" s="1853"/>
      <c r="AF146" s="1853"/>
      <c r="AG146" s="1853"/>
      <c r="AH146" s="1853"/>
      <c r="AI146" s="1853"/>
      <c r="AJ146" s="1853"/>
      <c r="AK146" s="1853"/>
      <c r="AL146" s="1853"/>
      <c r="AM146" s="1853"/>
      <c r="AN146" s="1853"/>
      <c r="AO146" s="1853"/>
      <c r="AP146" s="1853"/>
      <c r="AQ146" s="1853"/>
      <c r="AR146" s="1853"/>
      <c r="AS146" s="1853"/>
      <c r="AT146" s="1853"/>
      <c r="AU146" s="1853"/>
      <c r="AV146" s="1853"/>
      <c r="AW146" s="1853"/>
      <c r="AX146" s="1853"/>
      <c r="AY146" s="1853"/>
      <c r="AZ146" s="1853"/>
      <c r="BA146" s="1853"/>
      <c r="BB146" s="1853"/>
      <c r="BC146" s="1853"/>
      <c r="BD146" s="1853"/>
      <c r="BE146" s="1853"/>
      <c r="BF146" s="1853"/>
      <c r="BG146" s="1853"/>
      <c r="BH146" s="1853"/>
      <c r="BI146" s="1853"/>
      <c r="BJ146" s="1853"/>
      <c r="BK146" s="1853"/>
      <c r="BL146" s="1853"/>
      <c r="BM146" s="1853"/>
      <c r="BN146" s="1853"/>
      <c r="BO146" s="1853"/>
    </row>
    <row r="147" spans="1:67" ht="20.100000000000001" hidden="1" customHeight="1" outlineLevel="1">
      <c r="A147" s="1842"/>
      <c r="B147" s="1954"/>
      <c r="C147" s="1873" t="s">
        <v>936</v>
      </c>
      <c r="D147" s="1959" t="s">
        <v>937</v>
      </c>
      <c r="E147" s="1866"/>
      <c r="F147" s="1951"/>
      <c r="G147" s="1952" t="s">
        <v>1109</v>
      </c>
      <c r="H147" s="1953"/>
      <c r="I147" s="1953"/>
      <c r="J147" s="1953"/>
      <c r="K147" s="1953"/>
      <c r="L147" s="1953">
        <f t="shared" ref="L147:AA147" ca="1" si="58">L37</f>
        <v>0</v>
      </c>
      <c r="M147" s="1953">
        <f t="shared" ca="1" si="58"/>
        <v>0</v>
      </c>
      <c r="N147" s="1953">
        <f t="shared" ca="1" si="58"/>
        <v>0</v>
      </c>
      <c r="O147" s="1953">
        <f t="shared" ca="1" si="58"/>
        <v>0</v>
      </c>
      <c r="P147" s="1953">
        <f t="shared" ca="1" si="58"/>
        <v>0</v>
      </c>
      <c r="Q147" s="1953">
        <f t="shared" ca="1" si="58"/>
        <v>0</v>
      </c>
      <c r="R147" s="1953">
        <f t="shared" ca="1" si="58"/>
        <v>0</v>
      </c>
      <c r="S147" s="1953">
        <f t="shared" ca="1" si="58"/>
        <v>0</v>
      </c>
      <c r="T147" s="1953">
        <f t="shared" ca="1" si="58"/>
        <v>0</v>
      </c>
      <c r="U147" s="1953">
        <f t="shared" ca="1" si="58"/>
        <v>0</v>
      </c>
      <c r="V147" s="1953">
        <f t="shared" ca="1" si="58"/>
        <v>0</v>
      </c>
      <c r="W147" s="1953">
        <f t="shared" ca="1" si="58"/>
        <v>0</v>
      </c>
      <c r="X147" s="1853">
        <f t="shared" ca="1" si="58"/>
        <v>0</v>
      </c>
      <c r="Y147" s="1853">
        <f t="shared" ca="1" si="58"/>
        <v>0</v>
      </c>
      <c r="Z147" s="1853">
        <f t="shared" ca="1" si="58"/>
        <v>0</v>
      </c>
      <c r="AA147" s="1853">
        <f t="shared" ca="1" si="58"/>
        <v>0</v>
      </c>
      <c r="AB147" s="1853"/>
      <c r="AC147" s="1853"/>
      <c r="AD147" s="1853"/>
      <c r="AE147" s="1853"/>
      <c r="AF147" s="1853"/>
      <c r="AG147" s="1853"/>
      <c r="AH147" s="1853"/>
      <c r="AI147" s="1853"/>
      <c r="AJ147" s="1853"/>
      <c r="AK147" s="1853"/>
      <c r="AL147" s="1853"/>
      <c r="AM147" s="1853"/>
      <c r="AN147" s="1853"/>
      <c r="AO147" s="1853"/>
      <c r="AP147" s="1853"/>
      <c r="AQ147" s="1853"/>
      <c r="AR147" s="1853"/>
      <c r="AS147" s="1853"/>
      <c r="AT147" s="1853"/>
      <c r="AU147" s="1853"/>
      <c r="AV147" s="1853"/>
      <c r="AW147" s="1853"/>
      <c r="AX147" s="1853"/>
      <c r="AY147" s="1853"/>
      <c r="AZ147" s="1853"/>
      <c r="BA147" s="1853"/>
      <c r="BB147" s="1853"/>
      <c r="BC147" s="1853"/>
      <c r="BD147" s="1853"/>
      <c r="BE147" s="1853"/>
      <c r="BF147" s="1853"/>
      <c r="BG147" s="1853"/>
      <c r="BH147" s="1853"/>
      <c r="BI147" s="1853"/>
      <c r="BJ147" s="1853"/>
      <c r="BK147" s="1853"/>
      <c r="BL147" s="1853"/>
      <c r="BM147" s="1853"/>
      <c r="BN147" s="1853"/>
      <c r="BO147" s="1853"/>
    </row>
    <row r="148" spans="1:67" ht="20.100000000000001" hidden="1" customHeight="1" outlineLevel="1">
      <c r="A148" s="1842"/>
      <c r="B148" s="1954"/>
      <c r="C148" s="1876"/>
      <c r="D148" s="1959" t="s">
        <v>938</v>
      </c>
      <c r="E148" s="1866"/>
      <c r="F148" s="1951"/>
      <c r="G148" s="1952" t="s">
        <v>1109</v>
      </c>
      <c r="H148" s="1953"/>
      <c r="I148" s="1953"/>
      <c r="J148" s="1953"/>
      <c r="K148" s="1953"/>
      <c r="L148" s="1953">
        <f t="shared" ref="L148:AA148" ca="1" si="59">L38</f>
        <v>0</v>
      </c>
      <c r="M148" s="1953">
        <f t="shared" ca="1" si="59"/>
        <v>0</v>
      </c>
      <c r="N148" s="1953">
        <f t="shared" ca="1" si="59"/>
        <v>0</v>
      </c>
      <c r="O148" s="1953">
        <f t="shared" ca="1" si="59"/>
        <v>0</v>
      </c>
      <c r="P148" s="1953">
        <f t="shared" ca="1" si="59"/>
        <v>0</v>
      </c>
      <c r="Q148" s="1953">
        <f t="shared" ca="1" si="59"/>
        <v>0</v>
      </c>
      <c r="R148" s="1953">
        <f t="shared" ca="1" si="59"/>
        <v>0</v>
      </c>
      <c r="S148" s="1953">
        <f t="shared" ca="1" si="59"/>
        <v>0</v>
      </c>
      <c r="T148" s="1953">
        <f t="shared" ca="1" si="59"/>
        <v>0</v>
      </c>
      <c r="U148" s="1953">
        <f t="shared" ca="1" si="59"/>
        <v>0</v>
      </c>
      <c r="V148" s="1953">
        <f t="shared" ca="1" si="59"/>
        <v>0</v>
      </c>
      <c r="W148" s="1953">
        <f t="shared" ca="1" si="59"/>
        <v>0</v>
      </c>
      <c r="X148" s="1853">
        <f t="shared" ca="1" si="59"/>
        <v>0</v>
      </c>
      <c r="Y148" s="1853">
        <f t="shared" ca="1" si="59"/>
        <v>0</v>
      </c>
      <c r="Z148" s="1853">
        <f t="shared" ca="1" si="59"/>
        <v>0</v>
      </c>
      <c r="AA148" s="1853">
        <f t="shared" ca="1" si="59"/>
        <v>0</v>
      </c>
      <c r="AB148" s="1853"/>
      <c r="AC148" s="1853"/>
      <c r="AD148" s="1853"/>
      <c r="AE148" s="1853"/>
      <c r="AF148" s="1853"/>
      <c r="AG148" s="1853"/>
      <c r="AH148" s="1853"/>
      <c r="AI148" s="1853"/>
      <c r="AJ148" s="1853"/>
      <c r="AK148" s="1853"/>
      <c r="AL148" s="1853"/>
      <c r="AM148" s="1853"/>
      <c r="AN148" s="1853"/>
      <c r="AO148" s="1853"/>
      <c r="AP148" s="1853"/>
      <c r="AQ148" s="1853"/>
      <c r="AR148" s="1853"/>
      <c r="AS148" s="1853"/>
      <c r="AT148" s="1853"/>
      <c r="AU148" s="1853"/>
      <c r="AV148" s="1853"/>
      <c r="AW148" s="1853"/>
      <c r="AX148" s="1853"/>
      <c r="AY148" s="1853"/>
      <c r="AZ148" s="1853"/>
      <c r="BA148" s="1853"/>
      <c r="BB148" s="1853"/>
      <c r="BC148" s="1853"/>
      <c r="BD148" s="1853"/>
      <c r="BE148" s="1853"/>
      <c r="BF148" s="1853"/>
      <c r="BG148" s="1853"/>
      <c r="BH148" s="1853"/>
      <c r="BI148" s="1853"/>
      <c r="BJ148" s="1853"/>
      <c r="BK148" s="1853"/>
      <c r="BL148" s="1853"/>
      <c r="BM148" s="1853"/>
      <c r="BN148" s="1853"/>
      <c r="BO148" s="1853"/>
    </row>
    <row r="149" spans="1:67" ht="20.100000000000001" hidden="1" customHeight="1" outlineLevel="1">
      <c r="A149" s="1842"/>
      <c r="B149" s="1954"/>
      <c r="C149" s="1876"/>
      <c r="D149" s="1959" t="s">
        <v>939</v>
      </c>
      <c r="E149" s="1956"/>
      <c r="F149" s="1951"/>
      <c r="G149" s="1952" t="s">
        <v>1109</v>
      </c>
      <c r="H149" s="1953"/>
      <c r="I149" s="1953"/>
      <c r="J149" s="1953"/>
      <c r="K149" s="1953"/>
      <c r="L149" s="1953">
        <f t="shared" ref="L149:AA149" ca="1" si="60">L39</f>
        <v>0</v>
      </c>
      <c r="M149" s="1953">
        <f t="shared" ca="1" si="60"/>
        <v>0</v>
      </c>
      <c r="N149" s="1953">
        <f t="shared" ca="1" si="60"/>
        <v>0</v>
      </c>
      <c r="O149" s="1953">
        <f t="shared" ca="1" si="60"/>
        <v>0</v>
      </c>
      <c r="P149" s="1953">
        <f t="shared" ca="1" si="60"/>
        <v>0</v>
      </c>
      <c r="Q149" s="1953">
        <f t="shared" ca="1" si="60"/>
        <v>0</v>
      </c>
      <c r="R149" s="1953">
        <f t="shared" ca="1" si="60"/>
        <v>0</v>
      </c>
      <c r="S149" s="1953">
        <f t="shared" ca="1" si="60"/>
        <v>0</v>
      </c>
      <c r="T149" s="1953">
        <f t="shared" ca="1" si="60"/>
        <v>0</v>
      </c>
      <c r="U149" s="1953">
        <f t="shared" ca="1" si="60"/>
        <v>0</v>
      </c>
      <c r="V149" s="1953">
        <f t="shared" ca="1" si="60"/>
        <v>0</v>
      </c>
      <c r="W149" s="1953">
        <f t="shared" ca="1" si="60"/>
        <v>0</v>
      </c>
      <c r="X149" s="1853">
        <f t="shared" ca="1" si="60"/>
        <v>0</v>
      </c>
      <c r="Y149" s="1853">
        <f t="shared" ca="1" si="60"/>
        <v>0</v>
      </c>
      <c r="Z149" s="1853">
        <f t="shared" ca="1" si="60"/>
        <v>0</v>
      </c>
      <c r="AA149" s="1853">
        <f t="shared" ca="1" si="60"/>
        <v>0</v>
      </c>
      <c r="AB149" s="1853"/>
      <c r="AC149" s="1853"/>
      <c r="AD149" s="1853"/>
      <c r="AE149" s="1853"/>
      <c r="AF149" s="1853"/>
      <c r="AG149" s="1853"/>
      <c r="AH149" s="1853"/>
      <c r="AI149" s="1853"/>
      <c r="AJ149" s="1853"/>
      <c r="AK149" s="1853"/>
      <c r="AL149" s="1853"/>
      <c r="AM149" s="1853"/>
      <c r="AN149" s="1853"/>
      <c r="AO149" s="1853"/>
      <c r="AP149" s="1853"/>
      <c r="AQ149" s="1853"/>
      <c r="AR149" s="1853"/>
      <c r="AS149" s="1853"/>
      <c r="AT149" s="1853"/>
      <c r="AU149" s="1853"/>
      <c r="AV149" s="1853"/>
      <c r="AW149" s="1853"/>
      <c r="AX149" s="1853"/>
      <c r="AY149" s="1853"/>
      <c r="AZ149" s="1853"/>
      <c r="BA149" s="1853"/>
      <c r="BB149" s="1853"/>
      <c r="BC149" s="1853"/>
      <c r="BD149" s="1853"/>
      <c r="BE149" s="1853"/>
      <c r="BF149" s="1853"/>
      <c r="BG149" s="1853"/>
      <c r="BH149" s="1853"/>
      <c r="BI149" s="1853"/>
      <c r="BJ149" s="1853"/>
      <c r="BK149" s="1853"/>
      <c r="BL149" s="1853"/>
      <c r="BM149" s="1853"/>
      <c r="BN149" s="1853"/>
      <c r="BO149" s="1853"/>
    </row>
    <row r="150" spans="1:67" ht="20.100000000000001" hidden="1" customHeight="1" outlineLevel="1">
      <c r="A150" s="1842"/>
      <c r="B150" s="1954"/>
      <c r="C150" s="1876"/>
      <c r="D150" s="1866" t="s">
        <v>564</v>
      </c>
      <c r="E150" s="1866"/>
      <c r="F150" s="1951"/>
      <c r="G150" s="1952" t="s">
        <v>1109</v>
      </c>
      <c r="H150" s="1953"/>
      <c r="I150" s="1953"/>
      <c r="J150" s="1953"/>
      <c r="K150" s="1953"/>
      <c r="L150" s="1953">
        <f t="shared" ref="L150:AA150" ca="1" si="61">L40</f>
        <v>0</v>
      </c>
      <c r="M150" s="1953">
        <f t="shared" ca="1" si="61"/>
        <v>0</v>
      </c>
      <c r="N150" s="1953">
        <f t="shared" ca="1" si="61"/>
        <v>0</v>
      </c>
      <c r="O150" s="1953">
        <f t="shared" ca="1" si="61"/>
        <v>0</v>
      </c>
      <c r="P150" s="1953">
        <f t="shared" ca="1" si="61"/>
        <v>0</v>
      </c>
      <c r="Q150" s="1953">
        <f t="shared" ca="1" si="61"/>
        <v>0</v>
      </c>
      <c r="R150" s="1953">
        <f t="shared" ca="1" si="61"/>
        <v>0</v>
      </c>
      <c r="S150" s="1953">
        <f t="shared" ca="1" si="61"/>
        <v>0</v>
      </c>
      <c r="T150" s="1953">
        <f t="shared" ca="1" si="61"/>
        <v>0</v>
      </c>
      <c r="U150" s="1953">
        <f t="shared" ca="1" si="61"/>
        <v>0</v>
      </c>
      <c r="V150" s="1953">
        <f t="shared" ca="1" si="61"/>
        <v>0</v>
      </c>
      <c r="W150" s="1953">
        <f t="shared" ca="1" si="61"/>
        <v>0</v>
      </c>
      <c r="X150" s="1853">
        <f t="shared" ca="1" si="61"/>
        <v>0</v>
      </c>
      <c r="Y150" s="1853">
        <f t="shared" ca="1" si="61"/>
        <v>0</v>
      </c>
      <c r="Z150" s="1853">
        <f t="shared" ca="1" si="61"/>
        <v>0</v>
      </c>
      <c r="AA150" s="1853">
        <f t="shared" ca="1" si="61"/>
        <v>0</v>
      </c>
      <c r="AB150" s="1853"/>
      <c r="AC150" s="1853"/>
      <c r="AD150" s="1853"/>
      <c r="AE150" s="1853"/>
      <c r="AF150" s="1853"/>
      <c r="AG150" s="1853"/>
      <c r="AH150" s="1853"/>
      <c r="AI150" s="1853"/>
      <c r="AJ150" s="1853"/>
      <c r="AK150" s="1853"/>
      <c r="AL150" s="1853"/>
      <c r="AM150" s="1853"/>
      <c r="AN150" s="1853"/>
      <c r="AO150" s="1853"/>
      <c r="AP150" s="1853"/>
      <c r="AQ150" s="1853"/>
      <c r="AR150" s="1853"/>
      <c r="AS150" s="1853"/>
      <c r="AT150" s="1853"/>
      <c r="AU150" s="1853"/>
      <c r="AV150" s="1853"/>
      <c r="AW150" s="1853"/>
      <c r="AX150" s="1853"/>
      <c r="AY150" s="1853"/>
      <c r="AZ150" s="1853"/>
      <c r="BA150" s="1853"/>
      <c r="BB150" s="1853"/>
      <c r="BC150" s="1853"/>
      <c r="BD150" s="1853"/>
      <c r="BE150" s="1853"/>
      <c r="BF150" s="1853"/>
      <c r="BG150" s="1853"/>
      <c r="BH150" s="1853"/>
      <c r="BI150" s="1853"/>
      <c r="BJ150" s="1853"/>
      <c r="BK150" s="1853"/>
      <c r="BL150" s="1853"/>
      <c r="BM150" s="1853"/>
      <c r="BN150" s="1853"/>
      <c r="BO150" s="1853"/>
    </row>
    <row r="151" spans="1:67" ht="20.100000000000001" hidden="1" customHeight="1" outlineLevel="1">
      <c r="A151" s="1842"/>
      <c r="B151" s="1954"/>
      <c r="C151" s="1876"/>
      <c r="D151" s="1866" t="s">
        <v>565</v>
      </c>
      <c r="E151" s="1866"/>
      <c r="F151" s="1951"/>
      <c r="G151" s="1952" t="s">
        <v>1109</v>
      </c>
      <c r="H151" s="1953"/>
      <c r="I151" s="1953"/>
      <c r="J151" s="1953"/>
      <c r="K151" s="1953"/>
      <c r="L151" s="1953">
        <f t="shared" ref="L151:AA151" ca="1" si="62">L41</f>
        <v>0</v>
      </c>
      <c r="M151" s="1953">
        <f t="shared" ca="1" si="62"/>
        <v>0</v>
      </c>
      <c r="N151" s="1953">
        <f t="shared" ca="1" si="62"/>
        <v>0</v>
      </c>
      <c r="O151" s="1953">
        <f t="shared" ca="1" si="62"/>
        <v>0</v>
      </c>
      <c r="P151" s="1953">
        <f t="shared" ca="1" si="62"/>
        <v>0</v>
      </c>
      <c r="Q151" s="1953">
        <f t="shared" ca="1" si="62"/>
        <v>0</v>
      </c>
      <c r="R151" s="1953">
        <f t="shared" ca="1" si="62"/>
        <v>0</v>
      </c>
      <c r="S151" s="1953">
        <f t="shared" ca="1" si="62"/>
        <v>0</v>
      </c>
      <c r="T151" s="1953">
        <f t="shared" ca="1" si="62"/>
        <v>0</v>
      </c>
      <c r="U151" s="1953">
        <f t="shared" ca="1" si="62"/>
        <v>0</v>
      </c>
      <c r="V151" s="1953">
        <f t="shared" ca="1" si="62"/>
        <v>0</v>
      </c>
      <c r="W151" s="1953">
        <f t="shared" ca="1" si="62"/>
        <v>0</v>
      </c>
      <c r="X151" s="1853">
        <f t="shared" ca="1" si="62"/>
        <v>0</v>
      </c>
      <c r="Y151" s="1853">
        <f t="shared" ca="1" si="62"/>
        <v>0</v>
      </c>
      <c r="Z151" s="1853">
        <f t="shared" ca="1" si="62"/>
        <v>0</v>
      </c>
      <c r="AA151" s="1853">
        <f t="shared" ca="1" si="62"/>
        <v>0</v>
      </c>
      <c r="AB151" s="1853"/>
      <c r="AC151" s="1853"/>
      <c r="AD151" s="1853"/>
      <c r="AE151" s="1853"/>
      <c r="AF151" s="1853"/>
      <c r="AG151" s="1853"/>
      <c r="AH151" s="1853"/>
      <c r="AI151" s="1853"/>
      <c r="AJ151" s="1853"/>
      <c r="AK151" s="1853"/>
      <c r="AL151" s="1853"/>
      <c r="AM151" s="1853"/>
      <c r="AN151" s="1853"/>
      <c r="AO151" s="1853"/>
      <c r="AP151" s="1853"/>
      <c r="AQ151" s="1853"/>
      <c r="AR151" s="1853"/>
      <c r="AS151" s="1853"/>
      <c r="AT151" s="1853"/>
      <c r="AU151" s="1853"/>
      <c r="AV151" s="1853"/>
      <c r="AW151" s="1853"/>
      <c r="AX151" s="1853"/>
      <c r="AY151" s="1853"/>
      <c r="AZ151" s="1853"/>
      <c r="BA151" s="1853"/>
      <c r="BB151" s="1853"/>
      <c r="BC151" s="1853"/>
      <c r="BD151" s="1853"/>
      <c r="BE151" s="1853"/>
      <c r="BF151" s="1853"/>
      <c r="BG151" s="1853"/>
      <c r="BH151" s="1853"/>
      <c r="BI151" s="1853"/>
      <c r="BJ151" s="1853"/>
      <c r="BK151" s="1853"/>
      <c r="BL151" s="1853"/>
      <c r="BM151" s="1853"/>
      <c r="BN151" s="1853"/>
      <c r="BO151" s="1853"/>
    </row>
    <row r="152" spans="1:67" ht="20.100000000000001" hidden="1" customHeight="1" outlineLevel="1">
      <c r="A152" s="1842"/>
      <c r="B152" s="1954"/>
      <c r="C152" s="1876"/>
      <c r="D152" s="1866" t="s">
        <v>566</v>
      </c>
      <c r="E152" s="1866"/>
      <c r="F152" s="1951"/>
      <c r="G152" s="1952" t="s">
        <v>1109</v>
      </c>
      <c r="H152" s="1953"/>
      <c r="I152" s="1953"/>
      <c r="J152" s="1953"/>
      <c r="K152" s="1953"/>
      <c r="L152" s="1953">
        <f t="shared" ref="L152:AA152" ca="1" si="63">L42</f>
        <v>0</v>
      </c>
      <c r="M152" s="1953">
        <f t="shared" ca="1" si="63"/>
        <v>0</v>
      </c>
      <c r="N152" s="1953">
        <f t="shared" ca="1" si="63"/>
        <v>0</v>
      </c>
      <c r="O152" s="1953">
        <f t="shared" ca="1" si="63"/>
        <v>0</v>
      </c>
      <c r="P152" s="1953">
        <f t="shared" ca="1" si="63"/>
        <v>0</v>
      </c>
      <c r="Q152" s="1953">
        <f t="shared" ca="1" si="63"/>
        <v>0</v>
      </c>
      <c r="R152" s="1953">
        <f t="shared" ca="1" si="63"/>
        <v>0</v>
      </c>
      <c r="S152" s="1953">
        <f t="shared" ca="1" si="63"/>
        <v>0</v>
      </c>
      <c r="T152" s="1953">
        <f t="shared" ca="1" si="63"/>
        <v>0</v>
      </c>
      <c r="U152" s="1953">
        <f t="shared" ca="1" si="63"/>
        <v>0</v>
      </c>
      <c r="V152" s="1953">
        <f t="shared" ca="1" si="63"/>
        <v>0</v>
      </c>
      <c r="W152" s="1953">
        <f t="shared" ca="1" si="63"/>
        <v>0</v>
      </c>
      <c r="X152" s="1853">
        <f t="shared" ca="1" si="63"/>
        <v>0</v>
      </c>
      <c r="Y152" s="1853">
        <f t="shared" ca="1" si="63"/>
        <v>0</v>
      </c>
      <c r="Z152" s="1853">
        <f t="shared" ca="1" si="63"/>
        <v>0</v>
      </c>
      <c r="AA152" s="1853">
        <f t="shared" ca="1" si="63"/>
        <v>0</v>
      </c>
      <c r="AB152" s="1853"/>
      <c r="AC152" s="1853"/>
      <c r="AD152" s="1853"/>
      <c r="AE152" s="1853"/>
      <c r="AF152" s="1853"/>
      <c r="AG152" s="1853"/>
      <c r="AH152" s="1853"/>
      <c r="AI152" s="1853"/>
      <c r="AJ152" s="1853"/>
      <c r="AK152" s="1853"/>
      <c r="AL152" s="1853"/>
      <c r="AM152" s="1853"/>
      <c r="AN152" s="1853"/>
      <c r="AO152" s="1853"/>
      <c r="AP152" s="1853"/>
      <c r="AQ152" s="1853"/>
      <c r="AR152" s="1853"/>
      <c r="AS152" s="1853"/>
      <c r="AT152" s="1853"/>
      <c r="AU152" s="1853"/>
      <c r="AV152" s="1853"/>
      <c r="AW152" s="1853"/>
      <c r="AX152" s="1853"/>
      <c r="AY152" s="1853"/>
      <c r="AZ152" s="1853"/>
      <c r="BA152" s="1853"/>
      <c r="BB152" s="1853"/>
      <c r="BC152" s="1853"/>
      <c r="BD152" s="1853"/>
      <c r="BE152" s="1853"/>
      <c r="BF152" s="1853"/>
      <c r="BG152" s="1853"/>
      <c r="BH152" s="1853"/>
      <c r="BI152" s="1853"/>
      <c r="BJ152" s="1853"/>
      <c r="BK152" s="1853"/>
      <c r="BL152" s="1853"/>
      <c r="BM152" s="1853"/>
      <c r="BN152" s="1853"/>
      <c r="BO152" s="1853"/>
    </row>
    <row r="153" spans="1:67" ht="20.100000000000001" hidden="1" customHeight="1" outlineLevel="1">
      <c r="A153" s="1842"/>
      <c r="B153" s="1954"/>
      <c r="C153" s="1876"/>
      <c r="D153" s="1866" t="s">
        <v>940</v>
      </c>
      <c r="E153" s="1958"/>
      <c r="F153" s="1960"/>
      <c r="G153" s="1952" t="s">
        <v>1109</v>
      </c>
      <c r="H153" s="1953"/>
      <c r="I153" s="1953"/>
      <c r="J153" s="1953"/>
      <c r="K153" s="1953"/>
      <c r="L153" s="1953">
        <f t="shared" ref="L153:AA153" ca="1" si="64">L43</f>
        <v>0</v>
      </c>
      <c r="M153" s="1953">
        <f t="shared" ca="1" si="64"/>
        <v>0</v>
      </c>
      <c r="N153" s="1953">
        <f t="shared" ca="1" si="64"/>
        <v>0</v>
      </c>
      <c r="O153" s="1953">
        <f t="shared" ca="1" si="64"/>
        <v>0</v>
      </c>
      <c r="P153" s="1953">
        <f t="shared" ca="1" si="64"/>
        <v>0</v>
      </c>
      <c r="Q153" s="1953">
        <f t="shared" ca="1" si="64"/>
        <v>0</v>
      </c>
      <c r="R153" s="1953">
        <f t="shared" ca="1" si="64"/>
        <v>0</v>
      </c>
      <c r="S153" s="1953">
        <f t="shared" ca="1" si="64"/>
        <v>0</v>
      </c>
      <c r="T153" s="1953">
        <f t="shared" ca="1" si="64"/>
        <v>0</v>
      </c>
      <c r="U153" s="1953">
        <f t="shared" ca="1" si="64"/>
        <v>0</v>
      </c>
      <c r="V153" s="1953">
        <f t="shared" ca="1" si="64"/>
        <v>0</v>
      </c>
      <c r="W153" s="1953">
        <f t="shared" ca="1" si="64"/>
        <v>0</v>
      </c>
      <c r="X153" s="1853">
        <f t="shared" ca="1" si="64"/>
        <v>0</v>
      </c>
      <c r="Y153" s="1853">
        <f t="shared" ca="1" si="64"/>
        <v>0</v>
      </c>
      <c r="Z153" s="1853">
        <f t="shared" ca="1" si="64"/>
        <v>0</v>
      </c>
      <c r="AA153" s="1853">
        <f t="shared" ca="1" si="64"/>
        <v>0</v>
      </c>
      <c r="AB153" s="1853"/>
      <c r="AC153" s="1853"/>
      <c r="AD153" s="1853"/>
      <c r="AE153" s="1853"/>
      <c r="AF153" s="1853"/>
      <c r="AG153" s="1853"/>
      <c r="AH153" s="1853"/>
      <c r="AI153" s="1853"/>
      <c r="AJ153" s="1853"/>
      <c r="AK153" s="1853"/>
      <c r="AL153" s="1853"/>
      <c r="AM153" s="1853"/>
      <c r="AN153" s="1853"/>
      <c r="AO153" s="1853"/>
      <c r="AP153" s="1853"/>
      <c r="AQ153" s="1853"/>
      <c r="AR153" s="1853"/>
      <c r="AS153" s="1853"/>
      <c r="AT153" s="1853"/>
      <c r="AU153" s="1853"/>
      <c r="AV153" s="1853"/>
      <c r="AW153" s="1853"/>
      <c r="AX153" s="1853"/>
      <c r="AY153" s="1853"/>
      <c r="AZ153" s="1853"/>
      <c r="BA153" s="1853"/>
      <c r="BB153" s="1853"/>
      <c r="BC153" s="1853"/>
      <c r="BD153" s="1853"/>
      <c r="BE153" s="1853"/>
      <c r="BF153" s="1853"/>
      <c r="BG153" s="1853"/>
      <c r="BH153" s="1853"/>
      <c r="BI153" s="1853"/>
      <c r="BJ153" s="1853"/>
      <c r="BK153" s="1853"/>
      <c r="BL153" s="1853"/>
      <c r="BM153" s="1853"/>
      <c r="BN153" s="1853"/>
      <c r="BO153" s="1853"/>
    </row>
    <row r="154" spans="1:67" ht="20.100000000000001" hidden="1" customHeight="1" outlineLevel="1">
      <c r="A154" s="1842"/>
      <c r="B154" s="1954"/>
      <c r="C154" s="1876"/>
      <c r="D154" s="1959" t="s">
        <v>567</v>
      </c>
      <c r="E154" s="1866"/>
      <c r="F154" s="1951"/>
      <c r="G154" s="1952" t="s">
        <v>1109</v>
      </c>
      <c r="H154" s="1953"/>
      <c r="I154" s="1953"/>
      <c r="J154" s="1953"/>
      <c r="K154" s="1953"/>
      <c r="L154" s="1953">
        <f t="shared" ref="L154:AA154" ca="1" si="65">L44</f>
        <v>0</v>
      </c>
      <c r="M154" s="1953">
        <f t="shared" ca="1" si="65"/>
        <v>0</v>
      </c>
      <c r="N154" s="1953">
        <f t="shared" ca="1" si="65"/>
        <v>0</v>
      </c>
      <c r="O154" s="1953">
        <f t="shared" ca="1" si="65"/>
        <v>0</v>
      </c>
      <c r="P154" s="1953">
        <f t="shared" ca="1" si="65"/>
        <v>0</v>
      </c>
      <c r="Q154" s="1953">
        <f t="shared" ca="1" si="65"/>
        <v>0</v>
      </c>
      <c r="R154" s="1953">
        <f t="shared" ca="1" si="65"/>
        <v>0</v>
      </c>
      <c r="S154" s="1953">
        <f t="shared" ca="1" si="65"/>
        <v>0</v>
      </c>
      <c r="T154" s="1953">
        <f t="shared" ca="1" si="65"/>
        <v>0</v>
      </c>
      <c r="U154" s="1953">
        <f t="shared" ca="1" si="65"/>
        <v>0</v>
      </c>
      <c r="V154" s="1953">
        <f t="shared" ca="1" si="65"/>
        <v>0</v>
      </c>
      <c r="W154" s="1953">
        <f t="shared" ca="1" si="65"/>
        <v>0</v>
      </c>
      <c r="X154" s="1853">
        <f t="shared" ca="1" si="65"/>
        <v>0</v>
      </c>
      <c r="Y154" s="1853">
        <f t="shared" ca="1" si="65"/>
        <v>0</v>
      </c>
      <c r="Z154" s="1853">
        <f t="shared" ca="1" si="65"/>
        <v>0</v>
      </c>
      <c r="AA154" s="1853">
        <f t="shared" ca="1" si="65"/>
        <v>0</v>
      </c>
      <c r="AB154" s="1853"/>
      <c r="AC154" s="1853"/>
      <c r="AD154" s="1853"/>
      <c r="AE154" s="1853"/>
      <c r="AF154" s="1853"/>
      <c r="AG154" s="1853"/>
      <c r="AH154" s="1853"/>
      <c r="AI154" s="1853"/>
      <c r="AJ154" s="1853"/>
      <c r="AK154" s="1853"/>
      <c r="AL154" s="1853"/>
      <c r="AM154" s="1853"/>
      <c r="AN154" s="1853"/>
      <c r="AO154" s="1853"/>
      <c r="AP154" s="1853"/>
      <c r="AQ154" s="1853"/>
      <c r="AR154" s="1853"/>
      <c r="AS154" s="1853"/>
      <c r="AT154" s="1853"/>
      <c r="AU154" s="1853"/>
      <c r="AV154" s="1853"/>
      <c r="AW154" s="1853"/>
      <c r="AX154" s="1853"/>
      <c r="AY154" s="1853"/>
      <c r="AZ154" s="1853"/>
      <c r="BA154" s="1853"/>
      <c r="BB154" s="1853"/>
      <c r="BC154" s="1853"/>
      <c r="BD154" s="1853"/>
      <c r="BE154" s="1853"/>
      <c r="BF154" s="1853"/>
      <c r="BG154" s="1853"/>
      <c r="BH154" s="1853"/>
      <c r="BI154" s="1853"/>
      <c r="BJ154" s="1853"/>
      <c r="BK154" s="1853"/>
      <c r="BL154" s="1853"/>
      <c r="BM154" s="1853"/>
      <c r="BN154" s="1853"/>
      <c r="BO154" s="1853"/>
    </row>
    <row r="155" spans="1:67" ht="20.100000000000001" hidden="1" customHeight="1" outlineLevel="1">
      <c r="A155" s="1842"/>
      <c r="B155" s="1954"/>
      <c r="C155" s="1876"/>
      <c r="D155" s="1959" t="s">
        <v>568</v>
      </c>
      <c r="E155" s="1961"/>
      <c r="F155" s="1951"/>
      <c r="G155" s="1952" t="s">
        <v>1109</v>
      </c>
      <c r="H155" s="1953"/>
      <c r="I155" s="1953"/>
      <c r="J155" s="1953"/>
      <c r="K155" s="1953"/>
      <c r="L155" s="1953">
        <f t="shared" ref="L155:AA155" ca="1" si="66">L45</f>
        <v>0</v>
      </c>
      <c r="M155" s="1953">
        <f t="shared" ca="1" si="66"/>
        <v>0</v>
      </c>
      <c r="N155" s="1953">
        <f t="shared" ca="1" si="66"/>
        <v>0</v>
      </c>
      <c r="O155" s="1953">
        <f t="shared" ca="1" si="66"/>
        <v>0</v>
      </c>
      <c r="P155" s="1953">
        <f t="shared" ca="1" si="66"/>
        <v>0</v>
      </c>
      <c r="Q155" s="1953">
        <f t="shared" ca="1" si="66"/>
        <v>0</v>
      </c>
      <c r="R155" s="1953">
        <f t="shared" ca="1" si="66"/>
        <v>0</v>
      </c>
      <c r="S155" s="1953">
        <f t="shared" ca="1" si="66"/>
        <v>0</v>
      </c>
      <c r="T155" s="1953">
        <f t="shared" ca="1" si="66"/>
        <v>0</v>
      </c>
      <c r="U155" s="1953">
        <f t="shared" ca="1" si="66"/>
        <v>0</v>
      </c>
      <c r="V155" s="1953">
        <f t="shared" ca="1" si="66"/>
        <v>0</v>
      </c>
      <c r="W155" s="1953">
        <f t="shared" ca="1" si="66"/>
        <v>0</v>
      </c>
      <c r="X155" s="1853">
        <f t="shared" ca="1" si="66"/>
        <v>0</v>
      </c>
      <c r="Y155" s="1853">
        <f t="shared" ca="1" si="66"/>
        <v>0</v>
      </c>
      <c r="Z155" s="1853">
        <f t="shared" ca="1" si="66"/>
        <v>0</v>
      </c>
      <c r="AA155" s="1853">
        <f t="shared" ca="1" si="66"/>
        <v>0</v>
      </c>
      <c r="AB155" s="1853"/>
      <c r="AC155" s="1853"/>
      <c r="AD155" s="1853"/>
      <c r="AE155" s="1853"/>
      <c r="AF155" s="1853"/>
      <c r="AG155" s="1853"/>
      <c r="AH155" s="1853"/>
      <c r="AI155" s="1853"/>
      <c r="AJ155" s="1853"/>
      <c r="AK155" s="1853"/>
      <c r="AL155" s="1853"/>
      <c r="AM155" s="1853"/>
      <c r="AN155" s="1853"/>
      <c r="AO155" s="1853"/>
      <c r="AP155" s="1853"/>
      <c r="AQ155" s="1853"/>
      <c r="AR155" s="1853"/>
      <c r="AS155" s="1853"/>
      <c r="AT155" s="1853"/>
      <c r="AU155" s="1853"/>
      <c r="AV155" s="1853"/>
      <c r="AW155" s="1853"/>
      <c r="AX155" s="1853"/>
      <c r="AY155" s="1853"/>
      <c r="AZ155" s="1853"/>
      <c r="BA155" s="1853"/>
      <c r="BB155" s="1853"/>
      <c r="BC155" s="1853"/>
      <c r="BD155" s="1853"/>
      <c r="BE155" s="1853"/>
      <c r="BF155" s="1853"/>
      <c r="BG155" s="1853"/>
      <c r="BH155" s="1853"/>
      <c r="BI155" s="1853"/>
      <c r="BJ155" s="1853"/>
      <c r="BK155" s="1853"/>
      <c r="BL155" s="1853"/>
      <c r="BM155" s="1853"/>
      <c r="BN155" s="1853"/>
      <c r="BO155" s="1853"/>
    </row>
    <row r="156" spans="1:67" ht="20.100000000000001" hidden="1" customHeight="1" outlineLevel="1">
      <c r="A156" s="1842"/>
      <c r="B156" s="1954"/>
      <c r="C156" s="1876"/>
      <c r="D156" s="1959" t="s">
        <v>941</v>
      </c>
      <c r="E156" s="1956"/>
      <c r="F156" s="1951"/>
      <c r="G156" s="1952" t="s">
        <v>1109</v>
      </c>
      <c r="H156" s="1953"/>
      <c r="I156" s="1953"/>
      <c r="J156" s="1953"/>
      <c r="K156" s="1953"/>
      <c r="L156" s="1953">
        <f t="shared" ref="L156:AA156" ca="1" si="67">L46</f>
        <v>0</v>
      </c>
      <c r="M156" s="1953">
        <f t="shared" ca="1" si="67"/>
        <v>0</v>
      </c>
      <c r="N156" s="1953">
        <f t="shared" ca="1" si="67"/>
        <v>0</v>
      </c>
      <c r="O156" s="1953">
        <f t="shared" ca="1" si="67"/>
        <v>0</v>
      </c>
      <c r="P156" s="1953">
        <f t="shared" ca="1" si="67"/>
        <v>0</v>
      </c>
      <c r="Q156" s="1953">
        <f t="shared" ca="1" si="67"/>
        <v>0</v>
      </c>
      <c r="R156" s="1953">
        <f t="shared" ca="1" si="67"/>
        <v>0</v>
      </c>
      <c r="S156" s="1953">
        <f t="shared" ca="1" si="67"/>
        <v>0</v>
      </c>
      <c r="T156" s="1953">
        <f t="shared" ca="1" si="67"/>
        <v>0</v>
      </c>
      <c r="U156" s="1953">
        <f t="shared" ca="1" si="67"/>
        <v>0</v>
      </c>
      <c r="V156" s="1953">
        <f t="shared" ca="1" si="67"/>
        <v>0</v>
      </c>
      <c r="W156" s="1953">
        <f t="shared" ca="1" si="67"/>
        <v>0</v>
      </c>
      <c r="X156" s="1853">
        <f t="shared" ca="1" si="67"/>
        <v>0</v>
      </c>
      <c r="Y156" s="1853">
        <f t="shared" ca="1" si="67"/>
        <v>0</v>
      </c>
      <c r="Z156" s="1853">
        <f t="shared" ca="1" si="67"/>
        <v>0</v>
      </c>
      <c r="AA156" s="1853">
        <f t="shared" ca="1" si="67"/>
        <v>0</v>
      </c>
      <c r="AB156" s="1853"/>
      <c r="AC156" s="1853"/>
      <c r="AD156" s="1853"/>
      <c r="AE156" s="1853"/>
      <c r="AF156" s="1853"/>
      <c r="AG156" s="1853"/>
      <c r="AH156" s="1853"/>
      <c r="AI156" s="1853"/>
      <c r="AJ156" s="1853"/>
      <c r="AK156" s="1853"/>
      <c r="AL156" s="1853"/>
      <c r="AM156" s="1853"/>
      <c r="AN156" s="1853"/>
      <c r="AO156" s="1853"/>
      <c r="AP156" s="1853"/>
      <c r="AQ156" s="1853"/>
      <c r="AR156" s="1853"/>
      <c r="AS156" s="1853"/>
      <c r="AT156" s="1853"/>
      <c r="AU156" s="1853"/>
      <c r="AV156" s="1853"/>
      <c r="AW156" s="1853"/>
      <c r="AX156" s="1853"/>
      <c r="AY156" s="1853"/>
      <c r="AZ156" s="1853"/>
      <c r="BA156" s="1853"/>
      <c r="BB156" s="1853"/>
      <c r="BC156" s="1853"/>
      <c r="BD156" s="1853"/>
      <c r="BE156" s="1853"/>
      <c r="BF156" s="1853"/>
      <c r="BG156" s="1853"/>
      <c r="BH156" s="1853"/>
      <c r="BI156" s="1853"/>
      <c r="BJ156" s="1853"/>
      <c r="BK156" s="1853"/>
      <c r="BL156" s="1853"/>
      <c r="BM156" s="1853"/>
      <c r="BN156" s="1853"/>
      <c r="BO156" s="1853"/>
    </row>
    <row r="157" spans="1:67" ht="20.100000000000001" hidden="1" customHeight="1" outlineLevel="1">
      <c r="A157" s="1842"/>
      <c r="B157" s="1955"/>
      <c r="C157" s="1876"/>
      <c r="D157" s="1959" t="s">
        <v>942</v>
      </c>
      <c r="E157" s="1866"/>
      <c r="F157" s="1951"/>
      <c r="G157" s="1952" t="s">
        <v>1109</v>
      </c>
      <c r="H157" s="1953"/>
      <c r="I157" s="1953"/>
      <c r="J157" s="1953"/>
      <c r="K157" s="1953"/>
      <c r="L157" s="1953">
        <f t="shared" ref="L157:AA157" ca="1" si="68">L47</f>
        <v>0</v>
      </c>
      <c r="M157" s="1953">
        <f t="shared" ca="1" si="68"/>
        <v>0</v>
      </c>
      <c r="N157" s="1953">
        <f t="shared" ca="1" si="68"/>
        <v>0</v>
      </c>
      <c r="O157" s="1953">
        <f t="shared" ca="1" si="68"/>
        <v>0</v>
      </c>
      <c r="P157" s="1953">
        <f t="shared" ca="1" si="68"/>
        <v>0</v>
      </c>
      <c r="Q157" s="1953">
        <f t="shared" ca="1" si="68"/>
        <v>0</v>
      </c>
      <c r="R157" s="1953">
        <f t="shared" ca="1" si="68"/>
        <v>0</v>
      </c>
      <c r="S157" s="1953">
        <f t="shared" ca="1" si="68"/>
        <v>0</v>
      </c>
      <c r="T157" s="1953">
        <f t="shared" ca="1" si="68"/>
        <v>0</v>
      </c>
      <c r="U157" s="1953">
        <f t="shared" ca="1" si="68"/>
        <v>0</v>
      </c>
      <c r="V157" s="1953">
        <f t="shared" ca="1" si="68"/>
        <v>0</v>
      </c>
      <c r="W157" s="1953">
        <f t="shared" ca="1" si="68"/>
        <v>0</v>
      </c>
      <c r="X157" s="1853">
        <f t="shared" ca="1" si="68"/>
        <v>0</v>
      </c>
      <c r="Y157" s="1853">
        <f t="shared" ca="1" si="68"/>
        <v>0</v>
      </c>
      <c r="Z157" s="1853">
        <f t="shared" ca="1" si="68"/>
        <v>0</v>
      </c>
      <c r="AA157" s="1853">
        <f t="shared" ca="1" si="68"/>
        <v>0</v>
      </c>
      <c r="AB157" s="1853"/>
      <c r="AC157" s="1853"/>
      <c r="AD157" s="1853"/>
      <c r="AE157" s="1853"/>
      <c r="AF157" s="1853"/>
      <c r="AG157" s="1853"/>
      <c r="AH157" s="1853"/>
      <c r="AI157" s="1853"/>
      <c r="AJ157" s="1853"/>
      <c r="AK157" s="1853"/>
      <c r="AL157" s="1853"/>
      <c r="AM157" s="1853"/>
      <c r="AN157" s="1853"/>
      <c r="AO157" s="1853"/>
      <c r="AP157" s="1853"/>
      <c r="AQ157" s="1853"/>
      <c r="AR157" s="1853"/>
      <c r="AS157" s="1853"/>
      <c r="AT157" s="1853"/>
      <c r="AU157" s="1853"/>
      <c r="AV157" s="1853"/>
      <c r="AW157" s="1853"/>
      <c r="AX157" s="1853"/>
      <c r="AY157" s="1853"/>
      <c r="AZ157" s="1853"/>
      <c r="BA157" s="1853"/>
      <c r="BB157" s="1853"/>
      <c r="BC157" s="1853"/>
      <c r="BD157" s="1853"/>
      <c r="BE157" s="1853"/>
      <c r="BF157" s="1853"/>
      <c r="BG157" s="1853"/>
      <c r="BH157" s="1853"/>
      <c r="BI157" s="1853"/>
      <c r="BJ157" s="1853"/>
      <c r="BK157" s="1853"/>
      <c r="BL157" s="1853"/>
      <c r="BM157" s="1853"/>
      <c r="BN157" s="1853"/>
      <c r="BO157" s="1853"/>
    </row>
    <row r="158" spans="1:67" ht="20.100000000000001" hidden="1" customHeight="1" outlineLevel="1">
      <c r="A158" s="1842"/>
      <c r="B158" s="1955"/>
      <c r="C158" s="1876"/>
      <c r="D158" s="1959" t="s">
        <v>943</v>
      </c>
      <c r="E158" s="1866"/>
      <c r="F158" s="1951"/>
      <c r="G158" s="1952" t="s">
        <v>1109</v>
      </c>
      <c r="H158" s="1953"/>
      <c r="I158" s="1953"/>
      <c r="J158" s="1953"/>
      <c r="K158" s="1953"/>
      <c r="L158" s="1953">
        <f t="shared" ref="L158:AA158" ca="1" si="69">L48</f>
        <v>0</v>
      </c>
      <c r="M158" s="1953">
        <f t="shared" ca="1" si="69"/>
        <v>0</v>
      </c>
      <c r="N158" s="1953">
        <f t="shared" ca="1" si="69"/>
        <v>0</v>
      </c>
      <c r="O158" s="1953">
        <f t="shared" ca="1" si="69"/>
        <v>0</v>
      </c>
      <c r="P158" s="1953">
        <f t="shared" ca="1" si="69"/>
        <v>0</v>
      </c>
      <c r="Q158" s="1953">
        <f t="shared" ca="1" si="69"/>
        <v>0</v>
      </c>
      <c r="R158" s="1953">
        <f t="shared" ca="1" si="69"/>
        <v>0</v>
      </c>
      <c r="S158" s="1953">
        <f t="shared" ca="1" si="69"/>
        <v>0</v>
      </c>
      <c r="T158" s="1953">
        <f t="shared" ca="1" si="69"/>
        <v>0</v>
      </c>
      <c r="U158" s="1953">
        <f t="shared" ca="1" si="69"/>
        <v>0</v>
      </c>
      <c r="V158" s="1953">
        <f t="shared" ca="1" si="69"/>
        <v>0</v>
      </c>
      <c r="W158" s="1953">
        <f t="shared" ca="1" si="69"/>
        <v>0</v>
      </c>
      <c r="X158" s="1853">
        <f t="shared" ca="1" si="69"/>
        <v>0</v>
      </c>
      <c r="Y158" s="1853">
        <f t="shared" ca="1" si="69"/>
        <v>0</v>
      </c>
      <c r="Z158" s="1853">
        <f t="shared" ca="1" si="69"/>
        <v>0</v>
      </c>
      <c r="AA158" s="1853">
        <f t="shared" ca="1" si="69"/>
        <v>0</v>
      </c>
      <c r="AB158" s="1853"/>
      <c r="AC158" s="1853"/>
      <c r="AD158" s="1853"/>
      <c r="AE158" s="1853"/>
      <c r="AF158" s="1853"/>
      <c r="AG158" s="1853"/>
      <c r="AH158" s="1853"/>
      <c r="AI158" s="1853"/>
      <c r="AJ158" s="1853"/>
      <c r="AK158" s="1853"/>
      <c r="AL158" s="1853"/>
      <c r="AM158" s="1853"/>
      <c r="AN158" s="1853"/>
      <c r="AO158" s="1853"/>
      <c r="AP158" s="1853"/>
      <c r="AQ158" s="1853"/>
      <c r="AR158" s="1853"/>
      <c r="AS158" s="1853"/>
      <c r="AT158" s="1853"/>
      <c r="AU158" s="1853"/>
      <c r="AV158" s="1853"/>
      <c r="AW158" s="1853"/>
      <c r="AX158" s="1853"/>
      <c r="AY158" s="1853"/>
      <c r="AZ158" s="1853"/>
      <c r="BA158" s="1853"/>
      <c r="BB158" s="1853"/>
      <c r="BC158" s="1853"/>
      <c r="BD158" s="1853"/>
      <c r="BE158" s="1853"/>
      <c r="BF158" s="1853"/>
      <c r="BG158" s="1853"/>
      <c r="BH158" s="1853"/>
      <c r="BI158" s="1853"/>
      <c r="BJ158" s="1853"/>
      <c r="BK158" s="1853"/>
      <c r="BL158" s="1853"/>
      <c r="BM158" s="1853"/>
      <c r="BN158" s="1853"/>
      <c r="BO158" s="1853"/>
    </row>
    <row r="159" spans="1:67" ht="20.100000000000001" hidden="1" customHeight="1" outlineLevel="1">
      <c r="A159" s="1842"/>
      <c r="B159" s="1955"/>
      <c r="C159" s="1876"/>
      <c r="D159" s="1959" t="s">
        <v>944</v>
      </c>
      <c r="E159" s="1866"/>
      <c r="F159" s="1951"/>
      <c r="G159" s="1952" t="s">
        <v>1109</v>
      </c>
      <c r="H159" s="1953"/>
      <c r="I159" s="1953"/>
      <c r="J159" s="1953"/>
      <c r="K159" s="1953"/>
      <c r="L159" s="1953">
        <f t="shared" ref="L159:AA159" ca="1" si="70">L49</f>
        <v>0</v>
      </c>
      <c r="M159" s="1953">
        <f t="shared" ca="1" si="70"/>
        <v>0</v>
      </c>
      <c r="N159" s="1953">
        <f t="shared" ca="1" si="70"/>
        <v>0</v>
      </c>
      <c r="O159" s="1953">
        <f t="shared" ca="1" si="70"/>
        <v>0</v>
      </c>
      <c r="P159" s="1953">
        <f t="shared" ca="1" si="70"/>
        <v>0</v>
      </c>
      <c r="Q159" s="1953">
        <f t="shared" ca="1" si="70"/>
        <v>0</v>
      </c>
      <c r="R159" s="1953">
        <f t="shared" ca="1" si="70"/>
        <v>0</v>
      </c>
      <c r="S159" s="1953">
        <f t="shared" ca="1" si="70"/>
        <v>0</v>
      </c>
      <c r="T159" s="1953">
        <f t="shared" ca="1" si="70"/>
        <v>0</v>
      </c>
      <c r="U159" s="1953">
        <f t="shared" ca="1" si="70"/>
        <v>0</v>
      </c>
      <c r="V159" s="1953">
        <f t="shared" ca="1" si="70"/>
        <v>0</v>
      </c>
      <c r="W159" s="1953">
        <f t="shared" ca="1" si="70"/>
        <v>0</v>
      </c>
      <c r="X159" s="1853">
        <f t="shared" ca="1" si="70"/>
        <v>0</v>
      </c>
      <c r="Y159" s="1853">
        <f t="shared" ca="1" si="70"/>
        <v>0</v>
      </c>
      <c r="Z159" s="1853">
        <f t="shared" ca="1" si="70"/>
        <v>0</v>
      </c>
      <c r="AA159" s="1853">
        <f t="shared" ca="1" si="70"/>
        <v>0</v>
      </c>
      <c r="AB159" s="1853"/>
      <c r="AC159" s="1853"/>
      <c r="AD159" s="1853"/>
      <c r="AE159" s="1853"/>
      <c r="AF159" s="1853"/>
      <c r="AG159" s="1853"/>
      <c r="AH159" s="1853"/>
      <c r="AI159" s="1853"/>
      <c r="AJ159" s="1853"/>
      <c r="AK159" s="1853"/>
      <c r="AL159" s="1853"/>
      <c r="AM159" s="1853"/>
      <c r="AN159" s="1853"/>
      <c r="AO159" s="1853"/>
      <c r="AP159" s="1853"/>
      <c r="AQ159" s="1853"/>
      <c r="AR159" s="1853"/>
      <c r="AS159" s="1853"/>
      <c r="AT159" s="1853"/>
      <c r="AU159" s="1853"/>
      <c r="AV159" s="1853"/>
      <c r="AW159" s="1853"/>
      <c r="AX159" s="1853"/>
      <c r="AY159" s="1853"/>
      <c r="AZ159" s="1853"/>
      <c r="BA159" s="1853"/>
      <c r="BB159" s="1853"/>
      <c r="BC159" s="1853"/>
      <c r="BD159" s="1853"/>
      <c r="BE159" s="1853"/>
      <c r="BF159" s="1853"/>
      <c r="BG159" s="1853"/>
      <c r="BH159" s="1853"/>
      <c r="BI159" s="1853"/>
      <c r="BJ159" s="1853"/>
      <c r="BK159" s="1853"/>
      <c r="BL159" s="1853"/>
      <c r="BM159" s="1853"/>
      <c r="BN159" s="1853"/>
      <c r="BO159" s="1853"/>
    </row>
    <row r="160" spans="1:67" ht="20.100000000000001" hidden="1" customHeight="1" outlineLevel="1">
      <c r="A160" s="1842"/>
      <c r="B160" s="1954"/>
      <c r="C160" s="1876"/>
      <c r="D160" s="1866" t="s">
        <v>945</v>
      </c>
      <c r="E160" s="1866"/>
      <c r="F160" s="1951"/>
      <c r="G160" s="1952" t="s">
        <v>1109</v>
      </c>
      <c r="H160" s="1953"/>
      <c r="I160" s="1953"/>
      <c r="J160" s="1953"/>
      <c r="K160" s="1953"/>
      <c r="L160" s="1953">
        <f t="shared" ref="L160:AA160" ca="1" si="71">L50</f>
        <v>0</v>
      </c>
      <c r="M160" s="1953">
        <f t="shared" ca="1" si="71"/>
        <v>0</v>
      </c>
      <c r="N160" s="1953">
        <f t="shared" ca="1" si="71"/>
        <v>0</v>
      </c>
      <c r="O160" s="1953">
        <f t="shared" ca="1" si="71"/>
        <v>0</v>
      </c>
      <c r="P160" s="1953">
        <f t="shared" ca="1" si="71"/>
        <v>0</v>
      </c>
      <c r="Q160" s="1953">
        <f t="shared" ca="1" si="71"/>
        <v>0</v>
      </c>
      <c r="R160" s="1953">
        <f t="shared" ca="1" si="71"/>
        <v>0</v>
      </c>
      <c r="S160" s="1953">
        <f t="shared" ca="1" si="71"/>
        <v>0</v>
      </c>
      <c r="T160" s="1953">
        <f t="shared" ca="1" si="71"/>
        <v>0</v>
      </c>
      <c r="U160" s="1953">
        <f t="shared" ca="1" si="71"/>
        <v>0</v>
      </c>
      <c r="V160" s="1953">
        <f t="shared" ca="1" si="71"/>
        <v>0</v>
      </c>
      <c r="W160" s="1953">
        <f t="shared" ca="1" si="71"/>
        <v>0</v>
      </c>
      <c r="X160" s="1853">
        <f t="shared" ca="1" si="71"/>
        <v>0</v>
      </c>
      <c r="Y160" s="1853">
        <f t="shared" ca="1" si="71"/>
        <v>0</v>
      </c>
      <c r="Z160" s="1853">
        <f t="shared" ca="1" si="71"/>
        <v>0</v>
      </c>
      <c r="AA160" s="1853">
        <f t="shared" ca="1" si="71"/>
        <v>0</v>
      </c>
      <c r="AB160" s="1853"/>
      <c r="AC160" s="1853"/>
      <c r="AD160" s="1853"/>
      <c r="AE160" s="1853"/>
      <c r="AF160" s="1853"/>
      <c r="AG160" s="1853"/>
      <c r="AH160" s="1853"/>
      <c r="AI160" s="1853"/>
      <c r="AJ160" s="1853"/>
      <c r="AK160" s="1853"/>
      <c r="AL160" s="1853"/>
      <c r="AM160" s="1853"/>
      <c r="AN160" s="1853"/>
      <c r="AO160" s="1853"/>
      <c r="AP160" s="1853"/>
      <c r="AQ160" s="1853"/>
      <c r="AR160" s="1853"/>
      <c r="AS160" s="1853"/>
      <c r="AT160" s="1853"/>
      <c r="AU160" s="1853"/>
      <c r="AV160" s="1853"/>
      <c r="AW160" s="1853"/>
      <c r="AX160" s="1853"/>
      <c r="AY160" s="1853"/>
      <c r="AZ160" s="1853"/>
      <c r="BA160" s="1853"/>
      <c r="BB160" s="1853"/>
      <c r="BC160" s="1853"/>
      <c r="BD160" s="1853"/>
      <c r="BE160" s="1853"/>
      <c r="BF160" s="1853"/>
      <c r="BG160" s="1853"/>
      <c r="BH160" s="1853"/>
      <c r="BI160" s="1853"/>
      <c r="BJ160" s="1853"/>
      <c r="BK160" s="1853"/>
      <c r="BL160" s="1853"/>
      <c r="BM160" s="1853"/>
      <c r="BN160" s="1853"/>
      <c r="BO160" s="1853"/>
    </row>
    <row r="161" spans="1:68" ht="20.100000000000001" hidden="1" customHeight="1" outlineLevel="1">
      <c r="A161" s="1842"/>
      <c r="B161" s="1954"/>
      <c r="C161" s="1876"/>
      <c r="D161" s="1866" t="s">
        <v>946</v>
      </c>
      <c r="E161" s="1866"/>
      <c r="F161" s="1951"/>
      <c r="G161" s="1952" t="s">
        <v>1109</v>
      </c>
      <c r="H161" s="1953"/>
      <c r="I161" s="1953"/>
      <c r="J161" s="1953"/>
      <c r="K161" s="1953"/>
      <c r="L161" s="1953">
        <f t="shared" ref="L161:AA161" ca="1" si="72">L51</f>
        <v>0</v>
      </c>
      <c r="M161" s="1953">
        <f t="shared" ca="1" si="72"/>
        <v>0</v>
      </c>
      <c r="N161" s="1953">
        <f t="shared" ca="1" si="72"/>
        <v>0</v>
      </c>
      <c r="O161" s="1953">
        <f t="shared" ca="1" si="72"/>
        <v>0</v>
      </c>
      <c r="P161" s="1953">
        <f t="shared" ca="1" si="72"/>
        <v>0</v>
      </c>
      <c r="Q161" s="1953">
        <f t="shared" ca="1" si="72"/>
        <v>0</v>
      </c>
      <c r="R161" s="1953">
        <f t="shared" ca="1" si="72"/>
        <v>0</v>
      </c>
      <c r="S161" s="1953">
        <f t="shared" ca="1" si="72"/>
        <v>0</v>
      </c>
      <c r="T161" s="1953">
        <f t="shared" ca="1" si="72"/>
        <v>0</v>
      </c>
      <c r="U161" s="1953">
        <f t="shared" ca="1" si="72"/>
        <v>0</v>
      </c>
      <c r="V161" s="1953">
        <f t="shared" ca="1" si="72"/>
        <v>0</v>
      </c>
      <c r="W161" s="1953">
        <f t="shared" ca="1" si="72"/>
        <v>0</v>
      </c>
      <c r="X161" s="1853">
        <f t="shared" ca="1" si="72"/>
        <v>0</v>
      </c>
      <c r="Y161" s="1853">
        <f t="shared" ca="1" si="72"/>
        <v>0</v>
      </c>
      <c r="Z161" s="1853">
        <f t="shared" ca="1" si="72"/>
        <v>0</v>
      </c>
      <c r="AA161" s="1853">
        <f t="shared" ca="1" si="72"/>
        <v>0</v>
      </c>
      <c r="AB161" s="1853"/>
      <c r="AC161" s="1853"/>
      <c r="AD161" s="1853"/>
      <c r="AE161" s="1853"/>
      <c r="AF161" s="1853"/>
      <c r="AG161" s="1853"/>
      <c r="AH161" s="1853"/>
      <c r="AI161" s="1853"/>
      <c r="AJ161" s="1853"/>
      <c r="AK161" s="1853"/>
      <c r="AL161" s="1853"/>
      <c r="AM161" s="1853"/>
      <c r="AN161" s="1853"/>
      <c r="AO161" s="1853"/>
      <c r="AP161" s="1853"/>
      <c r="AQ161" s="1853"/>
      <c r="AR161" s="1853"/>
      <c r="AS161" s="1853"/>
      <c r="AT161" s="1853"/>
      <c r="AU161" s="1853"/>
      <c r="AV161" s="1853"/>
      <c r="AW161" s="1853"/>
      <c r="AX161" s="1853"/>
      <c r="AY161" s="1853"/>
      <c r="AZ161" s="1853"/>
      <c r="BA161" s="1853"/>
      <c r="BB161" s="1853"/>
      <c r="BC161" s="1853"/>
      <c r="BD161" s="1853"/>
      <c r="BE161" s="1853"/>
      <c r="BF161" s="1853"/>
      <c r="BG161" s="1853"/>
      <c r="BH161" s="1853"/>
      <c r="BI161" s="1853"/>
      <c r="BJ161" s="1853"/>
      <c r="BK161" s="1853"/>
      <c r="BL161" s="1853"/>
      <c r="BM161" s="1853"/>
      <c r="BN161" s="1853"/>
      <c r="BO161" s="1853"/>
    </row>
    <row r="162" spans="1:68" ht="20.100000000000001" hidden="1" customHeight="1" outlineLevel="1">
      <c r="A162" s="1842"/>
      <c r="B162" s="1954"/>
      <c r="C162" s="1876"/>
      <c r="D162" s="1866" t="s">
        <v>947</v>
      </c>
      <c r="E162" s="1866"/>
      <c r="F162" s="1951"/>
      <c r="G162" s="1952" t="s">
        <v>1109</v>
      </c>
      <c r="H162" s="1953"/>
      <c r="I162" s="1953"/>
      <c r="J162" s="1953"/>
      <c r="K162" s="1953"/>
      <c r="L162" s="1953">
        <f t="shared" ref="L162:AA162" ca="1" si="73">L52</f>
        <v>0</v>
      </c>
      <c r="M162" s="1953">
        <f t="shared" ca="1" si="73"/>
        <v>0</v>
      </c>
      <c r="N162" s="1953">
        <f t="shared" ca="1" si="73"/>
        <v>0</v>
      </c>
      <c r="O162" s="1953">
        <f t="shared" ca="1" si="73"/>
        <v>0</v>
      </c>
      <c r="P162" s="1953">
        <f t="shared" ca="1" si="73"/>
        <v>0</v>
      </c>
      <c r="Q162" s="1953">
        <f t="shared" ca="1" si="73"/>
        <v>0</v>
      </c>
      <c r="R162" s="1953">
        <f t="shared" ca="1" si="73"/>
        <v>0</v>
      </c>
      <c r="S162" s="1953">
        <f t="shared" ca="1" si="73"/>
        <v>0</v>
      </c>
      <c r="T162" s="1953">
        <f t="shared" ca="1" si="73"/>
        <v>0</v>
      </c>
      <c r="U162" s="1953">
        <f t="shared" ca="1" si="73"/>
        <v>0</v>
      </c>
      <c r="V162" s="1953">
        <f t="shared" ca="1" si="73"/>
        <v>0</v>
      </c>
      <c r="W162" s="1953">
        <f t="shared" ca="1" si="73"/>
        <v>0</v>
      </c>
      <c r="X162" s="1853">
        <f t="shared" ca="1" si="73"/>
        <v>0</v>
      </c>
      <c r="Y162" s="1853">
        <f t="shared" ca="1" si="73"/>
        <v>0</v>
      </c>
      <c r="Z162" s="1853">
        <f t="shared" ca="1" si="73"/>
        <v>0</v>
      </c>
      <c r="AA162" s="1853">
        <f t="shared" ca="1" si="73"/>
        <v>0</v>
      </c>
      <c r="AB162" s="1853"/>
      <c r="AC162" s="1853"/>
      <c r="AD162" s="1853"/>
      <c r="AE162" s="1853"/>
      <c r="AF162" s="1853"/>
      <c r="AG162" s="1853"/>
      <c r="AH162" s="1853"/>
      <c r="AI162" s="1853"/>
      <c r="AJ162" s="1853"/>
      <c r="AK162" s="1853"/>
      <c r="AL162" s="1853"/>
      <c r="AM162" s="1853"/>
      <c r="AN162" s="1853"/>
      <c r="AO162" s="1853"/>
      <c r="AP162" s="1853"/>
      <c r="AQ162" s="1853"/>
      <c r="AR162" s="1853"/>
      <c r="AS162" s="1853"/>
      <c r="AT162" s="1853"/>
      <c r="AU162" s="1853"/>
      <c r="AV162" s="1853"/>
      <c r="AW162" s="1853"/>
      <c r="AX162" s="1853"/>
      <c r="AY162" s="1853"/>
      <c r="AZ162" s="1853"/>
      <c r="BA162" s="1853"/>
      <c r="BB162" s="1853"/>
      <c r="BC162" s="1853"/>
      <c r="BD162" s="1853"/>
      <c r="BE162" s="1853"/>
      <c r="BF162" s="1853"/>
      <c r="BG162" s="1853"/>
      <c r="BH162" s="1853"/>
      <c r="BI162" s="1853"/>
      <c r="BJ162" s="1853"/>
      <c r="BK162" s="1853"/>
      <c r="BL162" s="1853"/>
      <c r="BM162" s="1853"/>
      <c r="BN162" s="1853"/>
      <c r="BO162" s="1853"/>
    </row>
    <row r="163" spans="1:68" ht="20.100000000000001" hidden="1" customHeight="1" outlineLevel="1">
      <c r="A163" s="1842"/>
      <c r="B163" s="1954"/>
      <c r="C163" s="1876"/>
      <c r="D163" s="1866" t="s">
        <v>569</v>
      </c>
      <c r="E163" s="1866"/>
      <c r="F163" s="1951"/>
      <c r="G163" s="1952" t="s">
        <v>1109</v>
      </c>
      <c r="H163" s="1953"/>
      <c r="I163" s="1953"/>
      <c r="J163" s="1953"/>
      <c r="K163" s="1953"/>
      <c r="L163" s="1953">
        <f t="shared" ref="L163:AA163" ca="1" si="74">L53</f>
        <v>0</v>
      </c>
      <c r="M163" s="1953">
        <f t="shared" ca="1" si="74"/>
        <v>0</v>
      </c>
      <c r="N163" s="1953">
        <f t="shared" ca="1" si="74"/>
        <v>0</v>
      </c>
      <c r="O163" s="1953">
        <f t="shared" ca="1" si="74"/>
        <v>0</v>
      </c>
      <c r="P163" s="1953">
        <f t="shared" ca="1" si="74"/>
        <v>0</v>
      </c>
      <c r="Q163" s="1953">
        <f t="shared" ca="1" si="74"/>
        <v>0</v>
      </c>
      <c r="R163" s="1953">
        <f t="shared" ca="1" si="74"/>
        <v>0</v>
      </c>
      <c r="S163" s="1953">
        <f t="shared" ca="1" si="74"/>
        <v>0</v>
      </c>
      <c r="T163" s="1953">
        <f t="shared" ca="1" si="74"/>
        <v>0</v>
      </c>
      <c r="U163" s="1953">
        <f t="shared" ca="1" si="74"/>
        <v>0</v>
      </c>
      <c r="V163" s="1953">
        <f t="shared" ca="1" si="74"/>
        <v>0</v>
      </c>
      <c r="W163" s="1953">
        <f t="shared" ca="1" si="74"/>
        <v>0</v>
      </c>
      <c r="X163" s="1853">
        <f t="shared" ca="1" si="74"/>
        <v>0</v>
      </c>
      <c r="Y163" s="1853">
        <f t="shared" ca="1" si="74"/>
        <v>0</v>
      </c>
      <c r="Z163" s="1853">
        <f t="shared" ca="1" si="74"/>
        <v>0</v>
      </c>
      <c r="AA163" s="1853">
        <f t="shared" ca="1" si="74"/>
        <v>0</v>
      </c>
      <c r="AB163" s="1853"/>
      <c r="AC163" s="1853"/>
      <c r="AD163" s="1853"/>
      <c r="AE163" s="1853"/>
      <c r="AF163" s="1853"/>
      <c r="AG163" s="1853"/>
      <c r="AH163" s="1853"/>
      <c r="AI163" s="1853"/>
      <c r="AJ163" s="1853"/>
      <c r="AK163" s="1853"/>
      <c r="AL163" s="1853"/>
      <c r="AM163" s="1853"/>
      <c r="AN163" s="1853"/>
      <c r="AO163" s="1853"/>
      <c r="AP163" s="1853"/>
      <c r="AQ163" s="1853"/>
      <c r="AR163" s="1853"/>
      <c r="AS163" s="1853"/>
      <c r="AT163" s="1853"/>
      <c r="AU163" s="1853"/>
      <c r="AV163" s="1853"/>
      <c r="AW163" s="1853"/>
      <c r="AX163" s="1853"/>
      <c r="AY163" s="1853"/>
      <c r="AZ163" s="1853"/>
      <c r="BA163" s="1853"/>
      <c r="BB163" s="1853"/>
      <c r="BC163" s="1853"/>
      <c r="BD163" s="1853"/>
      <c r="BE163" s="1853"/>
      <c r="BF163" s="1853"/>
      <c r="BG163" s="1853"/>
      <c r="BH163" s="1853"/>
      <c r="BI163" s="1853"/>
      <c r="BJ163" s="1853"/>
      <c r="BK163" s="1853"/>
      <c r="BL163" s="1853"/>
      <c r="BM163" s="1853"/>
      <c r="BN163" s="1853"/>
      <c r="BO163" s="1853"/>
    </row>
    <row r="164" spans="1:68" ht="20.100000000000001" hidden="1" customHeight="1" outlineLevel="1">
      <c r="A164" s="1842"/>
      <c r="B164" s="1954"/>
      <c r="C164" s="1876"/>
      <c r="D164" s="1866" t="s">
        <v>948</v>
      </c>
      <c r="E164" s="1958"/>
      <c r="F164" s="1960"/>
      <c r="G164" s="1952" t="s">
        <v>1109</v>
      </c>
      <c r="H164" s="1953"/>
      <c r="I164" s="1953"/>
      <c r="J164" s="1953"/>
      <c r="K164" s="1953"/>
      <c r="L164" s="1953">
        <f t="shared" ref="L164:AA164" ca="1" si="75">L54</f>
        <v>0</v>
      </c>
      <c r="M164" s="1953">
        <f t="shared" ca="1" si="75"/>
        <v>0</v>
      </c>
      <c r="N164" s="1953">
        <f t="shared" ca="1" si="75"/>
        <v>0</v>
      </c>
      <c r="O164" s="1953">
        <f t="shared" ca="1" si="75"/>
        <v>0</v>
      </c>
      <c r="P164" s="1953">
        <f t="shared" ca="1" si="75"/>
        <v>0</v>
      </c>
      <c r="Q164" s="1953">
        <f t="shared" ca="1" si="75"/>
        <v>0</v>
      </c>
      <c r="R164" s="1953">
        <f t="shared" ca="1" si="75"/>
        <v>0</v>
      </c>
      <c r="S164" s="1953">
        <f t="shared" ca="1" si="75"/>
        <v>0</v>
      </c>
      <c r="T164" s="1953">
        <f t="shared" ca="1" si="75"/>
        <v>0</v>
      </c>
      <c r="U164" s="1953">
        <f t="shared" ca="1" si="75"/>
        <v>0</v>
      </c>
      <c r="V164" s="1953">
        <f t="shared" ca="1" si="75"/>
        <v>0</v>
      </c>
      <c r="W164" s="1953">
        <f t="shared" ca="1" si="75"/>
        <v>0</v>
      </c>
      <c r="X164" s="1853">
        <f t="shared" ca="1" si="75"/>
        <v>0</v>
      </c>
      <c r="Y164" s="1853">
        <f t="shared" ca="1" si="75"/>
        <v>0</v>
      </c>
      <c r="Z164" s="1853">
        <f t="shared" ca="1" si="75"/>
        <v>0</v>
      </c>
      <c r="AA164" s="1853">
        <f t="shared" ca="1" si="75"/>
        <v>0</v>
      </c>
      <c r="AB164" s="1853"/>
      <c r="AC164" s="1853"/>
      <c r="AD164" s="1853"/>
      <c r="AE164" s="1853"/>
      <c r="AF164" s="1853"/>
      <c r="AG164" s="1853"/>
      <c r="AH164" s="1853"/>
      <c r="AI164" s="1853"/>
      <c r="AJ164" s="1853"/>
      <c r="AK164" s="1853"/>
      <c r="AL164" s="1853"/>
      <c r="AM164" s="1853"/>
      <c r="AN164" s="1853"/>
      <c r="AO164" s="1853"/>
      <c r="AP164" s="1853"/>
      <c r="AQ164" s="1853"/>
      <c r="AR164" s="1853"/>
      <c r="AS164" s="1853"/>
      <c r="AT164" s="1853"/>
      <c r="AU164" s="1853"/>
      <c r="AV164" s="1853"/>
      <c r="AW164" s="1853"/>
      <c r="AX164" s="1853"/>
      <c r="AY164" s="1853"/>
      <c r="AZ164" s="1853"/>
      <c r="BA164" s="1853"/>
      <c r="BB164" s="1853"/>
      <c r="BC164" s="1853"/>
      <c r="BD164" s="1853"/>
      <c r="BE164" s="1853"/>
      <c r="BF164" s="1853"/>
      <c r="BG164" s="1853"/>
      <c r="BH164" s="1853"/>
      <c r="BI164" s="1853"/>
      <c r="BJ164" s="1853"/>
      <c r="BK164" s="1853"/>
      <c r="BL164" s="1853"/>
      <c r="BM164" s="1853"/>
      <c r="BN164" s="1853"/>
      <c r="BO164" s="1853"/>
    </row>
    <row r="165" spans="1:68" ht="20.100000000000001" hidden="1" customHeight="1" outlineLevel="1">
      <c r="A165" s="1842"/>
      <c r="B165" s="1954"/>
      <c r="C165" s="1876"/>
      <c r="D165" s="1866" t="s">
        <v>949</v>
      </c>
      <c r="E165" s="1958"/>
      <c r="F165" s="1960"/>
      <c r="G165" s="1952" t="s">
        <v>1109</v>
      </c>
      <c r="H165" s="1953"/>
      <c r="I165" s="1953"/>
      <c r="J165" s="1953"/>
      <c r="K165" s="1953"/>
      <c r="L165" s="1953">
        <f t="shared" ref="L165:AA165" ca="1" si="76">L55</f>
        <v>0</v>
      </c>
      <c r="M165" s="1953">
        <f t="shared" ca="1" si="76"/>
        <v>0</v>
      </c>
      <c r="N165" s="1953">
        <f t="shared" ca="1" si="76"/>
        <v>0</v>
      </c>
      <c r="O165" s="1953">
        <f t="shared" ca="1" si="76"/>
        <v>0</v>
      </c>
      <c r="P165" s="1953">
        <f t="shared" ca="1" si="76"/>
        <v>0</v>
      </c>
      <c r="Q165" s="1953">
        <f t="shared" ca="1" si="76"/>
        <v>0</v>
      </c>
      <c r="R165" s="1953">
        <f t="shared" ca="1" si="76"/>
        <v>0</v>
      </c>
      <c r="S165" s="1953">
        <f t="shared" ca="1" si="76"/>
        <v>0</v>
      </c>
      <c r="T165" s="1953">
        <f t="shared" ca="1" si="76"/>
        <v>0</v>
      </c>
      <c r="U165" s="1953">
        <f t="shared" ca="1" si="76"/>
        <v>0</v>
      </c>
      <c r="V165" s="1953">
        <f t="shared" ca="1" si="76"/>
        <v>0</v>
      </c>
      <c r="W165" s="1953">
        <f t="shared" ca="1" si="76"/>
        <v>0</v>
      </c>
      <c r="X165" s="1853">
        <f t="shared" ca="1" si="76"/>
        <v>0</v>
      </c>
      <c r="Y165" s="1853">
        <f t="shared" ca="1" si="76"/>
        <v>0</v>
      </c>
      <c r="Z165" s="1853">
        <f t="shared" ca="1" si="76"/>
        <v>0</v>
      </c>
      <c r="AA165" s="1853">
        <f t="shared" ca="1" si="76"/>
        <v>0</v>
      </c>
      <c r="AB165" s="1853"/>
      <c r="AC165" s="1853"/>
      <c r="AD165" s="1853"/>
      <c r="AE165" s="1853"/>
      <c r="AF165" s="1853"/>
      <c r="AG165" s="1853"/>
      <c r="AH165" s="1853"/>
      <c r="AI165" s="1853"/>
      <c r="AJ165" s="1853"/>
      <c r="AK165" s="1853"/>
      <c r="AL165" s="1853"/>
      <c r="AM165" s="1853"/>
      <c r="AN165" s="1853"/>
      <c r="AO165" s="1853"/>
      <c r="AP165" s="1853"/>
      <c r="AQ165" s="1853"/>
      <c r="AR165" s="1853"/>
      <c r="AS165" s="1853"/>
      <c r="AT165" s="1853"/>
      <c r="AU165" s="1853"/>
      <c r="AV165" s="1853"/>
      <c r="AW165" s="1853"/>
      <c r="AX165" s="1853"/>
      <c r="AY165" s="1853"/>
      <c r="AZ165" s="1853"/>
      <c r="BA165" s="1853"/>
      <c r="BB165" s="1853"/>
      <c r="BC165" s="1853"/>
      <c r="BD165" s="1853"/>
      <c r="BE165" s="1853"/>
      <c r="BF165" s="1853"/>
      <c r="BG165" s="1853"/>
      <c r="BH165" s="1853"/>
      <c r="BI165" s="1853"/>
      <c r="BJ165" s="1853"/>
      <c r="BK165" s="1853"/>
      <c r="BL165" s="1853"/>
      <c r="BM165" s="1853"/>
      <c r="BN165" s="1853"/>
      <c r="BO165" s="1853"/>
      <c r="BP165" s="1862"/>
    </row>
    <row r="166" spans="1:68" ht="20.100000000000001" customHeight="1" collapsed="1">
      <c r="A166" s="1845">
        <v>56</v>
      </c>
      <c r="B166" s="1846" t="s">
        <v>950</v>
      </c>
      <c r="C166" s="1847" t="s">
        <v>951</v>
      </c>
      <c r="D166" s="1848" t="s">
        <v>952</v>
      </c>
      <c r="E166" s="1856"/>
      <c r="F166" s="1863"/>
      <c r="G166" s="1225" t="s">
        <v>1109</v>
      </c>
      <c r="H166" s="1850">
        <f ca="1">IFERROR(OFFSET(貼付け_2024実績,$A166,6),"")</f>
        <v>6.54E-2</v>
      </c>
      <c r="I166" s="1850">
        <f ca="1">IFERROR(OFFSET(貼付け_2025実績,$A166,6),"")</f>
        <v>6.54E-2</v>
      </c>
      <c r="J166" s="1850">
        <f ca="1">IFERROR(OFFSET(貼付け_2026実績,$A166,6),"")</f>
        <v>6.54E-2</v>
      </c>
      <c r="K166" s="1850">
        <f ca="1">IFERROR(OFFSET(貼付け_2027実績,$A166,6),"")</f>
        <v>6.54E-2</v>
      </c>
      <c r="L166" s="1852">
        <f ca="1">IFERROR($H166*参考2_エネ使用量経年!L57,"")</f>
        <v>0</v>
      </c>
      <c r="M166" s="1852">
        <f ca="1">IFERROR($I166*参考2_エネ使用量経年!M57,"")</f>
        <v>0</v>
      </c>
      <c r="N166" s="1852">
        <f ca="1">IFERROR($J166*参考2_エネ使用量経年!N57,"")</f>
        <v>0</v>
      </c>
      <c r="O166" s="1852">
        <f ca="1">IFERROR($K166*参考2_エネ使用量経年!O57,"")</f>
        <v>0</v>
      </c>
      <c r="P166" s="1852">
        <f ca="1">IFERROR($H166*参考2_エネ使用量経年!P57,"")</f>
        <v>0</v>
      </c>
      <c r="Q166" s="1852">
        <f ca="1">IFERROR($I166*参考2_エネ使用量経年!Q57,"")</f>
        <v>0</v>
      </c>
      <c r="R166" s="1852">
        <f ca="1">IFERROR($J166*参考2_エネ使用量経年!R57,"")</f>
        <v>0</v>
      </c>
      <c r="S166" s="1852">
        <f ca="1">IFERROR($K166*参考2_エネ使用量経年!S57,"")</f>
        <v>0</v>
      </c>
      <c r="T166" s="1852">
        <f ca="1">IFERROR($H166*参考2_エネ使用量経年!T57,"")</f>
        <v>0</v>
      </c>
      <c r="U166" s="1852">
        <f ca="1">IFERROR($I166*参考2_エネ使用量経年!U57,"")</f>
        <v>0</v>
      </c>
      <c r="V166" s="1852">
        <f ca="1">IFERROR($J166*参考2_エネ使用量経年!V57,"")</f>
        <v>0</v>
      </c>
      <c r="W166" s="1852">
        <f ca="1">IFERROR($K166*参考2_エネ使用量経年!W57,"")</f>
        <v>0</v>
      </c>
      <c r="X166" s="1853">
        <f ca="1">IFERROR($H166*参考2_エネ使用量経年!X57,"")</f>
        <v>0</v>
      </c>
      <c r="Y166" s="1853">
        <f ca="1">IFERROR($I166*参考2_エネ使用量経年!Y57,"")</f>
        <v>0</v>
      </c>
      <c r="Z166" s="1853">
        <f ca="1">IFERROR($J166*参考2_エネ使用量経年!Z57,"")</f>
        <v>0</v>
      </c>
      <c r="AA166" s="1853">
        <f ca="1">IFERROR($K166*参考2_エネ使用量経年!AA57,"")</f>
        <v>0</v>
      </c>
      <c r="AB166" s="1853"/>
      <c r="AC166" s="1853"/>
      <c r="AD166" s="1853"/>
      <c r="AE166" s="1853"/>
      <c r="AF166" s="1853"/>
      <c r="AG166" s="1853"/>
      <c r="AH166" s="1853"/>
      <c r="AI166" s="1853"/>
      <c r="AJ166" s="1853"/>
      <c r="AK166" s="1853"/>
      <c r="AL166" s="1853"/>
      <c r="AM166" s="1853"/>
      <c r="AN166" s="1853"/>
      <c r="AO166" s="1853"/>
      <c r="AP166" s="1853"/>
      <c r="AQ166" s="1853"/>
      <c r="AR166" s="1853"/>
      <c r="AS166" s="1853"/>
      <c r="AT166" s="1853"/>
      <c r="AU166" s="1853"/>
      <c r="AV166" s="1853"/>
      <c r="AW166" s="1853"/>
      <c r="AX166" s="1853"/>
      <c r="AY166" s="1853"/>
      <c r="AZ166" s="1853"/>
      <c r="BA166" s="1853"/>
      <c r="BB166" s="1853"/>
      <c r="BC166" s="1853"/>
      <c r="BD166" s="1853"/>
      <c r="BE166" s="1853"/>
      <c r="BF166" s="1853"/>
      <c r="BG166" s="1853"/>
      <c r="BH166" s="1853"/>
      <c r="BI166" s="1853"/>
      <c r="BJ166" s="1853"/>
      <c r="BK166" s="1853"/>
      <c r="BL166" s="1853"/>
      <c r="BM166" s="1853"/>
      <c r="BN166" s="1853"/>
      <c r="BO166" s="1853"/>
      <c r="BP166" s="1862"/>
    </row>
    <row r="167" spans="1:68" ht="20.100000000000001" customHeight="1">
      <c r="A167" s="1845">
        <v>10</v>
      </c>
      <c r="B167" s="1854"/>
      <c r="C167" s="1847"/>
      <c r="D167" s="1848" t="s">
        <v>953</v>
      </c>
      <c r="E167" s="1856"/>
      <c r="F167" s="1863"/>
      <c r="G167" s="1225" t="s">
        <v>1109</v>
      </c>
      <c r="H167" s="1962"/>
      <c r="I167" s="1962"/>
      <c r="J167" s="1962"/>
      <c r="K167" s="1962"/>
      <c r="L167" s="1852">
        <f ca="1">SUM(SUMIFS(OFFSET(A1_集計2024,$A167,9,1,200),OFFSET(貼付け_2024実績,4,9,1,200),{"横浜*","川崎*","県域*","エネルギー管理指定工場等*"}))</f>
        <v>0</v>
      </c>
      <c r="M167" s="1852">
        <f ca="1">SUM(SUMIFS(OFFSET(A1_集計2025,$A167,9,1,200),OFFSET(貼付け_2025実績,4,9,1,200),{"横浜*","川崎*","県域*","エネルギー管理指定工場等*"}))</f>
        <v>0</v>
      </c>
      <c r="N167" s="1852">
        <f ca="1">SUM(SUMIFS(OFFSET(A1_集計2026,$A167,9,1,200),OFFSET(貼付け_2026実績,4,9,1,200),{"横浜*","川崎*","県域*","エネルギー管理指定工場等*"}))</f>
        <v>0</v>
      </c>
      <c r="O167" s="1852">
        <f ca="1">SUM(SUMIFS(OFFSET(A1_集計2027,$A167,9,1,200),OFFSET(貼付け_2027実績,4,9,1,200),{"横浜*","川崎*","県域*","エネルギー管理指定工場等*"}))</f>
        <v>0</v>
      </c>
      <c r="P167" s="1852">
        <f ca="1">SUM(SUMIFS(OFFSET(A1_集計2024,$A167,9,1,200),OFFSET(貼付け_2024実績,4,9,1,200),{"横浜*","川崎*"}))</f>
        <v>0</v>
      </c>
      <c r="Q167" s="1852">
        <f ca="1">SUM(SUMIFS(OFFSET(A1_集計2025,$A167,9,1,200),OFFSET(貼付け_2025実績,4,9,1,200),{"横浜*","川崎*"}))</f>
        <v>0</v>
      </c>
      <c r="R167" s="1852">
        <f ca="1">SUM(SUMIFS(OFFSET(A1_集計2026,$A167,9,1,200),OFFSET(貼付け_2026実績,4,9,1,200),{"横浜*","川崎*"}))</f>
        <v>0</v>
      </c>
      <c r="S167" s="1852">
        <f ca="1">SUM(SUMIFS(OFFSET(A1_集計2027,$A167,9,1,200),OFFSET(貼付け_2027実績,4,9,1,200),{"横浜*","川崎*"}))</f>
        <v>0</v>
      </c>
      <c r="T167" s="1852">
        <f ca="1">SUM(SUMIFS(OFFSET(A1_集計2024,$A167,9,1,200),OFFSET(貼付け_2024実績,4,9,1,200),{"県域*","エネルギー管理指定工場等*"}))</f>
        <v>0</v>
      </c>
      <c r="U167" s="1852">
        <f ca="1">SUM(SUMIFS(OFFSET(A1_集計2025,$A167,9,1,200),OFFSET(貼付け_2025実績,4,9,1,200),{"県域*","エネルギー管理指定工場等*"}))</f>
        <v>0</v>
      </c>
      <c r="V167" s="1852">
        <f ca="1">SUM(SUMIFS(OFFSET(A1_集計2026,$A167,9,1,200),OFFSET(貼付け_2026実績,4,9,1,200),{"県域*","エネルギー管理指定工場等*"}))</f>
        <v>0</v>
      </c>
      <c r="W167" s="1852">
        <f ca="1">SUM(SUMIFS(OFFSET(A1_集計2027,$A167,9,1,200),OFFSET(貼付け_2027実績,4,9,1,200),{"県域*","エネルギー管理指定工場等*"}))</f>
        <v>0</v>
      </c>
      <c r="X167" s="1853">
        <f ca="1">SUMIFS(OFFSET(A1_集計2024,$A167,9,1,200),OFFSET(貼付け_2024実績,4,9,1,200),"県域*")</f>
        <v>0</v>
      </c>
      <c r="Y167" s="1853">
        <f ca="1">SUMIFS(OFFSET(A1_集計2025,$A167,9,1,200),OFFSET(貼付け_2025実績,4,9,1,200),"県域*")</f>
        <v>0</v>
      </c>
      <c r="Z167" s="1853">
        <f ca="1">SUMIFS(OFFSET(A1_集計2026,$A167,9,1,200),OFFSET(貼付け_2026実績,4,9,1,200),"県域*")</f>
        <v>0</v>
      </c>
      <c r="AA167" s="1853">
        <f ca="1">SUMIFS(OFFSET(A1_集計2027,$A167,9,1,200),OFFSET(貼付け_2027実績,4,9,1,200),"県域*")</f>
        <v>0</v>
      </c>
      <c r="AB167" s="1853"/>
      <c r="AC167" s="1853"/>
      <c r="AD167" s="1853"/>
      <c r="AE167" s="1853"/>
      <c r="AF167" s="1853"/>
      <c r="AG167" s="1853"/>
      <c r="AH167" s="1853"/>
      <c r="AI167" s="1853"/>
      <c r="AJ167" s="1853"/>
      <c r="AK167" s="1853"/>
      <c r="AL167" s="1853"/>
      <c r="AM167" s="1853"/>
      <c r="AN167" s="1853"/>
      <c r="AO167" s="1853"/>
      <c r="AP167" s="1853"/>
      <c r="AQ167" s="1853"/>
      <c r="AR167" s="1853"/>
      <c r="AS167" s="1853"/>
      <c r="AT167" s="1853"/>
      <c r="AU167" s="1853"/>
      <c r="AV167" s="1853"/>
      <c r="AW167" s="1853"/>
      <c r="AX167" s="1853"/>
      <c r="AY167" s="1853"/>
      <c r="AZ167" s="1853"/>
      <c r="BA167" s="1853"/>
      <c r="BB167" s="1853"/>
      <c r="BC167" s="1853"/>
      <c r="BD167" s="1853"/>
      <c r="BE167" s="1853"/>
      <c r="BF167" s="1853"/>
      <c r="BG167" s="1853"/>
      <c r="BH167" s="1853"/>
      <c r="BI167" s="1853"/>
      <c r="BJ167" s="1853"/>
      <c r="BK167" s="1853"/>
      <c r="BL167" s="1853"/>
      <c r="BM167" s="1853"/>
      <c r="BN167" s="1853"/>
      <c r="BO167" s="1853"/>
      <c r="BP167" s="1862"/>
    </row>
    <row r="168" spans="1:68" ht="20.100000000000001" customHeight="1">
      <c r="A168" s="1845">
        <v>12</v>
      </c>
      <c r="B168" s="1854"/>
      <c r="C168" s="1847"/>
      <c r="D168" s="1848" t="s">
        <v>954</v>
      </c>
      <c r="E168" s="1856"/>
      <c r="F168" s="1863"/>
      <c r="G168" s="1225" t="s">
        <v>1109</v>
      </c>
      <c r="H168" s="1962"/>
      <c r="I168" s="1962"/>
      <c r="J168" s="1962"/>
      <c r="K168" s="1962"/>
      <c r="L168" s="1852">
        <f ca="1">SUM(SUMIFS(OFFSET(A1_集計2024,$A168,9,1,200),OFFSET(貼付け_2024実績,4,9,1,200),{"横浜*","川崎*","県域*","エネルギー管理指定工場等*"}))</f>
        <v>0</v>
      </c>
      <c r="M168" s="1852">
        <f ca="1">SUM(SUMIFS(OFFSET(A1_集計2025,$A168,9,1,200),OFFSET(貼付け_2025実績,4,9,1,200),{"横浜*","川崎*","県域*","エネルギー管理指定工場等*"}))</f>
        <v>0</v>
      </c>
      <c r="N168" s="1852">
        <f ca="1">SUM(SUMIFS(OFFSET(A1_集計2026,$A168,9,1,200),OFFSET(貼付け_2026実績,4,9,1,200),{"横浜*","川崎*","県域*","エネルギー管理指定工場等*"}))</f>
        <v>0</v>
      </c>
      <c r="O168" s="1852">
        <f ca="1">SUM(SUMIFS(OFFSET(A1_集計2027,$A168,9,1,200),OFFSET(貼付け_2027実績,4,9,1,200),{"横浜*","川崎*","県域*","エネルギー管理指定工場等*"}))</f>
        <v>0</v>
      </c>
      <c r="P168" s="1852">
        <f ca="1">SUM(SUMIFS(OFFSET(A1_集計2024,$A168,9,1,200),OFFSET(貼付け_2024実績,4,9,1,200),{"横浜*","川崎*"}))</f>
        <v>0</v>
      </c>
      <c r="Q168" s="1852">
        <f ca="1">SUM(SUMIFS(OFFSET(A1_集計2025,$A168,9,1,200),OFFSET(貼付け_2025実績,4,9,1,200),{"横浜*","川崎*"}))</f>
        <v>0</v>
      </c>
      <c r="R168" s="1852">
        <f ca="1">SUM(SUMIFS(OFFSET(A1_集計2026,$A168,9,1,200),OFFSET(貼付け_2026実績,4,9,1,200),{"横浜*","川崎*"}))</f>
        <v>0</v>
      </c>
      <c r="S168" s="1852">
        <f ca="1">SUM(SUMIFS(OFFSET(A1_集計2027,$A168,9,1,200),OFFSET(貼付け_2027実績,4,9,1,200),{"横浜*","川崎*"}))</f>
        <v>0</v>
      </c>
      <c r="T168" s="1852">
        <f ca="1">SUM(SUMIFS(OFFSET(A1_集計2024,$A168,9,1,200),OFFSET(貼付け_2024実績,4,9,1,200),{"県域*","エネルギー管理指定工場等*"}))</f>
        <v>0</v>
      </c>
      <c r="U168" s="1852">
        <f ca="1">SUM(SUMIFS(OFFSET(A1_集計2025,$A168,9,1,200),OFFSET(貼付け_2025実績,4,9,1,200),{"県域*","エネルギー管理指定工場等*"}))</f>
        <v>0</v>
      </c>
      <c r="V168" s="1852">
        <f ca="1">SUM(SUMIFS(OFFSET(A1_集計2026,$A168,9,1,200),OFFSET(貼付け_2026実績,4,9,1,200),{"県域*","エネルギー管理指定工場等*"}))</f>
        <v>0</v>
      </c>
      <c r="W168" s="1852">
        <f ca="1">SUM(SUMIFS(OFFSET(A1_集計2027,$A168,9,1,200),OFFSET(貼付け_2027実績,4,9,1,200),{"県域*","エネルギー管理指定工場等*"}))</f>
        <v>0</v>
      </c>
      <c r="X168" s="1853">
        <f ca="1">SUMIFS(OFFSET(A1_集計2024,$A168,9,1,200),OFFSET(貼付け_2024実績,4,9,1,200),"県域*")</f>
        <v>0</v>
      </c>
      <c r="Y168" s="1853">
        <f ca="1">SUMIFS(OFFSET(A1_集計2025,$A168,9,1,200),OFFSET(貼付け_2025実績,4,9,1,200),"県域*")</f>
        <v>0</v>
      </c>
      <c r="Z168" s="1853">
        <f ca="1">SUMIFS(OFFSET(A1_集計2026,$A168,9,1,200),OFFSET(貼付け_2026実績,4,9,1,200),"県域*")</f>
        <v>0</v>
      </c>
      <c r="AA168" s="1853">
        <f ca="1">SUMIFS(OFFSET(A1_集計2027,$A168,9,1,200),OFFSET(貼付け_2027実績,4,9,1,200),"県域*")</f>
        <v>0</v>
      </c>
      <c r="AB168" s="1853"/>
      <c r="AC168" s="1853"/>
      <c r="AD168" s="1853"/>
      <c r="AE168" s="1853"/>
      <c r="AF168" s="1853"/>
      <c r="AG168" s="1853"/>
      <c r="AH168" s="1853"/>
      <c r="AI168" s="1853"/>
      <c r="AJ168" s="1853"/>
      <c r="AK168" s="1853"/>
      <c r="AL168" s="1853"/>
      <c r="AM168" s="1853"/>
      <c r="AN168" s="1853"/>
      <c r="AO168" s="1853"/>
      <c r="AP168" s="1853"/>
      <c r="AQ168" s="1853"/>
      <c r="AR168" s="1853"/>
      <c r="AS168" s="1853"/>
      <c r="AT168" s="1853"/>
      <c r="AU168" s="1853"/>
      <c r="AV168" s="1853"/>
      <c r="AW168" s="1853"/>
      <c r="AX168" s="1853"/>
      <c r="AY168" s="1853"/>
      <c r="AZ168" s="1853"/>
      <c r="BA168" s="1853"/>
      <c r="BB168" s="1853"/>
      <c r="BC168" s="1853"/>
      <c r="BD168" s="1853"/>
      <c r="BE168" s="1853"/>
      <c r="BF168" s="1853"/>
      <c r="BG168" s="1853"/>
      <c r="BH168" s="1853"/>
      <c r="BI168" s="1853"/>
      <c r="BJ168" s="1853"/>
      <c r="BK168" s="1853"/>
      <c r="BL168" s="1853"/>
      <c r="BM168" s="1853"/>
      <c r="BN168" s="1853"/>
      <c r="BO168" s="1853"/>
      <c r="BP168" s="1862"/>
    </row>
    <row r="169" spans="1:68" ht="20.100000000000001" customHeight="1">
      <c r="A169" s="1845">
        <v>14</v>
      </c>
      <c r="B169" s="1854"/>
      <c r="C169" s="1847"/>
      <c r="D169" s="1848" t="s">
        <v>955</v>
      </c>
      <c r="E169" s="1856"/>
      <c r="F169" s="1863"/>
      <c r="G169" s="1225" t="s">
        <v>1109</v>
      </c>
      <c r="H169" s="1962"/>
      <c r="I169" s="1962"/>
      <c r="J169" s="1962"/>
      <c r="K169" s="1962"/>
      <c r="L169" s="1852">
        <f ca="1">SUM(SUMIFS(OFFSET(A1_集計2024,$A169,9,1,200),OFFSET(貼付け_2024実績,4,9,1,200),{"横浜*","川崎*","県域*","エネルギー管理指定工場等*"}))</f>
        <v>0</v>
      </c>
      <c r="M169" s="1852">
        <f ca="1">SUM(SUMIFS(OFFSET(A1_集計2025,$A169,9,1,200),OFFSET(貼付け_2025実績,4,9,1,200),{"横浜*","川崎*","県域*","エネルギー管理指定工場等*"}))</f>
        <v>0</v>
      </c>
      <c r="N169" s="1852">
        <f ca="1">SUM(SUMIFS(OFFSET(A1_集計2026,$A169,9,1,200),OFFSET(貼付け_2026実績,4,9,1,200),{"横浜*","川崎*","県域*","エネルギー管理指定工場等*"}))</f>
        <v>0</v>
      </c>
      <c r="O169" s="1852">
        <f ca="1">SUM(SUMIFS(OFFSET(A1_集計2027,$A169,9,1,200),OFFSET(貼付け_2027実績,4,9,1,200),{"横浜*","川崎*","県域*","エネルギー管理指定工場等*"}))</f>
        <v>0</v>
      </c>
      <c r="P169" s="1852">
        <f ca="1">SUM(SUMIFS(OFFSET(A1_集計2024,$A169,9,1,200),OFFSET(貼付け_2024実績,4,9,1,200),{"横浜*","川崎*"}))</f>
        <v>0</v>
      </c>
      <c r="Q169" s="1852">
        <f ca="1">SUM(SUMIFS(OFFSET(A1_集計2025,$A169,9,1,200),OFFSET(貼付け_2025実績,4,9,1,200),{"横浜*","川崎*"}))</f>
        <v>0</v>
      </c>
      <c r="R169" s="1852">
        <f ca="1">SUM(SUMIFS(OFFSET(A1_集計2026,$A169,9,1,200),OFFSET(貼付け_2026実績,4,9,1,200),{"横浜*","川崎*"}))</f>
        <v>0</v>
      </c>
      <c r="S169" s="1852">
        <f ca="1">SUM(SUMIFS(OFFSET(A1_集計2027,$A169,9,1,200),OFFSET(貼付け_2027実績,4,9,1,200),{"横浜*","川崎*"}))</f>
        <v>0</v>
      </c>
      <c r="T169" s="1852">
        <f ca="1">SUM(SUMIFS(OFFSET(A1_集計2024,$A169,9,1,200),OFFSET(貼付け_2024実績,4,9,1,200),{"県域*","エネルギー管理指定工場等*"}))</f>
        <v>0</v>
      </c>
      <c r="U169" s="1852">
        <f ca="1">SUM(SUMIFS(OFFSET(A1_集計2025,$A169,9,1,200),OFFSET(貼付け_2025実績,4,9,1,200),{"県域*","エネルギー管理指定工場等*"}))</f>
        <v>0</v>
      </c>
      <c r="V169" s="1852">
        <f ca="1">SUM(SUMIFS(OFFSET(A1_集計2026,$A169,9,1,200),OFFSET(貼付け_2026実績,4,9,1,200),{"県域*","エネルギー管理指定工場等*"}))</f>
        <v>0</v>
      </c>
      <c r="W169" s="1852">
        <f ca="1">SUM(SUMIFS(OFFSET(A1_集計2027,$A169,9,1,200),OFFSET(貼付け_2027実績,4,9,1,200),{"県域*","エネルギー管理指定工場等*"}))</f>
        <v>0</v>
      </c>
      <c r="X169" s="1853">
        <f ca="1">SUMIFS(OFFSET(A1_集計2024,$A169,9,1,200),OFFSET(貼付け_2024実績,4,9,1,200),"県域*")</f>
        <v>0</v>
      </c>
      <c r="Y169" s="1853">
        <f ca="1">SUMIFS(OFFSET(A1_集計2025,$A169,9,1,200),OFFSET(貼付け_2025実績,4,9,1,200),"県域*")</f>
        <v>0</v>
      </c>
      <c r="Z169" s="1853">
        <f ca="1">SUMIFS(OFFSET(A1_集計2026,$A169,9,1,200),OFFSET(貼付け_2026実績,4,9,1,200),"県域*")</f>
        <v>0</v>
      </c>
      <c r="AA169" s="1853">
        <f ca="1">SUMIFS(OFFSET(A1_集計2027,$A169,9,1,200),OFFSET(貼付け_2027実績,4,9,1,200),"県域*")</f>
        <v>0</v>
      </c>
      <c r="AB169" s="1853"/>
      <c r="AC169" s="1853"/>
      <c r="AD169" s="1853"/>
      <c r="AE169" s="1853"/>
      <c r="AF169" s="1853"/>
      <c r="AG169" s="1853"/>
      <c r="AH169" s="1853"/>
      <c r="AI169" s="1853"/>
      <c r="AJ169" s="1853"/>
      <c r="AK169" s="1853"/>
      <c r="AL169" s="1853"/>
      <c r="AM169" s="1853"/>
      <c r="AN169" s="1853"/>
      <c r="AO169" s="1853"/>
      <c r="AP169" s="1853"/>
      <c r="AQ169" s="1853"/>
      <c r="AR169" s="1853"/>
      <c r="AS169" s="1853"/>
      <c r="AT169" s="1853"/>
      <c r="AU169" s="1853"/>
      <c r="AV169" s="1853"/>
      <c r="AW169" s="1853"/>
      <c r="AX169" s="1853"/>
      <c r="AY169" s="1853"/>
      <c r="AZ169" s="1853"/>
      <c r="BA169" s="1853"/>
      <c r="BB169" s="1853"/>
      <c r="BC169" s="1853"/>
      <c r="BD169" s="1853"/>
      <c r="BE169" s="1853"/>
      <c r="BF169" s="1853"/>
      <c r="BG169" s="1853"/>
      <c r="BH169" s="1853"/>
      <c r="BI169" s="1853"/>
      <c r="BJ169" s="1853"/>
      <c r="BK169" s="1853"/>
      <c r="BL169" s="1853"/>
      <c r="BM169" s="1853"/>
      <c r="BN169" s="1853"/>
      <c r="BO169" s="1853"/>
      <c r="BP169" s="1862"/>
    </row>
    <row r="170" spans="1:68" ht="20.100000000000001" customHeight="1">
      <c r="A170" s="1845">
        <v>64</v>
      </c>
      <c r="B170" s="1854"/>
      <c r="C170" s="1847"/>
      <c r="D170" s="1864" t="s">
        <v>956</v>
      </c>
      <c r="E170" s="1858" t="str">
        <f ca="1">E60</f>
        <v/>
      </c>
      <c r="F170" s="1860"/>
      <c r="G170" s="1225" t="s">
        <v>1109</v>
      </c>
      <c r="H170" s="1850">
        <f ca="1">IFERROR(OFFSET(貼付け_2024実績,$A170,6),"")</f>
        <v>0</v>
      </c>
      <c r="I170" s="1850">
        <f ca="1">IFERROR(OFFSET(貼付け_2025実績,$A170,6),"")</f>
        <v>0</v>
      </c>
      <c r="J170" s="1850">
        <f ca="1">IFERROR(OFFSET(貼付け_2026実績,$A170,6),"")</f>
        <v>0</v>
      </c>
      <c r="K170" s="1850">
        <f ca="1">IFERROR(OFFSET(貼付け_2027実績,$A170,6),"")</f>
        <v>0</v>
      </c>
      <c r="L170" s="1851">
        <f ca="1">IFERROR($H170*参考2_エネ使用量経年!L61,"")</f>
        <v>0</v>
      </c>
      <c r="M170" s="1851">
        <f ca="1">IFERROR($I170*参考2_エネ使用量経年!M61,"")</f>
        <v>0</v>
      </c>
      <c r="N170" s="1851">
        <f ca="1">IFERROR($J170*参考2_エネ使用量経年!N61,"")</f>
        <v>0</v>
      </c>
      <c r="O170" s="1851">
        <f ca="1">IFERROR($K170*参考2_エネ使用量経年!O61,"")</f>
        <v>0</v>
      </c>
      <c r="P170" s="1852">
        <f ca="1">IFERROR($H170*参考2_エネ使用量経年!P61,"")</f>
        <v>0</v>
      </c>
      <c r="Q170" s="1852">
        <f ca="1">IFERROR($I170*参考2_エネ使用量経年!Q61,"")</f>
        <v>0</v>
      </c>
      <c r="R170" s="1852">
        <f ca="1">IFERROR($J170*参考2_エネ使用量経年!R61,"")</f>
        <v>0</v>
      </c>
      <c r="S170" s="1852">
        <f ca="1">IFERROR($K170*参考2_エネ使用量経年!S61,"")</f>
        <v>0</v>
      </c>
      <c r="T170" s="1851">
        <f ca="1">IFERROR($H170*参考2_エネ使用量経年!T61,"")</f>
        <v>0</v>
      </c>
      <c r="U170" s="1851">
        <f ca="1">IFERROR($I170*参考2_エネ使用量経年!U61,"")</f>
        <v>0</v>
      </c>
      <c r="V170" s="1851">
        <f ca="1">IFERROR($J170*参考2_エネ使用量経年!V61,"")</f>
        <v>0</v>
      </c>
      <c r="W170" s="1851">
        <f ca="1">IFERROR($K170*参考2_エネ使用量経年!W61,"")</f>
        <v>0</v>
      </c>
      <c r="X170" s="1853">
        <f ca="1">IFERROR($H170*参考2_エネ使用量経年!X61,"")</f>
        <v>0</v>
      </c>
      <c r="Y170" s="1853">
        <f ca="1">IFERROR($I170*参考2_エネ使用量経年!Y61,"")</f>
        <v>0</v>
      </c>
      <c r="Z170" s="1853">
        <f ca="1">IFERROR($J170*参考2_エネ使用量経年!Z61,"")</f>
        <v>0</v>
      </c>
      <c r="AA170" s="1853">
        <f ca="1">IFERROR($K170*参考2_エネ使用量経年!AA61,"")</f>
        <v>0</v>
      </c>
      <c r="AB170" s="1853"/>
      <c r="AC170" s="1853"/>
      <c r="AD170" s="1853"/>
      <c r="AE170" s="1853"/>
      <c r="AF170" s="1853"/>
      <c r="AG170" s="1853"/>
      <c r="AH170" s="1853"/>
      <c r="AI170" s="1853"/>
      <c r="AJ170" s="1853"/>
      <c r="AK170" s="1853"/>
      <c r="AL170" s="1853"/>
      <c r="AM170" s="1853"/>
      <c r="AN170" s="1853"/>
      <c r="AO170" s="1853"/>
      <c r="AP170" s="1853"/>
      <c r="AQ170" s="1853"/>
      <c r="AR170" s="1853"/>
      <c r="AS170" s="1853"/>
      <c r="AT170" s="1853"/>
      <c r="AU170" s="1853"/>
      <c r="AV170" s="1853"/>
      <c r="AW170" s="1853"/>
      <c r="AX170" s="1853"/>
      <c r="AY170" s="1853"/>
      <c r="AZ170" s="1853"/>
      <c r="BA170" s="1853"/>
      <c r="BB170" s="1853"/>
      <c r="BC170" s="1853"/>
      <c r="BD170" s="1853"/>
      <c r="BE170" s="1853"/>
      <c r="BF170" s="1853"/>
      <c r="BG170" s="1853"/>
      <c r="BH170" s="1853"/>
      <c r="BI170" s="1853"/>
      <c r="BJ170" s="1853"/>
      <c r="BK170" s="1853"/>
      <c r="BL170" s="1853"/>
      <c r="BM170" s="1853"/>
      <c r="BN170" s="1853"/>
      <c r="BO170" s="1853"/>
      <c r="BP170" s="1862"/>
    </row>
    <row r="171" spans="1:68" ht="20.100000000000001" hidden="1" customHeight="1" outlineLevel="1">
      <c r="A171" s="1845">
        <v>66</v>
      </c>
      <c r="B171" s="1854"/>
      <c r="C171" s="1847" t="s">
        <v>957</v>
      </c>
      <c r="D171" s="1865" t="s">
        <v>958</v>
      </c>
      <c r="E171" s="1866"/>
      <c r="F171" s="1863"/>
      <c r="G171" s="1225" t="s">
        <v>1109</v>
      </c>
      <c r="H171" s="1867"/>
      <c r="I171" s="1867"/>
      <c r="J171" s="1867"/>
      <c r="K171" s="1867"/>
      <c r="L171" s="1867"/>
      <c r="M171" s="1867"/>
      <c r="N171" s="1867"/>
      <c r="O171" s="1867"/>
      <c r="P171" s="1938"/>
      <c r="Q171" s="1938"/>
      <c r="R171" s="1938"/>
      <c r="S171" s="1938"/>
      <c r="T171" s="1938"/>
      <c r="U171" s="1938"/>
      <c r="V171" s="1938"/>
      <c r="W171" s="1938"/>
      <c r="X171" s="1868"/>
      <c r="Y171" s="1868"/>
      <c r="Z171" s="1868"/>
      <c r="AA171" s="1868"/>
      <c r="AB171" s="1868"/>
      <c r="AC171" s="1868"/>
      <c r="AD171" s="1868"/>
      <c r="AE171" s="1868"/>
      <c r="AF171" s="1868"/>
      <c r="AG171" s="1868"/>
      <c r="AH171" s="1868"/>
      <c r="AI171" s="1868"/>
      <c r="AJ171" s="1868"/>
      <c r="AK171" s="1868"/>
      <c r="AL171" s="1868"/>
      <c r="AM171" s="1868"/>
      <c r="AN171" s="1868"/>
      <c r="AO171" s="1868"/>
      <c r="AP171" s="1868"/>
      <c r="AQ171" s="1868"/>
      <c r="AR171" s="1868"/>
      <c r="AS171" s="1868"/>
      <c r="AT171" s="1868"/>
      <c r="AU171" s="1868"/>
      <c r="AV171" s="1868"/>
      <c r="AW171" s="1868"/>
      <c r="AX171" s="1868"/>
      <c r="AY171" s="1868"/>
      <c r="AZ171" s="1868"/>
      <c r="BA171" s="1868"/>
      <c r="BB171" s="1868"/>
      <c r="BC171" s="1868"/>
      <c r="BD171" s="1868"/>
      <c r="BE171" s="1868"/>
      <c r="BF171" s="1868"/>
      <c r="BG171" s="1868"/>
      <c r="BH171" s="1868"/>
      <c r="BI171" s="1868"/>
      <c r="BJ171" s="1868"/>
      <c r="BK171" s="1868"/>
      <c r="BL171" s="1868"/>
      <c r="BM171" s="1868"/>
      <c r="BN171" s="1868"/>
      <c r="BO171" s="1868"/>
      <c r="BP171" s="1862"/>
    </row>
    <row r="172" spans="1:68" ht="20.100000000000001" hidden="1" customHeight="1" outlineLevel="1">
      <c r="A172" s="1845">
        <v>67</v>
      </c>
      <c r="B172" s="1854"/>
      <c r="C172" s="1847"/>
      <c r="D172" s="1865" t="s">
        <v>959</v>
      </c>
      <c r="E172" s="1866"/>
      <c r="F172" s="1863"/>
      <c r="G172" s="1225" t="s">
        <v>1109</v>
      </c>
      <c r="H172" s="1867"/>
      <c r="I172" s="1867"/>
      <c r="J172" s="1867"/>
      <c r="K172" s="1867"/>
      <c r="L172" s="1867"/>
      <c r="M172" s="1867"/>
      <c r="N172" s="1867"/>
      <c r="O172" s="1867"/>
      <c r="P172" s="1938"/>
      <c r="Q172" s="1938"/>
      <c r="R172" s="1938"/>
      <c r="S172" s="1938"/>
      <c r="T172" s="1938"/>
      <c r="U172" s="1938"/>
      <c r="V172" s="1938"/>
      <c r="W172" s="1938"/>
      <c r="X172" s="1868"/>
      <c r="Y172" s="1868"/>
      <c r="Z172" s="1868"/>
      <c r="AA172" s="1868"/>
      <c r="AB172" s="1868"/>
      <c r="AC172" s="1868"/>
      <c r="AD172" s="1868"/>
      <c r="AE172" s="1868"/>
      <c r="AF172" s="1868"/>
      <c r="AG172" s="1868"/>
      <c r="AH172" s="1868"/>
      <c r="AI172" s="1868"/>
      <c r="AJ172" s="1868"/>
      <c r="AK172" s="1868"/>
      <c r="AL172" s="1868"/>
      <c r="AM172" s="1868"/>
      <c r="AN172" s="1868"/>
      <c r="AO172" s="1868"/>
      <c r="AP172" s="1868"/>
      <c r="AQ172" s="1868"/>
      <c r="AR172" s="1868"/>
      <c r="AS172" s="1868"/>
      <c r="AT172" s="1868"/>
      <c r="AU172" s="1868"/>
      <c r="AV172" s="1868"/>
      <c r="AW172" s="1868"/>
      <c r="AX172" s="1868"/>
      <c r="AY172" s="1868"/>
      <c r="AZ172" s="1868"/>
      <c r="BA172" s="1868"/>
      <c r="BB172" s="1868"/>
      <c r="BC172" s="1868"/>
      <c r="BD172" s="1868"/>
      <c r="BE172" s="1868"/>
      <c r="BF172" s="1868"/>
      <c r="BG172" s="1868"/>
      <c r="BH172" s="1868"/>
      <c r="BI172" s="1868"/>
      <c r="BJ172" s="1868"/>
      <c r="BK172" s="1868"/>
      <c r="BL172" s="1868"/>
      <c r="BM172" s="1868"/>
      <c r="BN172" s="1868"/>
      <c r="BO172" s="1868"/>
      <c r="BP172" s="1862"/>
    </row>
    <row r="173" spans="1:68" ht="20.100000000000001" hidden="1" customHeight="1" outlineLevel="1">
      <c r="A173" s="1845">
        <v>68</v>
      </c>
      <c r="B173" s="1854"/>
      <c r="C173" s="1847"/>
      <c r="D173" s="1865" t="s">
        <v>960</v>
      </c>
      <c r="E173" s="1866"/>
      <c r="F173" s="1863"/>
      <c r="G173" s="1225" t="s">
        <v>1109</v>
      </c>
      <c r="H173" s="1867"/>
      <c r="I173" s="1867"/>
      <c r="J173" s="1867"/>
      <c r="K173" s="1867"/>
      <c r="L173" s="1867"/>
      <c r="M173" s="1867"/>
      <c r="N173" s="1867"/>
      <c r="O173" s="1867"/>
      <c r="P173" s="1938"/>
      <c r="Q173" s="1938"/>
      <c r="R173" s="1938"/>
      <c r="S173" s="1938"/>
      <c r="T173" s="1938"/>
      <c r="U173" s="1938"/>
      <c r="V173" s="1938"/>
      <c r="W173" s="1938"/>
      <c r="X173" s="1868"/>
      <c r="Y173" s="1868"/>
      <c r="Z173" s="1868"/>
      <c r="AA173" s="1868"/>
      <c r="AB173" s="1868"/>
      <c r="AC173" s="1868"/>
      <c r="AD173" s="1868"/>
      <c r="AE173" s="1868"/>
      <c r="AF173" s="1868"/>
      <c r="AG173" s="1868"/>
      <c r="AH173" s="1868"/>
      <c r="AI173" s="1868"/>
      <c r="AJ173" s="1868"/>
      <c r="AK173" s="1868"/>
      <c r="AL173" s="1868"/>
      <c r="AM173" s="1868"/>
      <c r="AN173" s="1868"/>
      <c r="AO173" s="1868"/>
      <c r="AP173" s="1868"/>
      <c r="AQ173" s="1868"/>
      <c r="AR173" s="1868"/>
      <c r="AS173" s="1868"/>
      <c r="AT173" s="1868"/>
      <c r="AU173" s="1868"/>
      <c r="AV173" s="1868"/>
      <c r="AW173" s="1868"/>
      <c r="AX173" s="1868"/>
      <c r="AY173" s="1868"/>
      <c r="AZ173" s="1868"/>
      <c r="BA173" s="1868"/>
      <c r="BB173" s="1868"/>
      <c r="BC173" s="1868"/>
      <c r="BD173" s="1868"/>
      <c r="BE173" s="1868"/>
      <c r="BF173" s="1868"/>
      <c r="BG173" s="1868"/>
      <c r="BH173" s="1868"/>
      <c r="BI173" s="1868"/>
      <c r="BJ173" s="1868"/>
      <c r="BK173" s="1868"/>
      <c r="BL173" s="1868"/>
      <c r="BM173" s="1868"/>
      <c r="BN173" s="1868"/>
      <c r="BO173" s="1868"/>
      <c r="BP173" s="1862"/>
    </row>
    <row r="174" spans="1:68" ht="20.100000000000001" hidden="1" customHeight="1" outlineLevel="1">
      <c r="A174" s="1845">
        <v>69</v>
      </c>
      <c r="B174" s="1854"/>
      <c r="C174" s="1847"/>
      <c r="D174" s="1865" t="s">
        <v>961</v>
      </c>
      <c r="E174" s="1866"/>
      <c r="F174" s="1863"/>
      <c r="G174" s="1225" t="s">
        <v>1109</v>
      </c>
      <c r="H174" s="1867"/>
      <c r="I174" s="1867"/>
      <c r="J174" s="1867"/>
      <c r="K174" s="1867"/>
      <c r="L174" s="1867"/>
      <c r="M174" s="1867"/>
      <c r="N174" s="1867"/>
      <c r="O174" s="1867"/>
      <c r="P174" s="1938"/>
      <c r="Q174" s="1938"/>
      <c r="R174" s="1938"/>
      <c r="S174" s="1938"/>
      <c r="T174" s="1938"/>
      <c r="U174" s="1938"/>
      <c r="V174" s="1938"/>
      <c r="W174" s="1938"/>
      <c r="X174" s="1868"/>
      <c r="Y174" s="1868"/>
      <c r="Z174" s="1868"/>
      <c r="AA174" s="1868"/>
      <c r="AB174" s="1868"/>
      <c r="AC174" s="1868"/>
      <c r="AD174" s="1868"/>
      <c r="AE174" s="1868"/>
      <c r="AF174" s="1868"/>
      <c r="AG174" s="1868"/>
      <c r="AH174" s="1868"/>
      <c r="AI174" s="1868"/>
      <c r="AJ174" s="1868"/>
      <c r="AK174" s="1868"/>
      <c r="AL174" s="1868"/>
      <c r="AM174" s="1868"/>
      <c r="AN174" s="1868"/>
      <c r="AO174" s="1868"/>
      <c r="AP174" s="1868"/>
      <c r="AQ174" s="1868"/>
      <c r="AR174" s="1868"/>
      <c r="AS174" s="1868"/>
      <c r="AT174" s="1868"/>
      <c r="AU174" s="1868"/>
      <c r="AV174" s="1868"/>
      <c r="AW174" s="1868"/>
      <c r="AX174" s="1868"/>
      <c r="AY174" s="1868"/>
      <c r="AZ174" s="1868"/>
      <c r="BA174" s="1868"/>
      <c r="BB174" s="1868"/>
      <c r="BC174" s="1868"/>
      <c r="BD174" s="1868"/>
      <c r="BE174" s="1868"/>
      <c r="BF174" s="1868"/>
      <c r="BG174" s="1868"/>
      <c r="BH174" s="1868"/>
      <c r="BI174" s="1868"/>
      <c r="BJ174" s="1868"/>
      <c r="BK174" s="1868"/>
      <c r="BL174" s="1868"/>
      <c r="BM174" s="1868"/>
      <c r="BN174" s="1868"/>
      <c r="BO174" s="1868"/>
      <c r="BP174" s="1862"/>
    </row>
    <row r="175" spans="1:68" ht="20.100000000000001" customHeight="1" collapsed="1">
      <c r="A175" s="1845">
        <v>70</v>
      </c>
      <c r="B175" s="1854"/>
      <c r="C175" s="1847"/>
      <c r="D175" s="1869" t="s">
        <v>962</v>
      </c>
      <c r="E175" s="1858" t="str">
        <f ca="1">E65</f>
        <v/>
      </c>
      <c r="F175" s="1860"/>
      <c r="G175" s="1225" t="s">
        <v>1109</v>
      </c>
      <c r="H175" s="1850">
        <f ca="1">IFERROR(OFFSET(貼付け_2024実績,$A175,6),"")</f>
        <v>0</v>
      </c>
      <c r="I175" s="1850">
        <f ca="1">IFERROR(OFFSET(貼付け_2025実績,$A175,6),"")</f>
        <v>0</v>
      </c>
      <c r="J175" s="1850">
        <f ca="1">IFERROR(OFFSET(貼付け_2026実績,$A175,6),"")</f>
        <v>0</v>
      </c>
      <c r="K175" s="1850">
        <f ca="1">IFERROR(OFFSET(貼付け_2027実績,$A175,6),"")</f>
        <v>0</v>
      </c>
      <c r="L175" s="1851">
        <f ca="1">IFERROR($H175*参考2_エネ使用量経年!L66,"")</f>
        <v>0</v>
      </c>
      <c r="M175" s="1851">
        <f ca="1">IFERROR($I175*参考2_エネ使用量経年!M66,"")</f>
        <v>0</v>
      </c>
      <c r="N175" s="1851">
        <f ca="1">IFERROR($J175*参考2_エネ使用量経年!N66,"")</f>
        <v>0</v>
      </c>
      <c r="O175" s="1851">
        <f ca="1">IFERROR($K175*参考2_エネ使用量経年!O66,"")</f>
        <v>0</v>
      </c>
      <c r="P175" s="1852">
        <f ca="1">IFERROR($H175*参考2_エネ使用量経年!P66,"")</f>
        <v>0</v>
      </c>
      <c r="Q175" s="1852">
        <f ca="1">IFERROR($I175*参考2_エネ使用量経年!Q66,"")</f>
        <v>0</v>
      </c>
      <c r="R175" s="1852">
        <f ca="1">IFERROR($J175*参考2_エネ使用量経年!R66,"")</f>
        <v>0</v>
      </c>
      <c r="S175" s="1852">
        <f ca="1">IFERROR($K175*参考2_エネ使用量経年!S66,"")</f>
        <v>0</v>
      </c>
      <c r="T175" s="1851">
        <f ca="1">IFERROR($H175*参考2_エネ使用量経年!T66,"")</f>
        <v>0</v>
      </c>
      <c r="U175" s="1851">
        <f ca="1">IFERROR($I175*参考2_エネ使用量経年!U66,"")</f>
        <v>0</v>
      </c>
      <c r="V175" s="1851">
        <f ca="1">IFERROR($J175*参考2_エネ使用量経年!V66,"")</f>
        <v>0</v>
      </c>
      <c r="W175" s="1851">
        <f ca="1">IFERROR($K175*参考2_エネ使用量経年!W66,"")</f>
        <v>0</v>
      </c>
      <c r="X175" s="1853">
        <f ca="1">IFERROR($H175*参考2_エネ使用量経年!X66,"")</f>
        <v>0</v>
      </c>
      <c r="Y175" s="1853">
        <f ca="1">IFERROR($I175*参考2_エネ使用量経年!Y66,"")</f>
        <v>0</v>
      </c>
      <c r="Z175" s="1853">
        <f ca="1">IFERROR($J175*参考2_エネ使用量経年!Z66,"")</f>
        <v>0</v>
      </c>
      <c r="AA175" s="1853">
        <f ca="1">IFERROR($K175*参考2_エネ使用量経年!AA66,"")</f>
        <v>0</v>
      </c>
      <c r="AB175" s="1853"/>
      <c r="AC175" s="1853"/>
      <c r="AD175" s="1853"/>
      <c r="AE175" s="1853"/>
      <c r="AF175" s="1853"/>
      <c r="AG175" s="1853"/>
      <c r="AH175" s="1853"/>
      <c r="AI175" s="1853"/>
      <c r="AJ175" s="1853"/>
      <c r="AK175" s="1853"/>
      <c r="AL175" s="1853"/>
      <c r="AM175" s="1853"/>
      <c r="AN175" s="1853"/>
      <c r="AO175" s="1853"/>
      <c r="AP175" s="1853"/>
      <c r="AQ175" s="1853"/>
      <c r="AR175" s="1853"/>
      <c r="AS175" s="1853"/>
      <c r="AT175" s="1853"/>
      <c r="AU175" s="1853"/>
      <c r="AV175" s="1853"/>
      <c r="AW175" s="1853"/>
      <c r="AX175" s="1853"/>
      <c r="AY175" s="1853"/>
      <c r="AZ175" s="1853"/>
      <c r="BA175" s="1853"/>
      <c r="BB175" s="1853"/>
      <c r="BC175" s="1853"/>
      <c r="BD175" s="1853"/>
      <c r="BE175" s="1853"/>
      <c r="BF175" s="1853"/>
      <c r="BG175" s="1853"/>
      <c r="BH175" s="1853"/>
      <c r="BI175" s="1853"/>
      <c r="BJ175" s="1853"/>
      <c r="BK175" s="1853"/>
      <c r="BL175" s="1853"/>
      <c r="BM175" s="1853"/>
      <c r="BN175" s="1853"/>
      <c r="BO175" s="1853"/>
      <c r="BP175" s="1862"/>
    </row>
    <row r="176" spans="1:68" ht="20.100000000000001" customHeight="1">
      <c r="A176" s="1845">
        <v>71</v>
      </c>
      <c r="B176" s="1854"/>
      <c r="C176" s="1847"/>
      <c r="D176" s="1869" t="s">
        <v>963</v>
      </c>
      <c r="E176" s="1858" t="str">
        <f ca="1">E66</f>
        <v/>
      </c>
      <c r="F176" s="1860"/>
      <c r="G176" s="1225" t="s">
        <v>1109</v>
      </c>
      <c r="H176" s="1850">
        <f ca="1">IFERROR(OFFSET(貼付け_2024実績,$A176,6),"")</f>
        <v>0</v>
      </c>
      <c r="I176" s="1850">
        <f ca="1">IFERROR(OFFSET(貼付け_2025実績,$A176,6),"")</f>
        <v>0</v>
      </c>
      <c r="J176" s="1850">
        <f ca="1">IFERROR(OFFSET(貼付け_2026実績,$A176,6),"")</f>
        <v>0</v>
      </c>
      <c r="K176" s="1850">
        <f ca="1">IFERROR(OFFSET(貼付け_2027実績,$A176,6),"")</f>
        <v>0</v>
      </c>
      <c r="L176" s="1851">
        <f ca="1">IFERROR($H176*参考2_エネ使用量経年!L67,"")</f>
        <v>0</v>
      </c>
      <c r="M176" s="1851">
        <f ca="1">IFERROR($I176*参考2_エネ使用量経年!M67,"")</f>
        <v>0</v>
      </c>
      <c r="N176" s="1851">
        <f ca="1">IFERROR($J176*参考2_エネ使用量経年!N67,"")</f>
        <v>0</v>
      </c>
      <c r="O176" s="1851">
        <f ca="1">IFERROR($K176*参考2_エネ使用量経年!O67,"")</f>
        <v>0</v>
      </c>
      <c r="P176" s="1852">
        <f ca="1">IFERROR($H176*参考2_エネ使用量経年!P67,"")</f>
        <v>0</v>
      </c>
      <c r="Q176" s="1852">
        <f ca="1">IFERROR($I176*参考2_エネ使用量経年!Q67,"")</f>
        <v>0</v>
      </c>
      <c r="R176" s="1852">
        <f ca="1">IFERROR($J176*参考2_エネ使用量経年!R67,"")</f>
        <v>0</v>
      </c>
      <c r="S176" s="1852">
        <f ca="1">IFERROR($K176*参考2_エネ使用量経年!S67,"")</f>
        <v>0</v>
      </c>
      <c r="T176" s="1851">
        <f ca="1">IFERROR($H176*参考2_エネ使用量経年!T67,"")</f>
        <v>0</v>
      </c>
      <c r="U176" s="1851">
        <f ca="1">IFERROR($I176*参考2_エネ使用量経年!U67,"")</f>
        <v>0</v>
      </c>
      <c r="V176" s="1851">
        <f ca="1">IFERROR($J176*参考2_エネ使用量経年!V67,"")</f>
        <v>0</v>
      </c>
      <c r="W176" s="1851">
        <f ca="1">IFERROR($K176*参考2_エネ使用量経年!W67,"")</f>
        <v>0</v>
      </c>
      <c r="X176" s="1853">
        <f ca="1">IFERROR($H176*参考2_エネ使用量経年!X67,"")</f>
        <v>0</v>
      </c>
      <c r="Y176" s="1853">
        <f ca="1">IFERROR($I176*参考2_エネ使用量経年!Y67,"")</f>
        <v>0</v>
      </c>
      <c r="Z176" s="1853">
        <f ca="1">IFERROR($J176*参考2_エネ使用量経年!Z67,"")</f>
        <v>0</v>
      </c>
      <c r="AA176" s="1853">
        <f ca="1">IFERROR($K176*参考2_エネ使用量経年!AA67,"")</f>
        <v>0</v>
      </c>
      <c r="AB176" s="1853"/>
      <c r="AC176" s="1853"/>
      <c r="AD176" s="1853"/>
      <c r="AE176" s="1853"/>
      <c r="AF176" s="1853"/>
      <c r="AG176" s="1853"/>
      <c r="AH176" s="1853"/>
      <c r="AI176" s="1853"/>
      <c r="AJ176" s="1853"/>
      <c r="AK176" s="1853"/>
      <c r="AL176" s="1853"/>
      <c r="AM176" s="1853"/>
      <c r="AN176" s="1853"/>
      <c r="AO176" s="1853"/>
      <c r="AP176" s="1853"/>
      <c r="AQ176" s="1853"/>
      <c r="AR176" s="1853"/>
      <c r="AS176" s="1853"/>
      <c r="AT176" s="1853"/>
      <c r="AU176" s="1853"/>
      <c r="AV176" s="1853"/>
      <c r="AW176" s="1853"/>
      <c r="AX176" s="1853"/>
      <c r="AY176" s="1853"/>
      <c r="AZ176" s="1853"/>
      <c r="BA176" s="1853"/>
      <c r="BB176" s="1853"/>
      <c r="BC176" s="1853"/>
      <c r="BD176" s="1853"/>
      <c r="BE176" s="1853"/>
      <c r="BF176" s="1853"/>
      <c r="BG176" s="1853"/>
      <c r="BH176" s="1853"/>
      <c r="BI176" s="1853"/>
      <c r="BJ176" s="1853"/>
      <c r="BK176" s="1853"/>
      <c r="BL176" s="1853"/>
      <c r="BM176" s="1853"/>
      <c r="BN176" s="1853"/>
      <c r="BO176" s="1853"/>
      <c r="BP176" s="1862"/>
    </row>
    <row r="177" spans="1:68" ht="20.100000000000001" customHeight="1">
      <c r="A177" s="1845">
        <v>16</v>
      </c>
      <c r="B177" s="1846" t="s">
        <v>964</v>
      </c>
      <c r="C177" s="1870" t="s">
        <v>965</v>
      </c>
      <c r="D177" s="1871"/>
      <c r="E177" s="1856"/>
      <c r="F177" s="1863"/>
      <c r="G177" s="1225" t="s">
        <v>1109</v>
      </c>
      <c r="H177" s="1962"/>
      <c r="I177" s="1962"/>
      <c r="J177" s="1962"/>
      <c r="K177" s="1962"/>
      <c r="L177" s="1852">
        <f ca="1">SUM(SUMIFS(OFFSET(A1_集計2024,$A177,9,1,200),OFFSET(貼付け_2024実績,4,9,1,200),{"横浜*","川崎*","県域*","エネルギー管理指定工場等*"}))</f>
        <v>0</v>
      </c>
      <c r="M177" s="1852">
        <f ca="1">SUM(SUMIFS(OFFSET(A1_集計2025,$A177,9,1,200),OFFSET(貼付け_2025実績,4,9,1,200),{"横浜*","川崎*","県域*","エネルギー管理指定工場等*"}))</f>
        <v>0</v>
      </c>
      <c r="N177" s="1852">
        <f ca="1">SUM(SUMIFS(OFFSET(A1_集計2026,$A177,9,1,200),OFFSET(貼付け_2026実績,4,9,1,200),{"横浜*","川崎*","県域*","エネルギー管理指定工場等*"}))</f>
        <v>0</v>
      </c>
      <c r="O177" s="1852">
        <f ca="1">SUM(SUMIFS(OFFSET(A1_集計2027,$A177,9,1,200),OFFSET(貼付け_2027実績,4,9,1,200),{"横浜*","川崎*","県域*","エネルギー管理指定工場等*"}))</f>
        <v>0</v>
      </c>
      <c r="P177" s="1852">
        <f ca="1">SUM(SUMIFS(OFFSET(A1_集計2024,$A177,9,1,200),OFFSET(貼付け_2024実績,4,9,1,200),{"横浜*","川崎*"}))</f>
        <v>0</v>
      </c>
      <c r="Q177" s="1852">
        <f ca="1">SUM(SUMIFS(OFFSET(A1_集計2025,$A177,9,1,200),OFFSET(貼付け_2025実績,4,9,1,200),{"横浜*","川崎*"}))</f>
        <v>0</v>
      </c>
      <c r="R177" s="1852">
        <f ca="1">SUM(SUMIFS(OFFSET(A1_集計2026,$A177,9,1,200),OFFSET(貼付け_2026実績,4,9,1,200),{"横浜*","川崎*"}))</f>
        <v>0</v>
      </c>
      <c r="S177" s="1852">
        <f ca="1">SUM(SUMIFS(OFFSET(A1_集計2027,$A177,9,1,200),OFFSET(貼付け_2027実績,4,9,1,200),{"横浜*","川崎*"}))</f>
        <v>0</v>
      </c>
      <c r="T177" s="1852">
        <f ca="1">SUM(SUMIFS(OFFSET(A1_集計2024,$A177,9,1,200),OFFSET(貼付け_2024実績,4,9,1,200),{"県域*","エネルギー管理指定工場等*"}))</f>
        <v>0</v>
      </c>
      <c r="U177" s="1852">
        <f ca="1">SUM(SUMIFS(OFFSET(A1_集計2025,$A177,9,1,200),OFFSET(貼付け_2025実績,4,9,1,200),{"県域*","エネルギー管理指定工場等*"}))</f>
        <v>0</v>
      </c>
      <c r="V177" s="1852">
        <f ca="1">SUM(SUMIFS(OFFSET(A1_集計2026,$A177,9,1,200),OFFSET(貼付け_2026実績,4,9,1,200),{"県域*","エネルギー管理指定工場等*"}))</f>
        <v>0</v>
      </c>
      <c r="W177" s="1852">
        <f ca="1">SUM(SUMIFS(OFFSET(A1_集計2027,$A177,9,1,200),OFFSET(貼付け_2027実績,4,9,1,200),{"県域*","エネルギー管理指定工場等*"}))</f>
        <v>0</v>
      </c>
      <c r="X177" s="1853">
        <f ca="1">SUMIFS(OFFSET(A1_集計2024,$A177,9,1,200),OFFSET(貼付け_2024実績,4,9,1,200),"県域*")</f>
        <v>0</v>
      </c>
      <c r="Y177" s="1853">
        <f ca="1">SUMIFS(OFFSET(A1_集計2025,$A177,9,1,200),OFFSET(貼付け_2025実績,4,9,1,200),"県域*")</f>
        <v>0</v>
      </c>
      <c r="Z177" s="1853">
        <f ca="1">SUMIFS(OFFSET(A1_集計2026,$A177,9,1,200),OFFSET(貼付け_2026実績,4,9,1,200),"県域*")</f>
        <v>0</v>
      </c>
      <c r="AA177" s="1853">
        <f ca="1">SUMIFS(OFFSET(A1_集計2027,$A177,9,1,200),OFFSET(貼付け_2027実績,4,9,1,200),"県域*")</f>
        <v>0</v>
      </c>
      <c r="AB177" s="1853"/>
      <c r="AC177" s="1853"/>
      <c r="AD177" s="1853"/>
      <c r="AE177" s="1853"/>
      <c r="AF177" s="1853"/>
      <c r="AG177" s="1853"/>
      <c r="AH177" s="1853"/>
      <c r="AI177" s="1853"/>
      <c r="AJ177" s="1853"/>
      <c r="AK177" s="1853"/>
      <c r="AL177" s="1853"/>
      <c r="AM177" s="1853"/>
      <c r="AN177" s="1853"/>
      <c r="AO177" s="1853"/>
      <c r="AP177" s="1853"/>
      <c r="AQ177" s="1853"/>
      <c r="AR177" s="1853"/>
      <c r="AS177" s="1853"/>
      <c r="AT177" s="1853"/>
      <c r="AU177" s="1853"/>
      <c r="AV177" s="1853"/>
      <c r="AW177" s="1853"/>
      <c r="AX177" s="1853"/>
      <c r="AY177" s="1853"/>
      <c r="AZ177" s="1853"/>
      <c r="BA177" s="1853"/>
      <c r="BB177" s="1853"/>
      <c r="BC177" s="1853"/>
      <c r="BD177" s="1853"/>
      <c r="BE177" s="1853"/>
      <c r="BF177" s="1853"/>
      <c r="BG177" s="1853"/>
      <c r="BH177" s="1853"/>
      <c r="BI177" s="1853"/>
      <c r="BJ177" s="1853"/>
      <c r="BK177" s="1853"/>
      <c r="BL177" s="1853"/>
      <c r="BM177" s="1853"/>
      <c r="BN177" s="1853"/>
      <c r="BO177" s="1853"/>
      <c r="BP177" s="1862"/>
    </row>
    <row r="178" spans="1:68" ht="20.100000000000001" customHeight="1">
      <c r="A178" s="1845">
        <v>74</v>
      </c>
      <c r="B178" s="1854"/>
      <c r="C178" s="1847" t="s">
        <v>967</v>
      </c>
      <c r="D178" s="1864" t="s">
        <v>968</v>
      </c>
      <c r="E178" s="1848"/>
      <c r="F178" s="1863"/>
      <c r="G178" s="1225" t="s">
        <v>1109</v>
      </c>
      <c r="H178" s="1963">
        <f ca="1">IFERROR(OFFSET(貼付け_2024実績,$A178,6),"")</f>
        <v>0</v>
      </c>
      <c r="I178" s="1963">
        <f ca="1">IFERROR(OFFSET(貼付け_2025実績,$A178,6),"")</f>
        <v>0</v>
      </c>
      <c r="J178" s="1963">
        <f ca="1">IFERROR(OFFSET(貼付け_2026実績,$A178,6),"")</f>
        <v>0</v>
      </c>
      <c r="K178" s="1963">
        <f ca="1">IFERROR(OFFSET(貼付け_2027実績,$A178,6),"")</f>
        <v>0</v>
      </c>
      <c r="L178" s="1852">
        <f ca="1">IFERROR($H178*参考2_エネ使用量経年!L69*1000,"")</f>
        <v>0</v>
      </c>
      <c r="M178" s="1852">
        <f ca="1">IFERROR($I178*参考2_エネ使用量経年!M69*1000,"")</f>
        <v>0</v>
      </c>
      <c r="N178" s="1852">
        <f ca="1">IFERROR($J178*参考2_エネ使用量経年!N69*1000,"")</f>
        <v>0</v>
      </c>
      <c r="O178" s="1852">
        <f ca="1">IFERROR($K178*参考2_エネ使用量経年!O69*1000,"")</f>
        <v>0</v>
      </c>
      <c r="P178" s="1852">
        <f ca="1">IFERROR($H178*参考2_エネ使用量経年!P69*1000,"")</f>
        <v>0</v>
      </c>
      <c r="Q178" s="1852">
        <f ca="1">IFERROR($I178*参考2_エネ使用量経年!Q69*1000,"")</f>
        <v>0</v>
      </c>
      <c r="R178" s="1852">
        <f ca="1">IFERROR($J178*参考2_エネ使用量経年!R69*1000,"")</f>
        <v>0</v>
      </c>
      <c r="S178" s="1852">
        <f ca="1">IFERROR($K178*参考2_エネ使用量経年!S69*1000,"")</f>
        <v>0</v>
      </c>
      <c r="T178" s="1852">
        <f ca="1">IFERROR($H178*参考2_エネ使用量経年!T69*1000,"")</f>
        <v>0</v>
      </c>
      <c r="U178" s="1852">
        <f ca="1">IFERROR($I178*参考2_エネ使用量経年!U69*1000,"")</f>
        <v>0</v>
      </c>
      <c r="V178" s="1852">
        <f ca="1">IFERROR($J178*参考2_エネ使用量経年!V69*1000,"")</f>
        <v>0</v>
      </c>
      <c r="W178" s="1852">
        <f ca="1">IFERROR($K178*参考2_エネ使用量経年!W69*1000,"")</f>
        <v>0</v>
      </c>
      <c r="X178" s="1853">
        <f ca="1">IFERROR($H178*参考2_エネ使用量経年!X69*1000,"")</f>
        <v>0</v>
      </c>
      <c r="Y178" s="1853">
        <f ca="1">IFERROR($I178*参考2_エネ使用量経年!Y69*1000,"")</f>
        <v>0</v>
      </c>
      <c r="Z178" s="1853">
        <f ca="1">IFERROR($J178*参考2_エネ使用量経年!Z69*1000,"")</f>
        <v>0</v>
      </c>
      <c r="AA178" s="1853">
        <f ca="1">IFERROR($K178*参考2_エネ使用量経年!AA69*1000,"")</f>
        <v>0</v>
      </c>
      <c r="AB178" s="1853"/>
      <c r="AC178" s="1853"/>
      <c r="AD178" s="1853"/>
      <c r="AE178" s="1853"/>
      <c r="AF178" s="1853"/>
      <c r="AG178" s="1853"/>
      <c r="AH178" s="1853"/>
      <c r="AI178" s="1853"/>
      <c r="AJ178" s="1853"/>
      <c r="AK178" s="1853"/>
      <c r="AL178" s="1853"/>
      <c r="AM178" s="1853"/>
      <c r="AN178" s="1853"/>
      <c r="AO178" s="1853"/>
      <c r="AP178" s="1853"/>
      <c r="AQ178" s="1853"/>
      <c r="AR178" s="1853"/>
      <c r="AS178" s="1853"/>
      <c r="AT178" s="1853"/>
      <c r="AU178" s="1853"/>
      <c r="AV178" s="1853"/>
      <c r="AW178" s="1853"/>
      <c r="AX178" s="1853"/>
      <c r="AY178" s="1853"/>
      <c r="AZ178" s="1853"/>
      <c r="BA178" s="1853"/>
      <c r="BB178" s="1853"/>
      <c r="BC178" s="1853"/>
      <c r="BD178" s="1853"/>
      <c r="BE178" s="1853"/>
      <c r="BF178" s="1853"/>
      <c r="BG178" s="1853"/>
      <c r="BH178" s="1853"/>
      <c r="BI178" s="1853"/>
      <c r="BJ178" s="1853"/>
      <c r="BK178" s="1853"/>
      <c r="BL178" s="1853"/>
      <c r="BM178" s="1853"/>
      <c r="BN178" s="1853"/>
      <c r="BO178" s="1853"/>
      <c r="BP178" s="1862"/>
    </row>
    <row r="179" spans="1:68" ht="20.100000000000001" customHeight="1">
      <c r="A179" s="1845">
        <v>76</v>
      </c>
      <c r="B179" s="1854"/>
      <c r="C179" s="1847"/>
      <c r="D179" s="1869" t="s">
        <v>969</v>
      </c>
      <c r="E179" s="1848"/>
      <c r="F179" s="1863"/>
      <c r="G179" s="1225" t="s">
        <v>1109</v>
      </c>
      <c r="H179" s="1963">
        <f ca="1">IFERROR(OFFSET(貼付け_2024実績,$A179,6),"")</f>
        <v>0</v>
      </c>
      <c r="I179" s="1963">
        <f ca="1">IFERROR(OFFSET(貼付け_2025実績,$A179,6),"")</f>
        <v>0</v>
      </c>
      <c r="J179" s="1963">
        <f ca="1">IFERROR(OFFSET(貼付け_2026実績,$A179,6),"")</f>
        <v>0</v>
      </c>
      <c r="K179" s="1963">
        <f ca="1">IFERROR(OFFSET(貼付け_2027実績,$A179,6),"")</f>
        <v>0</v>
      </c>
      <c r="L179" s="1852">
        <f ca="1">IFERROR($H179*参考2_エネ使用量経年!L70*1000,"")</f>
        <v>0</v>
      </c>
      <c r="M179" s="1852">
        <f ca="1">IFERROR($I179*参考2_エネ使用量経年!M70*1000,"")</f>
        <v>0</v>
      </c>
      <c r="N179" s="1852">
        <f ca="1">IFERROR($J179*参考2_エネ使用量経年!N70*1000,"")</f>
        <v>0</v>
      </c>
      <c r="O179" s="1852">
        <f ca="1">IFERROR($K179*参考2_エネ使用量経年!O70*1000,"")</f>
        <v>0</v>
      </c>
      <c r="P179" s="1852">
        <f ca="1">IFERROR($H179*参考2_エネ使用量経年!P70*1000,"")</f>
        <v>0</v>
      </c>
      <c r="Q179" s="1852">
        <f ca="1">IFERROR($I179*参考2_エネ使用量経年!Q70*1000,"")</f>
        <v>0</v>
      </c>
      <c r="R179" s="1852">
        <f ca="1">IFERROR($J179*参考2_エネ使用量経年!R70*1000,"")</f>
        <v>0</v>
      </c>
      <c r="S179" s="1852">
        <f ca="1">IFERROR($K179*参考2_エネ使用量経年!S70*1000,"")</f>
        <v>0</v>
      </c>
      <c r="T179" s="1852">
        <f ca="1">IFERROR($H179*参考2_エネ使用量経年!T70*1000,"")</f>
        <v>0</v>
      </c>
      <c r="U179" s="1852">
        <f ca="1">IFERROR($I179*参考2_エネ使用量経年!U70*1000,"")</f>
        <v>0</v>
      </c>
      <c r="V179" s="1852">
        <f ca="1">IFERROR($J179*参考2_エネ使用量経年!V70*1000,"")</f>
        <v>0</v>
      </c>
      <c r="W179" s="1852">
        <f ca="1">IFERROR($K179*参考2_エネ使用量経年!W70*1000,"")</f>
        <v>0</v>
      </c>
      <c r="X179" s="1853">
        <f ca="1">IFERROR($H179*参考2_エネ使用量経年!X70*1000,"")</f>
        <v>0</v>
      </c>
      <c r="Y179" s="1853">
        <f ca="1">IFERROR($I179*参考2_エネ使用量経年!Y70*1000,"")</f>
        <v>0</v>
      </c>
      <c r="Z179" s="1853">
        <f ca="1">IFERROR($J179*参考2_エネ使用量経年!Z70*1000,"")</f>
        <v>0</v>
      </c>
      <c r="AA179" s="1853">
        <f ca="1">IFERROR($K179*参考2_エネ使用量経年!AA70*1000,"")</f>
        <v>0</v>
      </c>
      <c r="AB179" s="1853"/>
      <c r="AC179" s="1853"/>
      <c r="AD179" s="1853"/>
      <c r="AE179" s="1853"/>
      <c r="AF179" s="1853"/>
      <c r="AG179" s="1853"/>
      <c r="AH179" s="1853"/>
      <c r="AI179" s="1853"/>
      <c r="AJ179" s="1853"/>
      <c r="AK179" s="1853"/>
      <c r="AL179" s="1853"/>
      <c r="AM179" s="1853"/>
      <c r="AN179" s="1853"/>
      <c r="AO179" s="1853"/>
      <c r="AP179" s="1853"/>
      <c r="AQ179" s="1853"/>
      <c r="AR179" s="1853"/>
      <c r="AS179" s="1853"/>
      <c r="AT179" s="1853"/>
      <c r="AU179" s="1853"/>
      <c r="AV179" s="1853"/>
      <c r="AW179" s="1853"/>
      <c r="AX179" s="1853"/>
      <c r="AY179" s="1853"/>
      <c r="AZ179" s="1853"/>
      <c r="BA179" s="1853"/>
      <c r="BB179" s="1853"/>
      <c r="BC179" s="1853"/>
      <c r="BD179" s="1853"/>
      <c r="BE179" s="1853"/>
      <c r="BF179" s="1853"/>
      <c r="BG179" s="1853"/>
      <c r="BH179" s="1853"/>
      <c r="BI179" s="1853"/>
      <c r="BJ179" s="1853"/>
      <c r="BK179" s="1853"/>
      <c r="BL179" s="1853"/>
      <c r="BM179" s="1853"/>
      <c r="BN179" s="1853"/>
      <c r="BO179" s="1853"/>
      <c r="BP179" s="1862"/>
    </row>
    <row r="180" spans="1:68" ht="20.100000000000001" customHeight="1">
      <c r="A180" s="1845">
        <v>77</v>
      </c>
      <c r="B180" s="1854"/>
      <c r="C180" s="1847"/>
      <c r="D180" s="1869" t="s">
        <v>970</v>
      </c>
      <c r="E180" s="1858" t="str">
        <f ca="1">E70</f>
        <v/>
      </c>
      <c r="F180" s="1860"/>
      <c r="G180" s="1225" t="s">
        <v>1109</v>
      </c>
      <c r="H180" s="1963">
        <f ca="1">IFERROR(OFFSET(貼付け_2024実績,$A180,6),"")</f>
        <v>0</v>
      </c>
      <c r="I180" s="1963">
        <f ca="1">IFERROR(OFFSET(貼付け_2025実績,$A180,6),"")</f>
        <v>0</v>
      </c>
      <c r="J180" s="1963">
        <f ca="1">IFERROR(OFFSET(貼付け_2026実績,$A180,6),"")</f>
        <v>0</v>
      </c>
      <c r="K180" s="1963">
        <f ca="1">IFERROR(OFFSET(貼付け_2027実績,$A180,6),"")</f>
        <v>0</v>
      </c>
      <c r="L180" s="1852">
        <f ca="1">IFERROR($H180*参考2_エネ使用量経年!L71*1000,"")</f>
        <v>0</v>
      </c>
      <c r="M180" s="1852">
        <f ca="1">IFERROR($I180*参考2_エネ使用量経年!M71*1000,"")</f>
        <v>0</v>
      </c>
      <c r="N180" s="1852">
        <f ca="1">IFERROR($J180*参考2_エネ使用量経年!N71*1000,"")</f>
        <v>0</v>
      </c>
      <c r="O180" s="1852">
        <f ca="1">IFERROR($K180*参考2_エネ使用量経年!O71*1000,"")</f>
        <v>0</v>
      </c>
      <c r="P180" s="1852">
        <f ca="1">IFERROR($H180*参考2_エネ使用量経年!P71*1000,"")</f>
        <v>0</v>
      </c>
      <c r="Q180" s="1852">
        <f ca="1">IFERROR($I180*参考2_エネ使用量経年!Q71*1000,"")</f>
        <v>0</v>
      </c>
      <c r="R180" s="1852">
        <f ca="1">IFERROR($J180*参考2_エネ使用量経年!R71*1000,"")</f>
        <v>0</v>
      </c>
      <c r="S180" s="1852">
        <f ca="1">IFERROR($K180*参考2_エネ使用量経年!S71*1000,"")</f>
        <v>0</v>
      </c>
      <c r="T180" s="1852">
        <f ca="1">IFERROR($H180*参考2_エネ使用量経年!T71*1000,"")</f>
        <v>0</v>
      </c>
      <c r="U180" s="1852">
        <f ca="1">IFERROR($I180*参考2_エネ使用量経年!U71*1000,"")</f>
        <v>0</v>
      </c>
      <c r="V180" s="1852">
        <f ca="1">IFERROR($J180*参考2_エネ使用量経年!V71*1000,"")</f>
        <v>0</v>
      </c>
      <c r="W180" s="1852">
        <f ca="1">IFERROR($K180*参考2_エネ使用量経年!W71*1000,"")</f>
        <v>0</v>
      </c>
      <c r="X180" s="1853">
        <f ca="1">IFERROR($H180*参考2_エネ使用量経年!X71*1000,"")</f>
        <v>0</v>
      </c>
      <c r="Y180" s="1853">
        <f ca="1">IFERROR($I180*参考2_エネ使用量経年!Y71*1000,"")</f>
        <v>0</v>
      </c>
      <c r="Z180" s="1853">
        <f ca="1">IFERROR($J180*参考2_エネ使用量経年!Z71*1000,"")</f>
        <v>0</v>
      </c>
      <c r="AA180" s="1853">
        <f ca="1">IFERROR($K180*参考2_エネ使用量経年!AA71*1000,"")</f>
        <v>0</v>
      </c>
      <c r="AB180" s="1853"/>
      <c r="AC180" s="1853"/>
      <c r="AD180" s="1853"/>
      <c r="AE180" s="1853"/>
      <c r="AF180" s="1853"/>
      <c r="AG180" s="1853"/>
      <c r="AH180" s="1853"/>
      <c r="AI180" s="1853"/>
      <c r="AJ180" s="1853"/>
      <c r="AK180" s="1853"/>
      <c r="AL180" s="1853"/>
      <c r="AM180" s="1853"/>
      <c r="AN180" s="1853"/>
      <c r="AO180" s="1853"/>
      <c r="AP180" s="1853"/>
      <c r="AQ180" s="1853"/>
      <c r="AR180" s="1853"/>
      <c r="AS180" s="1853"/>
      <c r="AT180" s="1853"/>
      <c r="AU180" s="1853"/>
      <c r="AV180" s="1853"/>
      <c r="AW180" s="1853"/>
      <c r="AX180" s="1853"/>
      <c r="AY180" s="1853"/>
      <c r="AZ180" s="1853"/>
      <c r="BA180" s="1853"/>
      <c r="BB180" s="1853"/>
      <c r="BC180" s="1853"/>
      <c r="BD180" s="1853"/>
      <c r="BE180" s="1853"/>
      <c r="BF180" s="1853"/>
      <c r="BG180" s="1853"/>
      <c r="BH180" s="1853"/>
      <c r="BI180" s="1853"/>
      <c r="BJ180" s="1853"/>
      <c r="BK180" s="1853"/>
      <c r="BL180" s="1853"/>
      <c r="BM180" s="1853"/>
      <c r="BN180" s="1853"/>
      <c r="BO180" s="1853"/>
      <c r="BP180" s="1862"/>
    </row>
    <row r="181" spans="1:68" ht="20.100000000000001" customHeight="1">
      <c r="A181" s="1845">
        <v>80</v>
      </c>
      <c r="B181" s="1854"/>
      <c r="C181" s="1847"/>
      <c r="D181" s="1872" t="s">
        <v>972</v>
      </c>
      <c r="E181" s="1858" t="str">
        <f ca="1">E71</f>
        <v/>
      </c>
      <c r="F181" s="1860"/>
      <c r="G181" s="1225" t="s">
        <v>1109</v>
      </c>
      <c r="H181" s="1963">
        <f ca="1">IFERROR(OFFSET(貼付け_2024実績,$A181,6),"")</f>
        <v>0</v>
      </c>
      <c r="I181" s="1963">
        <f ca="1">IFERROR(OFFSET(貼付け_2025実績,$A181,6),"")</f>
        <v>0</v>
      </c>
      <c r="J181" s="1963">
        <f ca="1">IFERROR(OFFSET(貼付け_2026実績,$A181,6),"")</f>
        <v>0</v>
      </c>
      <c r="K181" s="1963">
        <f ca="1">IFERROR(OFFSET(貼付け_2027実績,$A181,6),"")</f>
        <v>0</v>
      </c>
      <c r="L181" s="1852">
        <f ca="1">IFERROR($H181*参考2_エネ使用量経年!L73*1000,"")</f>
        <v>0</v>
      </c>
      <c r="M181" s="1852">
        <f ca="1">IFERROR($I181*参考2_エネ使用量経年!M73*1000,"")</f>
        <v>0</v>
      </c>
      <c r="N181" s="1852">
        <f ca="1">IFERROR($J181*参考2_エネ使用量経年!N73*1000,"")</f>
        <v>0</v>
      </c>
      <c r="O181" s="1852">
        <f ca="1">IFERROR($K181*参考2_エネ使用量経年!O73*1000,"")</f>
        <v>0</v>
      </c>
      <c r="P181" s="1852">
        <f ca="1">IFERROR($H181*参考2_エネ使用量経年!P73*1000,"")</f>
        <v>0</v>
      </c>
      <c r="Q181" s="1852">
        <f ca="1">IFERROR($I181*参考2_エネ使用量経年!Q73*1000,"")</f>
        <v>0</v>
      </c>
      <c r="R181" s="1852">
        <f ca="1">IFERROR($J181*参考2_エネ使用量経年!R73*1000,"")</f>
        <v>0</v>
      </c>
      <c r="S181" s="1852">
        <f ca="1">IFERROR($K181*参考2_エネ使用量経年!S73*1000,"")</f>
        <v>0</v>
      </c>
      <c r="T181" s="1852">
        <f ca="1">IFERROR($H181*参考2_エネ使用量経年!T73*1000,"")</f>
        <v>0</v>
      </c>
      <c r="U181" s="1852">
        <f ca="1">IFERROR($I181*参考2_エネ使用量経年!U73*1000,"")</f>
        <v>0</v>
      </c>
      <c r="V181" s="1852">
        <f ca="1">IFERROR($J181*参考2_エネ使用量経年!V73*1000,"")</f>
        <v>0</v>
      </c>
      <c r="W181" s="1852">
        <f ca="1">IFERROR($K181*参考2_エネ使用量経年!W73*1000,"")</f>
        <v>0</v>
      </c>
      <c r="X181" s="1853">
        <f ca="1">IFERROR($H181*参考2_エネ使用量経年!X73*1000,"")</f>
        <v>0</v>
      </c>
      <c r="Y181" s="1853">
        <f ca="1">IFERROR($I181*参考2_エネ使用量経年!Y73*1000,"")</f>
        <v>0</v>
      </c>
      <c r="Z181" s="1853">
        <f ca="1">IFERROR($J181*参考2_エネ使用量経年!Z73*1000,"")</f>
        <v>0</v>
      </c>
      <c r="AA181" s="1853">
        <f ca="1">IFERROR($K181*参考2_エネ使用量経年!AA73*1000,"")</f>
        <v>0</v>
      </c>
      <c r="AB181" s="1853"/>
      <c r="AC181" s="1853"/>
      <c r="AD181" s="1853"/>
      <c r="AE181" s="1853"/>
      <c r="AF181" s="1853"/>
      <c r="AG181" s="1853"/>
      <c r="AH181" s="1853"/>
      <c r="AI181" s="1853"/>
      <c r="AJ181" s="1853"/>
      <c r="AK181" s="1853"/>
      <c r="AL181" s="1853"/>
      <c r="AM181" s="1853"/>
      <c r="AN181" s="1853"/>
      <c r="AO181" s="1853"/>
      <c r="AP181" s="1853"/>
      <c r="AQ181" s="1853"/>
      <c r="AR181" s="1853"/>
      <c r="AS181" s="1853"/>
      <c r="AT181" s="1853"/>
      <c r="AU181" s="1853"/>
      <c r="AV181" s="1853"/>
      <c r="AW181" s="1853"/>
      <c r="AX181" s="1853"/>
      <c r="AY181" s="1853"/>
      <c r="AZ181" s="1853"/>
      <c r="BA181" s="1853"/>
      <c r="BB181" s="1853"/>
      <c r="BC181" s="1853"/>
      <c r="BD181" s="1853"/>
      <c r="BE181" s="1853"/>
      <c r="BF181" s="1853"/>
      <c r="BG181" s="1853"/>
      <c r="BH181" s="1853"/>
      <c r="BI181" s="1853"/>
      <c r="BJ181" s="1853"/>
      <c r="BK181" s="1853"/>
      <c r="BL181" s="1853"/>
      <c r="BM181" s="1853"/>
      <c r="BN181" s="1853"/>
      <c r="BO181" s="1853"/>
      <c r="BP181" s="1862"/>
    </row>
    <row r="182" spans="1:68" ht="20.100000000000001" hidden="1" customHeight="1" outlineLevel="1">
      <c r="A182" s="1845"/>
      <c r="B182" s="1854"/>
      <c r="C182" s="1873" t="s">
        <v>973</v>
      </c>
      <c r="D182" s="1874" t="s">
        <v>1556</v>
      </c>
      <c r="E182" s="1866"/>
      <c r="F182" s="1875"/>
      <c r="G182" s="1225" t="s">
        <v>1109</v>
      </c>
      <c r="H182" s="1867"/>
      <c r="I182" s="1867"/>
      <c r="J182" s="1867"/>
      <c r="K182" s="1867"/>
      <c r="L182" s="1867"/>
      <c r="M182" s="1867"/>
      <c r="N182" s="1867"/>
      <c r="O182" s="1867"/>
      <c r="P182" s="1867"/>
      <c r="Q182" s="1867"/>
      <c r="R182" s="1867"/>
      <c r="S182" s="1867"/>
      <c r="T182" s="1867"/>
      <c r="U182" s="1867"/>
      <c r="V182" s="1867"/>
      <c r="W182" s="1867"/>
      <c r="X182" s="1868"/>
      <c r="Y182" s="1868"/>
      <c r="Z182" s="1868"/>
      <c r="AA182" s="1868"/>
      <c r="AB182" s="1868"/>
      <c r="AC182" s="1868"/>
      <c r="AD182" s="1868"/>
      <c r="AE182" s="1868"/>
      <c r="AF182" s="1868"/>
      <c r="AG182" s="1868"/>
      <c r="AH182" s="1868"/>
      <c r="AI182" s="1868"/>
      <c r="AJ182" s="1868"/>
      <c r="AK182" s="1868"/>
      <c r="AL182" s="1868"/>
      <c r="AM182" s="1868"/>
      <c r="AN182" s="1868"/>
      <c r="AO182" s="1868"/>
      <c r="AP182" s="1868"/>
      <c r="AQ182" s="1868"/>
      <c r="AR182" s="1868"/>
      <c r="AS182" s="1868"/>
      <c r="AT182" s="1868"/>
      <c r="AU182" s="1868"/>
      <c r="AV182" s="1868"/>
      <c r="AW182" s="1868"/>
      <c r="AX182" s="1868"/>
      <c r="AY182" s="1868"/>
      <c r="AZ182" s="1868"/>
      <c r="BA182" s="1868"/>
      <c r="BB182" s="1868"/>
      <c r="BC182" s="1868"/>
      <c r="BD182" s="1868"/>
      <c r="BE182" s="1868"/>
      <c r="BF182" s="1868"/>
      <c r="BG182" s="1868"/>
      <c r="BH182" s="1868"/>
      <c r="BI182" s="1868"/>
      <c r="BJ182" s="1868"/>
      <c r="BK182" s="1868"/>
      <c r="BL182" s="1868"/>
      <c r="BM182" s="1868"/>
      <c r="BN182" s="1868"/>
      <c r="BO182" s="1868"/>
      <c r="BP182" s="1862"/>
    </row>
    <row r="183" spans="1:68" ht="20.100000000000001" hidden="1" customHeight="1" outlineLevel="1">
      <c r="A183" s="1845"/>
      <c r="B183" s="1854"/>
      <c r="C183" s="1876"/>
      <c r="D183" s="1874" t="s">
        <v>1556</v>
      </c>
      <c r="E183" s="1866"/>
      <c r="F183" s="1875"/>
      <c r="G183" s="1225" t="s">
        <v>1109</v>
      </c>
      <c r="H183" s="1867"/>
      <c r="I183" s="1867"/>
      <c r="J183" s="1867"/>
      <c r="K183" s="1867"/>
      <c r="L183" s="1867"/>
      <c r="M183" s="1867"/>
      <c r="N183" s="1867"/>
      <c r="O183" s="1867"/>
      <c r="P183" s="1867"/>
      <c r="Q183" s="1867"/>
      <c r="R183" s="1867"/>
      <c r="S183" s="1867"/>
      <c r="T183" s="1867"/>
      <c r="U183" s="1867"/>
      <c r="V183" s="1867"/>
      <c r="W183" s="1867"/>
      <c r="X183" s="1868"/>
      <c r="Y183" s="1868"/>
      <c r="Z183" s="1868"/>
      <c r="AA183" s="1868"/>
      <c r="AB183" s="1868"/>
      <c r="AC183" s="1868"/>
      <c r="AD183" s="1868"/>
      <c r="AE183" s="1868"/>
      <c r="AF183" s="1868"/>
      <c r="AG183" s="1868"/>
      <c r="AH183" s="1868"/>
      <c r="AI183" s="1868"/>
      <c r="AJ183" s="1868"/>
      <c r="AK183" s="1868"/>
      <c r="AL183" s="1868"/>
      <c r="AM183" s="1868"/>
      <c r="AN183" s="1868"/>
      <c r="AO183" s="1868"/>
      <c r="AP183" s="1868"/>
      <c r="AQ183" s="1868"/>
      <c r="AR183" s="1868"/>
      <c r="AS183" s="1868"/>
      <c r="AT183" s="1868"/>
      <c r="AU183" s="1868"/>
      <c r="AV183" s="1868"/>
      <c r="AW183" s="1868"/>
      <c r="AX183" s="1868"/>
      <c r="AY183" s="1868"/>
      <c r="AZ183" s="1868"/>
      <c r="BA183" s="1868"/>
      <c r="BB183" s="1868"/>
      <c r="BC183" s="1868"/>
      <c r="BD183" s="1868"/>
      <c r="BE183" s="1868"/>
      <c r="BF183" s="1868"/>
      <c r="BG183" s="1868"/>
      <c r="BH183" s="1868"/>
      <c r="BI183" s="1868"/>
      <c r="BJ183" s="1868"/>
      <c r="BK183" s="1868"/>
      <c r="BL183" s="1868"/>
      <c r="BM183" s="1868"/>
      <c r="BN183" s="1868"/>
      <c r="BO183" s="1868"/>
      <c r="BP183" s="1862"/>
    </row>
    <row r="184" spans="1:68" ht="20.100000000000001" hidden="1" customHeight="1" outlineLevel="1">
      <c r="A184" s="1845"/>
      <c r="B184" s="1854"/>
      <c r="C184" s="1876"/>
      <c r="D184" s="1874" t="s">
        <v>1557</v>
      </c>
      <c r="E184" s="1866"/>
      <c r="F184" s="1875"/>
      <c r="G184" s="1225" t="s">
        <v>1109</v>
      </c>
      <c r="H184" s="1867"/>
      <c r="I184" s="1867"/>
      <c r="J184" s="1867"/>
      <c r="K184" s="1867"/>
      <c r="L184" s="1867"/>
      <c r="M184" s="1867"/>
      <c r="N184" s="1867"/>
      <c r="O184" s="1867"/>
      <c r="P184" s="1867"/>
      <c r="Q184" s="1867"/>
      <c r="R184" s="1867"/>
      <c r="S184" s="1867"/>
      <c r="T184" s="1867"/>
      <c r="U184" s="1867"/>
      <c r="V184" s="1867"/>
      <c r="W184" s="1867"/>
      <c r="X184" s="1868"/>
      <c r="Y184" s="1868"/>
      <c r="Z184" s="1868"/>
      <c r="AA184" s="1868"/>
      <c r="AB184" s="1868"/>
      <c r="AC184" s="1868"/>
      <c r="AD184" s="1868"/>
      <c r="AE184" s="1868"/>
      <c r="AF184" s="1868"/>
      <c r="AG184" s="1868"/>
      <c r="AH184" s="1868"/>
      <c r="AI184" s="1868"/>
      <c r="AJ184" s="1868"/>
      <c r="AK184" s="1868"/>
      <c r="AL184" s="1868"/>
      <c r="AM184" s="1868"/>
      <c r="AN184" s="1868"/>
      <c r="AO184" s="1868"/>
      <c r="AP184" s="1868"/>
      <c r="AQ184" s="1868"/>
      <c r="AR184" s="1868"/>
      <c r="AS184" s="1868"/>
      <c r="AT184" s="1868"/>
      <c r="AU184" s="1868"/>
      <c r="AV184" s="1868"/>
      <c r="AW184" s="1868"/>
      <c r="AX184" s="1868"/>
      <c r="AY184" s="1868"/>
      <c r="AZ184" s="1868"/>
      <c r="BA184" s="1868"/>
      <c r="BB184" s="1868"/>
      <c r="BC184" s="1868"/>
      <c r="BD184" s="1868"/>
      <c r="BE184" s="1868"/>
      <c r="BF184" s="1868"/>
      <c r="BG184" s="1868"/>
      <c r="BH184" s="1868"/>
      <c r="BI184" s="1868"/>
      <c r="BJ184" s="1868"/>
      <c r="BK184" s="1868"/>
      <c r="BL184" s="1868"/>
      <c r="BM184" s="1868"/>
      <c r="BN184" s="1868"/>
      <c r="BO184" s="1868"/>
      <c r="BP184" s="1862"/>
    </row>
    <row r="185" spans="1:68" ht="20.100000000000001" hidden="1" customHeight="1" outlineLevel="1">
      <c r="A185" s="1845"/>
      <c r="B185" s="1854"/>
      <c r="C185" s="1876"/>
      <c r="D185" s="1874" t="s">
        <v>1557</v>
      </c>
      <c r="E185" s="1866"/>
      <c r="F185" s="1875"/>
      <c r="G185" s="1225" t="s">
        <v>1109</v>
      </c>
      <c r="H185" s="1867"/>
      <c r="I185" s="1867"/>
      <c r="J185" s="1867"/>
      <c r="K185" s="1867"/>
      <c r="L185" s="1867"/>
      <c r="M185" s="1867"/>
      <c r="N185" s="1867"/>
      <c r="O185" s="1867"/>
      <c r="P185" s="1867"/>
      <c r="Q185" s="1867"/>
      <c r="R185" s="1867"/>
      <c r="S185" s="1867"/>
      <c r="T185" s="1867"/>
      <c r="U185" s="1867"/>
      <c r="V185" s="1867"/>
      <c r="W185" s="1867"/>
      <c r="X185" s="1868"/>
      <c r="Y185" s="1868"/>
      <c r="Z185" s="1868"/>
      <c r="AA185" s="1868"/>
      <c r="AB185" s="1868"/>
      <c r="AC185" s="1868"/>
      <c r="AD185" s="1868"/>
      <c r="AE185" s="1868"/>
      <c r="AF185" s="1868"/>
      <c r="AG185" s="1868"/>
      <c r="AH185" s="1868"/>
      <c r="AI185" s="1868"/>
      <c r="AJ185" s="1868"/>
      <c r="AK185" s="1868"/>
      <c r="AL185" s="1868"/>
      <c r="AM185" s="1868"/>
      <c r="AN185" s="1868"/>
      <c r="AO185" s="1868"/>
      <c r="AP185" s="1868"/>
      <c r="AQ185" s="1868"/>
      <c r="AR185" s="1868"/>
      <c r="AS185" s="1868"/>
      <c r="AT185" s="1868"/>
      <c r="AU185" s="1868"/>
      <c r="AV185" s="1868"/>
      <c r="AW185" s="1868"/>
      <c r="AX185" s="1868"/>
      <c r="AY185" s="1868"/>
      <c r="AZ185" s="1868"/>
      <c r="BA185" s="1868"/>
      <c r="BB185" s="1868"/>
      <c r="BC185" s="1868"/>
      <c r="BD185" s="1868"/>
      <c r="BE185" s="1868"/>
      <c r="BF185" s="1868"/>
      <c r="BG185" s="1868"/>
      <c r="BH185" s="1868"/>
      <c r="BI185" s="1868"/>
      <c r="BJ185" s="1868"/>
      <c r="BK185" s="1868"/>
      <c r="BL185" s="1868"/>
      <c r="BM185" s="1868"/>
      <c r="BN185" s="1868"/>
      <c r="BO185" s="1868"/>
      <c r="BP185" s="1862"/>
    </row>
    <row r="186" spans="1:68" ht="20.100000000000001" hidden="1" customHeight="1" outlineLevel="1">
      <c r="A186" s="1845"/>
      <c r="B186" s="1854"/>
      <c r="C186" s="1876"/>
      <c r="D186" s="1874" t="s">
        <v>958</v>
      </c>
      <c r="E186" s="1866"/>
      <c r="F186" s="1875"/>
      <c r="G186" s="1225" t="s">
        <v>1109</v>
      </c>
      <c r="H186" s="1867"/>
      <c r="I186" s="1867"/>
      <c r="J186" s="1867"/>
      <c r="K186" s="1867"/>
      <c r="L186" s="1867"/>
      <c r="M186" s="1867"/>
      <c r="N186" s="1867"/>
      <c r="O186" s="1867"/>
      <c r="P186" s="1867"/>
      <c r="Q186" s="1867"/>
      <c r="R186" s="1867"/>
      <c r="S186" s="1867"/>
      <c r="T186" s="1867"/>
      <c r="U186" s="1867"/>
      <c r="V186" s="1867"/>
      <c r="W186" s="1867"/>
      <c r="X186" s="1868"/>
      <c r="Y186" s="1868"/>
      <c r="Z186" s="1868"/>
      <c r="AA186" s="1868"/>
      <c r="AB186" s="1868"/>
      <c r="AC186" s="1868"/>
      <c r="AD186" s="1868"/>
      <c r="AE186" s="1868"/>
      <c r="AF186" s="1868"/>
      <c r="AG186" s="1868"/>
      <c r="AH186" s="1868"/>
      <c r="AI186" s="1868"/>
      <c r="AJ186" s="1868"/>
      <c r="AK186" s="1868"/>
      <c r="AL186" s="1868"/>
      <c r="AM186" s="1868"/>
      <c r="AN186" s="1868"/>
      <c r="AO186" s="1868"/>
      <c r="AP186" s="1868"/>
      <c r="AQ186" s="1868"/>
      <c r="AR186" s="1868"/>
      <c r="AS186" s="1868"/>
      <c r="AT186" s="1868"/>
      <c r="AU186" s="1868"/>
      <c r="AV186" s="1868"/>
      <c r="AW186" s="1868"/>
      <c r="AX186" s="1868"/>
      <c r="AY186" s="1868"/>
      <c r="AZ186" s="1868"/>
      <c r="BA186" s="1868"/>
      <c r="BB186" s="1868"/>
      <c r="BC186" s="1868"/>
      <c r="BD186" s="1868"/>
      <c r="BE186" s="1868"/>
      <c r="BF186" s="1868"/>
      <c r="BG186" s="1868"/>
      <c r="BH186" s="1868"/>
      <c r="BI186" s="1868"/>
      <c r="BJ186" s="1868"/>
      <c r="BK186" s="1868"/>
      <c r="BL186" s="1868"/>
      <c r="BM186" s="1868"/>
      <c r="BN186" s="1868"/>
      <c r="BO186" s="1868"/>
      <c r="BP186" s="1862"/>
    </row>
    <row r="187" spans="1:68" ht="20.100000000000001" hidden="1" customHeight="1" outlineLevel="1">
      <c r="A187" s="1845"/>
      <c r="B187" s="1854"/>
      <c r="C187" s="1876"/>
      <c r="D187" s="1874" t="s">
        <v>958</v>
      </c>
      <c r="E187" s="1866"/>
      <c r="F187" s="1875"/>
      <c r="G187" s="1225" t="s">
        <v>1109</v>
      </c>
      <c r="H187" s="1867"/>
      <c r="I187" s="1867"/>
      <c r="J187" s="1867"/>
      <c r="K187" s="1867"/>
      <c r="L187" s="1867"/>
      <c r="M187" s="1867"/>
      <c r="N187" s="1867"/>
      <c r="O187" s="1867"/>
      <c r="P187" s="1867"/>
      <c r="Q187" s="1867"/>
      <c r="R187" s="1867"/>
      <c r="S187" s="1867"/>
      <c r="T187" s="1867"/>
      <c r="U187" s="1867"/>
      <c r="V187" s="1867"/>
      <c r="W187" s="1867"/>
      <c r="X187" s="1868"/>
      <c r="Y187" s="1868"/>
      <c r="Z187" s="1868"/>
      <c r="AA187" s="1868"/>
      <c r="AB187" s="1868"/>
      <c r="AC187" s="1868"/>
      <c r="AD187" s="1868"/>
      <c r="AE187" s="1868"/>
      <c r="AF187" s="1868"/>
      <c r="AG187" s="1868"/>
      <c r="AH187" s="1868"/>
      <c r="AI187" s="1868"/>
      <c r="AJ187" s="1868"/>
      <c r="AK187" s="1868"/>
      <c r="AL187" s="1868"/>
      <c r="AM187" s="1868"/>
      <c r="AN187" s="1868"/>
      <c r="AO187" s="1868"/>
      <c r="AP187" s="1868"/>
      <c r="AQ187" s="1868"/>
      <c r="AR187" s="1868"/>
      <c r="AS187" s="1868"/>
      <c r="AT187" s="1868"/>
      <c r="AU187" s="1868"/>
      <c r="AV187" s="1868"/>
      <c r="AW187" s="1868"/>
      <c r="AX187" s="1868"/>
      <c r="AY187" s="1868"/>
      <c r="AZ187" s="1868"/>
      <c r="BA187" s="1868"/>
      <c r="BB187" s="1868"/>
      <c r="BC187" s="1868"/>
      <c r="BD187" s="1868"/>
      <c r="BE187" s="1868"/>
      <c r="BF187" s="1868"/>
      <c r="BG187" s="1868"/>
      <c r="BH187" s="1868"/>
      <c r="BI187" s="1868"/>
      <c r="BJ187" s="1868"/>
      <c r="BK187" s="1868"/>
      <c r="BL187" s="1868"/>
      <c r="BM187" s="1868"/>
      <c r="BN187" s="1868"/>
      <c r="BO187" s="1868"/>
      <c r="BP187" s="1862"/>
    </row>
    <row r="188" spans="1:68" ht="20.100000000000001" hidden="1" customHeight="1" outlineLevel="1">
      <c r="A188" s="1845"/>
      <c r="B188" s="1854"/>
      <c r="C188" s="1876"/>
      <c r="D188" s="1874" t="s">
        <v>1558</v>
      </c>
      <c r="E188" s="1866"/>
      <c r="F188" s="1875"/>
      <c r="G188" s="1225" t="s">
        <v>1109</v>
      </c>
      <c r="H188" s="1867"/>
      <c r="I188" s="1867"/>
      <c r="J188" s="1867"/>
      <c r="K188" s="1867"/>
      <c r="L188" s="1867"/>
      <c r="M188" s="1867"/>
      <c r="N188" s="1867"/>
      <c r="O188" s="1867"/>
      <c r="P188" s="1867"/>
      <c r="Q188" s="1867"/>
      <c r="R188" s="1867"/>
      <c r="S188" s="1867"/>
      <c r="T188" s="1867"/>
      <c r="U188" s="1867"/>
      <c r="V188" s="1867"/>
      <c r="W188" s="1867"/>
      <c r="X188" s="1868"/>
      <c r="Y188" s="1868"/>
      <c r="Z188" s="1868"/>
      <c r="AA188" s="1868"/>
      <c r="AB188" s="1868"/>
      <c r="AC188" s="1868"/>
      <c r="AD188" s="1868"/>
      <c r="AE188" s="1868"/>
      <c r="AF188" s="1868"/>
      <c r="AG188" s="1868"/>
      <c r="AH188" s="1868"/>
      <c r="AI188" s="1868"/>
      <c r="AJ188" s="1868"/>
      <c r="AK188" s="1868"/>
      <c r="AL188" s="1868"/>
      <c r="AM188" s="1868"/>
      <c r="AN188" s="1868"/>
      <c r="AO188" s="1868"/>
      <c r="AP188" s="1868"/>
      <c r="AQ188" s="1868"/>
      <c r="AR188" s="1868"/>
      <c r="AS188" s="1868"/>
      <c r="AT188" s="1868"/>
      <c r="AU188" s="1868"/>
      <c r="AV188" s="1868"/>
      <c r="AW188" s="1868"/>
      <c r="AX188" s="1868"/>
      <c r="AY188" s="1868"/>
      <c r="AZ188" s="1868"/>
      <c r="BA188" s="1868"/>
      <c r="BB188" s="1868"/>
      <c r="BC188" s="1868"/>
      <c r="BD188" s="1868"/>
      <c r="BE188" s="1868"/>
      <c r="BF188" s="1868"/>
      <c r="BG188" s="1868"/>
      <c r="BH188" s="1868"/>
      <c r="BI188" s="1868"/>
      <c r="BJ188" s="1868"/>
      <c r="BK188" s="1868"/>
      <c r="BL188" s="1868"/>
      <c r="BM188" s="1868"/>
      <c r="BN188" s="1868"/>
      <c r="BO188" s="1868"/>
      <c r="BP188" s="1862"/>
    </row>
    <row r="189" spans="1:68" ht="20.100000000000001" hidden="1" customHeight="1" outlineLevel="1">
      <c r="A189" s="1845"/>
      <c r="B189" s="1854"/>
      <c r="C189" s="1876"/>
      <c r="D189" s="1874" t="s">
        <v>1559</v>
      </c>
      <c r="E189" s="1866"/>
      <c r="F189" s="1875"/>
      <c r="G189" s="1225" t="s">
        <v>1109</v>
      </c>
      <c r="H189" s="1867"/>
      <c r="I189" s="1867"/>
      <c r="J189" s="1867"/>
      <c r="K189" s="1867"/>
      <c r="L189" s="1867"/>
      <c r="M189" s="1867"/>
      <c r="N189" s="1867"/>
      <c r="O189" s="1867"/>
      <c r="P189" s="1867"/>
      <c r="Q189" s="1867"/>
      <c r="R189" s="1867"/>
      <c r="S189" s="1867"/>
      <c r="T189" s="1867"/>
      <c r="U189" s="1867"/>
      <c r="V189" s="1867"/>
      <c r="W189" s="1867"/>
      <c r="X189" s="1868"/>
      <c r="Y189" s="1868"/>
      <c r="Z189" s="1868"/>
      <c r="AA189" s="1868"/>
      <c r="AB189" s="1868"/>
      <c r="AC189" s="1868"/>
      <c r="AD189" s="1868"/>
      <c r="AE189" s="1868"/>
      <c r="AF189" s="1868"/>
      <c r="AG189" s="1868"/>
      <c r="AH189" s="1868"/>
      <c r="AI189" s="1868"/>
      <c r="AJ189" s="1868"/>
      <c r="AK189" s="1868"/>
      <c r="AL189" s="1868"/>
      <c r="AM189" s="1868"/>
      <c r="AN189" s="1868"/>
      <c r="AO189" s="1868"/>
      <c r="AP189" s="1868"/>
      <c r="AQ189" s="1868"/>
      <c r="AR189" s="1868"/>
      <c r="AS189" s="1868"/>
      <c r="AT189" s="1868"/>
      <c r="AU189" s="1868"/>
      <c r="AV189" s="1868"/>
      <c r="AW189" s="1868"/>
      <c r="AX189" s="1868"/>
      <c r="AY189" s="1868"/>
      <c r="AZ189" s="1868"/>
      <c r="BA189" s="1868"/>
      <c r="BB189" s="1868"/>
      <c r="BC189" s="1868"/>
      <c r="BD189" s="1868"/>
      <c r="BE189" s="1868"/>
      <c r="BF189" s="1868"/>
      <c r="BG189" s="1868"/>
      <c r="BH189" s="1868"/>
      <c r="BI189" s="1868"/>
      <c r="BJ189" s="1868"/>
      <c r="BK189" s="1868"/>
      <c r="BL189" s="1868"/>
      <c r="BM189" s="1868"/>
      <c r="BN189" s="1868"/>
      <c r="BO189" s="1868"/>
      <c r="BP189" s="1862"/>
    </row>
    <row r="190" spans="1:68" ht="20.100000000000001" hidden="1" customHeight="1" outlineLevel="1">
      <c r="A190" s="1845"/>
      <c r="B190" s="1854"/>
      <c r="C190" s="1876"/>
      <c r="D190" s="1877" t="s">
        <v>974</v>
      </c>
      <c r="E190" s="1878"/>
      <c r="F190" s="1879"/>
      <c r="G190" s="1225" t="s">
        <v>1109</v>
      </c>
      <c r="H190" s="1867"/>
      <c r="I190" s="1867"/>
      <c r="J190" s="1867"/>
      <c r="K190" s="1867"/>
      <c r="L190" s="1867"/>
      <c r="M190" s="1867"/>
      <c r="N190" s="1867"/>
      <c r="O190" s="1867"/>
      <c r="P190" s="1867"/>
      <c r="Q190" s="1867"/>
      <c r="R190" s="1867"/>
      <c r="S190" s="1867"/>
      <c r="T190" s="1867"/>
      <c r="U190" s="1867"/>
      <c r="V190" s="1867"/>
      <c r="W190" s="1867"/>
      <c r="X190" s="1868"/>
      <c r="Y190" s="1868"/>
      <c r="Z190" s="1868"/>
      <c r="AA190" s="1868"/>
      <c r="AB190" s="1868"/>
      <c r="AC190" s="1868"/>
      <c r="AD190" s="1868"/>
      <c r="AE190" s="1868"/>
      <c r="AF190" s="1868"/>
      <c r="AG190" s="1868"/>
      <c r="AH190" s="1868"/>
      <c r="AI190" s="1868"/>
      <c r="AJ190" s="1868"/>
      <c r="AK190" s="1868"/>
      <c r="AL190" s="1868"/>
      <c r="AM190" s="1868"/>
      <c r="AN190" s="1868"/>
      <c r="AO190" s="1868"/>
      <c r="AP190" s="1868"/>
      <c r="AQ190" s="1868"/>
      <c r="AR190" s="1868"/>
      <c r="AS190" s="1868"/>
      <c r="AT190" s="1868"/>
      <c r="AU190" s="1868"/>
      <c r="AV190" s="1868"/>
      <c r="AW190" s="1868"/>
      <c r="AX190" s="1868"/>
      <c r="AY190" s="1868"/>
      <c r="AZ190" s="1868"/>
      <c r="BA190" s="1868"/>
      <c r="BB190" s="1868"/>
      <c r="BC190" s="1868"/>
      <c r="BD190" s="1868"/>
      <c r="BE190" s="1868"/>
      <c r="BF190" s="1868"/>
      <c r="BG190" s="1868"/>
      <c r="BH190" s="1868"/>
      <c r="BI190" s="1868"/>
      <c r="BJ190" s="1868"/>
      <c r="BK190" s="1868"/>
      <c r="BL190" s="1868"/>
      <c r="BM190" s="1868"/>
      <c r="BN190" s="1868"/>
      <c r="BO190" s="1868"/>
      <c r="BP190" s="1862"/>
    </row>
    <row r="191" spans="1:68" ht="20.100000000000001" hidden="1" customHeight="1" outlineLevel="1">
      <c r="A191" s="1845"/>
      <c r="B191" s="1854"/>
      <c r="C191" s="1876"/>
      <c r="D191" s="1880"/>
      <c r="E191" s="1881"/>
      <c r="F191" s="1882"/>
      <c r="G191" s="1225" t="s">
        <v>1109</v>
      </c>
      <c r="H191" s="1867"/>
      <c r="I191" s="1867"/>
      <c r="J191" s="1867"/>
      <c r="K191" s="1867"/>
      <c r="L191" s="1867"/>
      <c r="M191" s="1867"/>
      <c r="N191" s="1867"/>
      <c r="O191" s="1867"/>
      <c r="P191" s="1867"/>
      <c r="Q191" s="1867"/>
      <c r="R191" s="1867"/>
      <c r="S191" s="1867"/>
      <c r="T191" s="1867"/>
      <c r="U191" s="1867"/>
      <c r="V191" s="1867"/>
      <c r="W191" s="1867"/>
      <c r="X191" s="1868"/>
      <c r="Y191" s="1868"/>
      <c r="Z191" s="1868"/>
      <c r="AA191" s="1868"/>
      <c r="AB191" s="1868"/>
      <c r="AC191" s="1868"/>
      <c r="AD191" s="1868"/>
      <c r="AE191" s="1868"/>
      <c r="AF191" s="1868"/>
      <c r="AG191" s="1868"/>
      <c r="AH191" s="1868"/>
      <c r="AI191" s="1868"/>
      <c r="AJ191" s="1868"/>
      <c r="AK191" s="1868"/>
      <c r="AL191" s="1868"/>
      <c r="AM191" s="1868"/>
      <c r="AN191" s="1868"/>
      <c r="AO191" s="1868"/>
      <c r="AP191" s="1868"/>
      <c r="AQ191" s="1868"/>
      <c r="AR191" s="1868"/>
      <c r="AS191" s="1868"/>
      <c r="AT191" s="1868"/>
      <c r="AU191" s="1868"/>
      <c r="AV191" s="1868"/>
      <c r="AW191" s="1868"/>
      <c r="AX191" s="1868"/>
      <c r="AY191" s="1868"/>
      <c r="AZ191" s="1868"/>
      <c r="BA191" s="1868"/>
      <c r="BB191" s="1868"/>
      <c r="BC191" s="1868"/>
      <c r="BD191" s="1868"/>
      <c r="BE191" s="1868"/>
      <c r="BF191" s="1868"/>
      <c r="BG191" s="1868"/>
      <c r="BH191" s="1868"/>
      <c r="BI191" s="1868"/>
      <c r="BJ191" s="1868"/>
      <c r="BK191" s="1868"/>
      <c r="BL191" s="1868"/>
      <c r="BM191" s="1868"/>
      <c r="BN191" s="1868"/>
      <c r="BO191" s="1868"/>
      <c r="BP191" s="1862"/>
    </row>
    <row r="192" spans="1:68" ht="20.100000000000001" hidden="1" customHeight="1" outlineLevel="1">
      <c r="A192" s="1845"/>
      <c r="B192" s="1854"/>
      <c r="C192" s="1876"/>
      <c r="D192" s="1877" t="s">
        <v>975</v>
      </c>
      <c r="E192" s="1878"/>
      <c r="F192" s="1879"/>
      <c r="G192" s="1225" t="s">
        <v>1109</v>
      </c>
      <c r="H192" s="1867"/>
      <c r="I192" s="1867"/>
      <c r="J192" s="1867"/>
      <c r="K192" s="1867"/>
      <c r="L192" s="1867"/>
      <c r="M192" s="1867"/>
      <c r="N192" s="1867"/>
      <c r="O192" s="1867"/>
      <c r="P192" s="1867"/>
      <c r="Q192" s="1867"/>
      <c r="R192" s="1867"/>
      <c r="S192" s="1867"/>
      <c r="T192" s="1867"/>
      <c r="U192" s="1867"/>
      <c r="V192" s="1867"/>
      <c r="W192" s="1867"/>
      <c r="X192" s="1868"/>
      <c r="Y192" s="1868"/>
      <c r="Z192" s="1868"/>
      <c r="AA192" s="1868"/>
      <c r="AB192" s="1868"/>
      <c r="AC192" s="1868"/>
      <c r="AD192" s="1868"/>
      <c r="AE192" s="1868"/>
      <c r="AF192" s="1868"/>
      <c r="AG192" s="1868"/>
      <c r="AH192" s="1868"/>
      <c r="AI192" s="1868"/>
      <c r="AJ192" s="1868"/>
      <c r="AK192" s="1868"/>
      <c r="AL192" s="1868"/>
      <c r="AM192" s="1868"/>
      <c r="AN192" s="1868"/>
      <c r="AO192" s="1868"/>
      <c r="AP192" s="1868"/>
      <c r="AQ192" s="1868"/>
      <c r="AR192" s="1868"/>
      <c r="AS192" s="1868"/>
      <c r="AT192" s="1868"/>
      <c r="AU192" s="1868"/>
      <c r="AV192" s="1868"/>
      <c r="AW192" s="1868"/>
      <c r="AX192" s="1868"/>
      <c r="AY192" s="1868"/>
      <c r="AZ192" s="1868"/>
      <c r="BA192" s="1868"/>
      <c r="BB192" s="1868"/>
      <c r="BC192" s="1868"/>
      <c r="BD192" s="1868"/>
      <c r="BE192" s="1868"/>
      <c r="BF192" s="1868"/>
      <c r="BG192" s="1868"/>
      <c r="BH192" s="1868"/>
      <c r="BI192" s="1868"/>
      <c r="BJ192" s="1868"/>
      <c r="BK192" s="1868"/>
      <c r="BL192" s="1868"/>
      <c r="BM192" s="1868"/>
      <c r="BN192" s="1868"/>
      <c r="BO192" s="1868"/>
      <c r="BP192" s="1862"/>
    </row>
    <row r="193" spans="1:68" ht="20.100000000000001" hidden="1" customHeight="1" outlineLevel="1">
      <c r="A193" s="1845"/>
      <c r="B193" s="1854"/>
      <c r="C193" s="1876"/>
      <c r="D193" s="1880"/>
      <c r="E193" s="1881"/>
      <c r="F193" s="1882"/>
      <c r="G193" s="1225" t="s">
        <v>1109</v>
      </c>
      <c r="H193" s="1867"/>
      <c r="I193" s="1867"/>
      <c r="J193" s="1867"/>
      <c r="K193" s="1867"/>
      <c r="L193" s="1867"/>
      <c r="M193" s="1867"/>
      <c r="N193" s="1867"/>
      <c r="O193" s="1867"/>
      <c r="P193" s="1867"/>
      <c r="Q193" s="1867"/>
      <c r="R193" s="1867"/>
      <c r="S193" s="1867"/>
      <c r="T193" s="1867"/>
      <c r="U193" s="1867"/>
      <c r="V193" s="1867"/>
      <c r="W193" s="1867"/>
      <c r="X193" s="1868"/>
      <c r="Y193" s="1868"/>
      <c r="Z193" s="1868"/>
      <c r="AA193" s="1868"/>
      <c r="AB193" s="1868"/>
      <c r="AC193" s="1868"/>
      <c r="AD193" s="1868"/>
      <c r="AE193" s="1868"/>
      <c r="AF193" s="1868"/>
      <c r="AG193" s="1868"/>
      <c r="AH193" s="1868"/>
      <c r="AI193" s="1868"/>
      <c r="AJ193" s="1868"/>
      <c r="AK193" s="1868"/>
      <c r="AL193" s="1868"/>
      <c r="AM193" s="1868"/>
      <c r="AN193" s="1868"/>
      <c r="AO193" s="1868"/>
      <c r="AP193" s="1868"/>
      <c r="AQ193" s="1868"/>
      <c r="AR193" s="1868"/>
      <c r="AS193" s="1868"/>
      <c r="AT193" s="1868"/>
      <c r="AU193" s="1868"/>
      <c r="AV193" s="1868"/>
      <c r="AW193" s="1868"/>
      <c r="AX193" s="1868"/>
      <c r="AY193" s="1868"/>
      <c r="AZ193" s="1868"/>
      <c r="BA193" s="1868"/>
      <c r="BB193" s="1868"/>
      <c r="BC193" s="1868"/>
      <c r="BD193" s="1868"/>
      <c r="BE193" s="1868"/>
      <c r="BF193" s="1868"/>
      <c r="BG193" s="1868"/>
      <c r="BH193" s="1868"/>
      <c r="BI193" s="1868"/>
      <c r="BJ193" s="1868"/>
      <c r="BK193" s="1868"/>
      <c r="BL193" s="1868"/>
      <c r="BM193" s="1868"/>
      <c r="BN193" s="1868"/>
      <c r="BO193" s="1868"/>
      <c r="BP193" s="1862"/>
    </row>
    <row r="194" spans="1:68" ht="20.100000000000001" hidden="1" customHeight="1" outlineLevel="1">
      <c r="A194" s="1845"/>
      <c r="B194" s="1854"/>
      <c r="C194" s="1876"/>
      <c r="D194" s="1874" t="s">
        <v>976</v>
      </c>
      <c r="E194" s="1881"/>
      <c r="F194" s="1849"/>
      <c r="G194" s="1225" t="s">
        <v>1109</v>
      </c>
      <c r="H194" s="1867"/>
      <c r="I194" s="1867"/>
      <c r="J194" s="1867"/>
      <c r="K194" s="1867"/>
      <c r="L194" s="1867"/>
      <c r="M194" s="1867"/>
      <c r="N194" s="1867"/>
      <c r="O194" s="1867"/>
      <c r="P194" s="1867"/>
      <c r="Q194" s="1867"/>
      <c r="R194" s="1867"/>
      <c r="S194" s="1867"/>
      <c r="T194" s="1867"/>
      <c r="U194" s="1867"/>
      <c r="V194" s="1867"/>
      <c r="W194" s="1867"/>
      <c r="X194" s="1868"/>
      <c r="Y194" s="1868"/>
      <c r="Z194" s="1868"/>
      <c r="AA194" s="1868"/>
      <c r="AB194" s="1868"/>
      <c r="AC194" s="1868"/>
      <c r="AD194" s="1868"/>
      <c r="AE194" s="1868"/>
      <c r="AF194" s="1868"/>
      <c r="AG194" s="1868"/>
      <c r="AH194" s="1868"/>
      <c r="AI194" s="1868"/>
      <c r="AJ194" s="1868"/>
      <c r="AK194" s="1868"/>
      <c r="AL194" s="1868"/>
      <c r="AM194" s="1868"/>
      <c r="AN194" s="1868"/>
      <c r="AO194" s="1868"/>
      <c r="AP194" s="1868"/>
      <c r="AQ194" s="1868"/>
      <c r="AR194" s="1868"/>
      <c r="AS194" s="1868"/>
      <c r="AT194" s="1868"/>
      <c r="AU194" s="1868"/>
      <c r="AV194" s="1868"/>
      <c r="AW194" s="1868"/>
      <c r="AX194" s="1868"/>
      <c r="AY194" s="1868"/>
      <c r="AZ194" s="1868"/>
      <c r="BA194" s="1868"/>
      <c r="BB194" s="1868"/>
      <c r="BC194" s="1868"/>
      <c r="BD194" s="1868"/>
      <c r="BE194" s="1868"/>
      <c r="BF194" s="1868"/>
      <c r="BG194" s="1868"/>
      <c r="BH194" s="1868"/>
      <c r="BI194" s="1868"/>
      <c r="BJ194" s="1868"/>
      <c r="BK194" s="1868"/>
      <c r="BL194" s="1868"/>
      <c r="BM194" s="1868"/>
      <c r="BN194" s="1868"/>
      <c r="BO194" s="1868"/>
      <c r="BP194" s="1862"/>
    </row>
    <row r="195" spans="1:68" ht="20.100000000000001" hidden="1" customHeight="1" outlineLevel="1">
      <c r="A195" s="1845"/>
      <c r="B195" s="1854"/>
      <c r="C195" s="1876"/>
      <c r="D195" s="1874" t="s">
        <v>977</v>
      </c>
      <c r="E195" s="1881"/>
      <c r="F195" s="1883"/>
      <c r="G195" s="1225" t="s">
        <v>1109</v>
      </c>
      <c r="H195" s="1867"/>
      <c r="I195" s="1867"/>
      <c r="J195" s="1867"/>
      <c r="K195" s="1867"/>
      <c r="L195" s="1867"/>
      <c r="M195" s="1867"/>
      <c r="N195" s="1867"/>
      <c r="O195" s="1867"/>
      <c r="P195" s="1867"/>
      <c r="Q195" s="1867"/>
      <c r="R195" s="1867"/>
      <c r="S195" s="1867"/>
      <c r="T195" s="1867"/>
      <c r="U195" s="1867"/>
      <c r="V195" s="1867"/>
      <c r="W195" s="1867"/>
      <c r="X195" s="1868"/>
      <c r="Y195" s="1868"/>
      <c r="Z195" s="1868"/>
      <c r="AA195" s="1868"/>
      <c r="AB195" s="1868"/>
      <c r="AC195" s="1868"/>
      <c r="AD195" s="1868"/>
      <c r="AE195" s="1868"/>
      <c r="AF195" s="1868"/>
      <c r="AG195" s="1868"/>
      <c r="AH195" s="1868"/>
      <c r="AI195" s="1868"/>
      <c r="AJ195" s="1868"/>
      <c r="AK195" s="1868"/>
      <c r="AL195" s="1868"/>
      <c r="AM195" s="1868"/>
      <c r="AN195" s="1868"/>
      <c r="AO195" s="1868"/>
      <c r="AP195" s="1868"/>
      <c r="AQ195" s="1868"/>
      <c r="AR195" s="1868"/>
      <c r="AS195" s="1868"/>
      <c r="AT195" s="1868"/>
      <c r="AU195" s="1868"/>
      <c r="AV195" s="1868"/>
      <c r="AW195" s="1868"/>
      <c r="AX195" s="1868"/>
      <c r="AY195" s="1868"/>
      <c r="AZ195" s="1868"/>
      <c r="BA195" s="1868"/>
      <c r="BB195" s="1868"/>
      <c r="BC195" s="1868"/>
      <c r="BD195" s="1868"/>
      <c r="BE195" s="1868"/>
      <c r="BF195" s="1868"/>
      <c r="BG195" s="1868"/>
      <c r="BH195" s="1868"/>
      <c r="BI195" s="1868"/>
      <c r="BJ195" s="1868"/>
      <c r="BK195" s="1868"/>
      <c r="BL195" s="1868"/>
      <c r="BM195" s="1868"/>
      <c r="BN195" s="1868"/>
      <c r="BO195" s="1868"/>
      <c r="BP195" s="1862"/>
    </row>
    <row r="196" spans="1:68" ht="20.100000000000001" hidden="1" customHeight="1" outlineLevel="1">
      <c r="A196" s="1845"/>
      <c r="B196" s="1854"/>
      <c r="C196" s="1876"/>
      <c r="D196" s="1874" t="s">
        <v>979</v>
      </c>
      <c r="E196" s="1881"/>
      <c r="F196" s="1883"/>
      <c r="G196" s="1225" t="s">
        <v>1109</v>
      </c>
      <c r="H196" s="1867"/>
      <c r="I196" s="1867"/>
      <c r="J196" s="1867"/>
      <c r="K196" s="1867"/>
      <c r="L196" s="1867"/>
      <c r="M196" s="1867"/>
      <c r="N196" s="1867"/>
      <c r="O196" s="1867"/>
      <c r="P196" s="1867"/>
      <c r="Q196" s="1867"/>
      <c r="R196" s="1867"/>
      <c r="S196" s="1867"/>
      <c r="T196" s="1867"/>
      <c r="U196" s="1867"/>
      <c r="V196" s="1867"/>
      <c r="W196" s="1867"/>
      <c r="X196" s="1868"/>
      <c r="Y196" s="1868"/>
      <c r="Z196" s="1868"/>
      <c r="AA196" s="1868"/>
      <c r="AB196" s="1868"/>
      <c r="AC196" s="1868"/>
      <c r="AD196" s="1868"/>
      <c r="AE196" s="1868"/>
      <c r="AF196" s="1868"/>
      <c r="AG196" s="1868"/>
      <c r="AH196" s="1868"/>
      <c r="AI196" s="1868"/>
      <c r="AJ196" s="1868"/>
      <c r="AK196" s="1868"/>
      <c r="AL196" s="1868"/>
      <c r="AM196" s="1868"/>
      <c r="AN196" s="1868"/>
      <c r="AO196" s="1868"/>
      <c r="AP196" s="1868"/>
      <c r="AQ196" s="1868"/>
      <c r="AR196" s="1868"/>
      <c r="AS196" s="1868"/>
      <c r="AT196" s="1868"/>
      <c r="AU196" s="1868"/>
      <c r="AV196" s="1868"/>
      <c r="AW196" s="1868"/>
      <c r="AX196" s="1868"/>
      <c r="AY196" s="1868"/>
      <c r="AZ196" s="1868"/>
      <c r="BA196" s="1868"/>
      <c r="BB196" s="1868"/>
      <c r="BC196" s="1868"/>
      <c r="BD196" s="1868"/>
      <c r="BE196" s="1868"/>
      <c r="BF196" s="1868"/>
      <c r="BG196" s="1868"/>
      <c r="BH196" s="1868"/>
      <c r="BI196" s="1868"/>
      <c r="BJ196" s="1868"/>
      <c r="BK196" s="1868"/>
      <c r="BL196" s="1868"/>
      <c r="BM196" s="1868"/>
      <c r="BN196" s="1868"/>
      <c r="BO196" s="1868"/>
      <c r="BP196" s="1862"/>
    </row>
    <row r="197" spans="1:68" ht="20.100000000000001" hidden="1" customHeight="1" outlineLevel="1">
      <c r="A197" s="1845"/>
      <c r="B197" s="1854"/>
      <c r="C197" s="1876"/>
      <c r="D197" s="1874" t="s">
        <v>981</v>
      </c>
      <c r="E197" s="1881"/>
      <c r="F197" s="1883"/>
      <c r="G197" s="1225" t="s">
        <v>1109</v>
      </c>
      <c r="H197" s="1867"/>
      <c r="I197" s="1867"/>
      <c r="J197" s="1867"/>
      <c r="K197" s="1867"/>
      <c r="L197" s="1867"/>
      <c r="M197" s="1867"/>
      <c r="N197" s="1867"/>
      <c r="O197" s="1867"/>
      <c r="P197" s="1867"/>
      <c r="Q197" s="1867"/>
      <c r="R197" s="1867"/>
      <c r="S197" s="1867"/>
      <c r="T197" s="1867"/>
      <c r="U197" s="1867"/>
      <c r="V197" s="1867"/>
      <c r="W197" s="1867"/>
      <c r="X197" s="1868"/>
      <c r="Y197" s="1868"/>
      <c r="Z197" s="1868"/>
      <c r="AA197" s="1868"/>
      <c r="AB197" s="1868"/>
      <c r="AC197" s="1868"/>
      <c r="AD197" s="1868"/>
      <c r="AE197" s="1868"/>
      <c r="AF197" s="1868"/>
      <c r="AG197" s="1868"/>
      <c r="AH197" s="1868"/>
      <c r="AI197" s="1868"/>
      <c r="AJ197" s="1868"/>
      <c r="AK197" s="1868"/>
      <c r="AL197" s="1868"/>
      <c r="AM197" s="1868"/>
      <c r="AN197" s="1868"/>
      <c r="AO197" s="1868"/>
      <c r="AP197" s="1868"/>
      <c r="AQ197" s="1868"/>
      <c r="AR197" s="1868"/>
      <c r="AS197" s="1868"/>
      <c r="AT197" s="1868"/>
      <c r="AU197" s="1868"/>
      <c r="AV197" s="1868"/>
      <c r="AW197" s="1868"/>
      <c r="AX197" s="1868"/>
      <c r="AY197" s="1868"/>
      <c r="AZ197" s="1868"/>
      <c r="BA197" s="1868"/>
      <c r="BB197" s="1868"/>
      <c r="BC197" s="1868"/>
      <c r="BD197" s="1868"/>
      <c r="BE197" s="1868"/>
      <c r="BF197" s="1868"/>
      <c r="BG197" s="1868"/>
      <c r="BH197" s="1868"/>
      <c r="BI197" s="1868"/>
      <c r="BJ197" s="1868"/>
      <c r="BK197" s="1868"/>
      <c r="BL197" s="1868"/>
      <c r="BM197" s="1868"/>
      <c r="BN197" s="1868"/>
      <c r="BO197" s="1868"/>
      <c r="BP197" s="1862"/>
    </row>
    <row r="198" spans="1:68" ht="19.5" customHeight="1" collapsed="1">
      <c r="A198" s="1842"/>
      <c r="B198" s="1884" t="s">
        <v>1110</v>
      </c>
      <c r="C198" s="1879"/>
      <c r="D198" s="1885" t="s">
        <v>1111</v>
      </c>
      <c r="E198" s="1886"/>
      <c r="F198" s="1887" t="s">
        <v>1062</v>
      </c>
      <c r="G198" s="1225" t="s">
        <v>1109</v>
      </c>
      <c r="H198" s="1867"/>
      <c r="I198" s="1867"/>
      <c r="J198" s="1867"/>
      <c r="K198" s="1867"/>
      <c r="L198" s="1852">
        <f t="shared" ref="L198:AA198" ca="1" si="77">SUM(L118:L153,L160:L165)</f>
        <v>0</v>
      </c>
      <c r="M198" s="1852">
        <f t="shared" ca="1" si="77"/>
        <v>0</v>
      </c>
      <c r="N198" s="1852">
        <f t="shared" ca="1" si="77"/>
        <v>0</v>
      </c>
      <c r="O198" s="1852">
        <f t="shared" ca="1" si="77"/>
        <v>0</v>
      </c>
      <c r="P198" s="1888">
        <f t="shared" ca="1" si="77"/>
        <v>0</v>
      </c>
      <c r="Q198" s="1888">
        <f t="shared" ca="1" si="77"/>
        <v>0</v>
      </c>
      <c r="R198" s="1888">
        <f t="shared" ca="1" si="77"/>
        <v>0</v>
      </c>
      <c r="S198" s="1888">
        <f t="shared" ca="1" si="77"/>
        <v>0</v>
      </c>
      <c r="T198" s="1888">
        <f t="shared" ca="1" si="77"/>
        <v>0</v>
      </c>
      <c r="U198" s="1888">
        <f t="shared" ca="1" si="77"/>
        <v>0</v>
      </c>
      <c r="V198" s="1888">
        <f t="shared" ca="1" si="77"/>
        <v>0</v>
      </c>
      <c r="W198" s="1888">
        <f t="shared" ca="1" si="77"/>
        <v>0</v>
      </c>
      <c r="X198" s="1889">
        <f t="shared" ca="1" si="77"/>
        <v>0</v>
      </c>
      <c r="Y198" s="1889">
        <f t="shared" ca="1" si="77"/>
        <v>0</v>
      </c>
      <c r="Z198" s="1889">
        <f t="shared" ca="1" si="77"/>
        <v>0</v>
      </c>
      <c r="AA198" s="1889">
        <f t="shared" ca="1" si="77"/>
        <v>0</v>
      </c>
      <c r="AB198" s="1889"/>
      <c r="AC198" s="1889"/>
      <c r="AD198" s="1889"/>
      <c r="AE198" s="1889"/>
      <c r="AF198" s="1889"/>
      <c r="AG198" s="1889"/>
      <c r="AH198" s="1889"/>
      <c r="AI198" s="1889"/>
      <c r="AJ198" s="1889"/>
      <c r="AK198" s="1889"/>
      <c r="AL198" s="1889"/>
      <c r="AM198" s="1889"/>
      <c r="AN198" s="1889"/>
      <c r="AO198" s="1889"/>
      <c r="AP198" s="1889"/>
      <c r="AQ198" s="1889"/>
      <c r="AR198" s="1889"/>
      <c r="AS198" s="1889"/>
      <c r="AT198" s="1889"/>
      <c r="AU198" s="1889"/>
      <c r="AV198" s="1889"/>
      <c r="AW198" s="1889"/>
      <c r="AX198" s="1889"/>
      <c r="AY198" s="1889"/>
      <c r="AZ198" s="1889"/>
      <c r="BA198" s="1889"/>
      <c r="BB198" s="1889"/>
      <c r="BC198" s="1889"/>
      <c r="BD198" s="1889"/>
      <c r="BE198" s="1889"/>
      <c r="BF198" s="1889"/>
      <c r="BG198" s="1889"/>
      <c r="BH198" s="1889"/>
      <c r="BI198" s="1889"/>
      <c r="BJ198" s="1889"/>
      <c r="BK198" s="1889"/>
      <c r="BL198" s="1889"/>
      <c r="BM198" s="1889"/>
      <c r="BN198" s="1889"/>
      <c r="BO198" s="1889"/>
      <c r="BP198" s="1862"/>
    </row>
    <row r="199" spans="1:68" ht="21">
      <c r="A199" s="1842"/>
      <c r="B199" s="1890" t="s">
        <v>1145</v>
      </c>
      <c r="C199" s="1882"/>
      <c r="D199" s="1964" t="s">
        <v>1113</v>
      </c>
      <c r="E199" s="1965"/>
      <c r="F199" s="1891" t="s">
        <v>1063</v>
      </c>
      <c r="G199" s="1225" t="s">
        <v>1109</v>
      </c>
      <c r="H199" s="1867"/>
      <c r="I199" s="1867"/>
      <c r="J199" s="1867"/>
      <c r="K199" s="1867"/>
      <c r="L199" s="1867"/>
      <c r="M199" s="1867"/>
      <c r="N199" s="1867"/>
      <c r="O199" s="1867"/>
      <c r="P199" s="1867"/>
      <c r="Q199" s="1867"/>
      <c r="R199" s="1867"/>
      <c r="S199" s="1867"/>
      <c r="T199" s="1867"/>
      <c r="U199" s="1867"/>
      <c r="V199" s="1867"/>
      <c r="W199" s="1867"/>
      <c r="X199" s="1868"/>
      <c r="Y199" s="1868"/>
      <c r="Z199" s="1868"/>
      <c r="AA199" s="1868"/>
      <c r="AB199" s="1868"/>
      <c r="AC199" s="1868"/>
      <c r="AD199" s="1868"/>
      <c r="AE199" s="1868"/>
      <c r="AF199" s="1868"/>
      <c r="AG199" s="1868"/>
      <c r="AH199" s="1868"/>
      <c r="AI199" s="1868"/>
      <c r="AJ199" s="1868"/>
      <c r="AK199" s="1868"/>
      <c r="AL199" s="1868"/>
      <c r="AM199" s="1868"/>
      <c r="AN199" s="1868"/>
      <c r="AO199" s="1868"/>
      <c r="AP199" s="1868"/>
      <c r="AQ199" s="1868"/>
      <c r="AR199" s="1868"/>
      <c r="AS199" s="1868"/>
      <c r="AT199" s="1868"/>
      <c r="AU199" s="1868"/>
      <c r="AV199" s="1868"/>
      <c r="AW199" s="1868"/>
      <c r="AX199" s="1868"/>
      <c r="AY199" s="1868"/>
      <c r="AZ199" s="1868"/>
      <c r="BA199" s="1868"/>
      <c r="BB199" s="1868"/>
      <c r="BC199" s="1868"/>
      <c r="BD199" s="1868"/>
      <c r="BE199" s="1868"/>
      <c r="BF199" s="1868"/>
      <c r="BG199" s="1868"/>
      <c r="BH199" s="1868"/>
      <c r="BI199" s="1868"/>
      <c r="BJ199" s="1868"/>
      <c r="BK199" s="1868"/>
      <c r="BL199" s="1868"/>
      <c r="BM199" s="1868"/>
      <c r="BN199" s="1868"/>
      <c r="BO199" s="1868"/>
      <c r="BP199" s="1862"/>
    </row>
    <row r="200" spans="1:68" ht="21">
      <c r="A200" s="1842"/>
      <c r="B200" s="1884" t="s">
        <v>1114</v>
      </c>
      <c r="C200" s="1879"/>
      <c r="D200" s="1885" t="s">
        <v>1115</v>
      </c>
      <c r="E200" s="1892"/>
      <c r="F200" s="1887" t="s">
        <v>1064</v>
      </c>
      <c r="G200" s="1225" t="s">
        <v>1109</v>
      </c>
      <c r="H200" s="1867"/>
      <c r="I200" s="1867"/>
      <c r="J200" s="1867"/>
      <c r="K200" s="1867"/>
      <c r="L200" s="1852">
        <f t="shared" ref="L200:AA200" ca="1" si="78">SUM(L166:L176)</f>
        <v>0</v>
      </c>
      <c r="M200" s="1852">
        <f t="shared" ca="1" si="78"/>
        <v>0</v>
      </c>
      <c r="N200" s="1852">
        <f t="shared" ca="1" si="78"/>
        <v>0</v>
      </c>
      <c r="O200" s="1852">
        <f t="shared" ca="1" si="78"/>
        <v>0</v>
      </c>
      <c r="P200" s="1852">
        <f t="shared" ca="1" si="78"/>
        <v>0</v>
      </c>
      <c r="Q200" s="1852">
        <f t="shared" ca="1" si="78"/>
        <v>0</v>
      </c>
      <c r="R200" s="1852">
        <f t="shared" ca="1" si="78"/>
        <v>0</v>
      </c>
      <c r="S200" s="1852">
        <f t="shared" ca="1" si="78"/>
        <v>0</v>
      </c>
      <c r="T200" s="1852">
        <f t="shared" ca="1" si="78"/>
        <v>0</v>
      </c>
      <c r="U200" s="1852">
        <f t="shared" ca="1" si="78"/>
        <v>0</v>
      </c>
      <c r="V200" s="1852">
        <f t="shared" ca="1" si="78"/>
        <v>0</v>
      </c>
      <c r="W200" s="1852">
        <f t="shared" ca="1" si="78"/>
        <v>0</v>
      </c>
      <c r="X200" s="1853">
        <f t="shared" ca="1" si="78"/>
        <v>0</v>
      </c>
      <c r="Y200" s="1853">
        <f t="shared" ca="1" si="78"/>
        <v>0</v>
      </c>
      <c r="Z200" s="1853">
        <f t="shared" ca="1" si="78"/>
        <v>0</v>
      </c>
      <c r="AA200" s="1853">
        <f t="shared" ca="1" si="78"/>
        <v>0</v>
      </c>
      <c r="AB200" s="1947"/>
      <c r="AC200" s="1947"/>
      <c r="AD200" s="1947"/>
      <c r="AE200" s="1947"/>
      <c r="AF200" s="1947"/>
      <c r="AG200" s="1947"/>
      <c r="AH200" s="1947"/>
      <c r="AI200" s="1947"/>
      <c r="AJ200" s="1947"/>
      <c r="AK200" s="1947"/>
      <c r="AL200" s="1947"/>
      <c r="AM200" s="1947"/>
      <c r="AN200" s="1947"/>
      <c r="AO200" s="1947"/>
      <c r="AP200" s="1947"/>
      <c r="AQ200" s="1947"/>
      <c r="AR200" s="1947"/>
      <c r="AS200" s="1947"/>
      <c r="AT200" s="1947"/>
      <c r="AU200" s="1947"/>
      <c r="AV200" s="1947"/>
      <c r="AW200" s="1947"/>
      <c r="AX200" s="1947"/>
      <c r="AY200" s="1947"/>
      <c r="AZ200" s="1947"/>
      <c r="BA200" s="1947"/>
      <c r="BB200" s="1947"/>
      <c r="BC200" s="1947"/>
      <c r="BD200" s="1947"/>
      <c r="BE200" s="1947"/>
      <c r="BF200" s="1947"/>
      <c r="BG200" s="1947"/>
      <c r="BH200" s="1947"/>
      <c r="BI200" s="1947"/>
      <c r="BJ200" s="1947"/>
      <c r="BK200" s="1947"/>
      <c r="BL200" s="1947"/>
      <c r="BM200" s="1947"/>
      <c r="BN200" s="1947"/>
      <c r="BO200" s="1947"/>
      <c r="BP200" s="1862"/>
    </row>
    <row r="201" spans="1:68" ht="21">
      <c r="A201" s="1842"/>
      <c r="B201" s="1890" t="s">
        <v>1145</v>
      </c>
      <c r="C201" s="1893"/>
      <c r="D201" s="1885" t="s">
        <v>1116</v>
      </c>
      <c r="E201" s="1892"/>
      <c r="F201" s="1887" t="s">
        <v>1065</v>
      </c>
      <c r="G201" s="1225" t="s">
        <v>1109</v>
      </c>
      <c r="H201" s="1867"/>
      <c r="I201" s="1867"/>
      <c r="J201" s="1867"/>
      <c r="K201" s="1867"/>
      <c r="L201" s="1852">
        <f t="shared" ref="L201:AA201" ca="1" si="79">SUM(L177:L181)</f>
        <v>0</v>
      </c>
      <c r="M201" s="1852">
        <f t="shared" ca="1" si="79"/>
        <v>0</v>
      </c>
      <c r="N201" s="1852">
        <f t="shared" ca="1" si="79"/>
        <v>0</v>
      </c>
      <c r="O201" s="1852">
        <f t="shared" ca="1" si="79"/>
        <v>0</v>
      </c>
      <c r="P201" s="1852">
        <f t="shared" ca="1" si="79"/>
        <v>0</v>
      </c>
      <c r="Q201" s="1852">
        <f t="shared" ca="1" si="79"/>
        <v>0</v>
      </c>
      <c r="R201" s="1852">
        <f t="shared" ca="1" si="79"/>
        <v>0</v>
      </c>
      <c r="S201" s="1852">
        <f t="shared" ca="1" si="79"/>
        <v>0</v>
      </c>
      <c r="T201" s="1852">
        <f t="shared" ca="1" si="79"/>
        <v>0</v>
      </c>
      <c r="U201" s="1852">
        <f t="shared" ca="1" si="79"/>
        <v>0</v>
      </c>
      <c r="V201" s="1852">
        <f t="shared" ca="1" si="79"/>
        <v>0</v>
      </c>
      <c r="W201" s="1852">
        <f t="shared" ca="1" si="79"/>
        <v>0</v>
      </c>
      <c r="X201" s="1853">
        <f t="shared" ca="1" si="79"/>
        <v>0</v>
      </c>
      <c r="Y201" s="1853">
        <f t="shared" ca="1" si="79"/>
        <v>0</v>
      </c>
      <c r="Z201" s="1853">
        <f t="shared" ca="1" si="79"/>
        <v>0</v>
      </c>
      <c r="AA201" s="1853">
        <f t="shared" ca="1" si="79"/>
        <v>0</v>
      </c>
      <c r="AB201" s="1947"/>
      <c r="AC201" s="1947"/>
      <c r="AD201" s="1947"/>
      <c r="AE201" s="1947"/>
      <c r="AF201" s="1947"/>
      <c r="AG201" s="1947"/>
      <c r="AH201" s="1947"/>
      <c r="AI201" s="1947"/>
      <c r="AJ201" s="1947"/>
      <c r="AK201" s="1947"/>
      <c r="AL201" s="1947"/>
      <c r="AM201" s="1947"/>
      <c r="AN201" s="1947"/>
      <c r="AO201" s="1947"/>
      <c r="AP201" s="1947"/>
      <c r="AQ201" s="1947"/>
      <c r="AR201" s="1947"/>
      <c r="AS201" s="1947"/>
      <c r="AT201" s="1947"/>
      <c r="AU201" s="1947"/>
      <c r="AV201" s="1947"/>
      <c r="AW201" s="1947"/>
      <c r="AX201" s="1947"/>
      <c r="AY201" s="1947"/>
      <c r="AZ201" s="1947"/>
      <c r="BA201" s="1947"/>
      <c r="BB201" s="1947"/>
      <c r="BC201" s="1947"/>
      <c r="BD201" s="1947"/>
      <c r="BE201" s="1947"/>
      <c r="BF201" s="1947"/>
      <c r="BG201" s="1947"/>
      <c r="BH201" s="1947"/>
      <c r="BI201" s="1947"/>
      <c r="BJ201" s="1947"/>
      <c r="BK201" s="1947"/>
      <c r="BL201" s="1947"/>
      <c r="BM201" s="1947"/>
      <c r="BN201" s="1947"/>
      <c r="BO201" s="1947"/>
      <c r="BP201" s="1862"/>
    </row>
    <row r="202" spans="1:68" ht="21">
      <c r="A202" s="1842"/>
      <c r="B202" s="1894" t="s">
        <v>1146</v>
      </c>
      <c r="C202" s="1848"/>
      <c r="D202" s="1895"/>
      <c r="E202" s="1896"/>
      <c r="F202" s="1887" t="s">
        <v>1067</v>
      </c>
      <c r="G202" s="1225" t="s">
        <v>1109</v>
      </c>
      <c r="H202" s="1867"/>
      <c r="I202" s="1867"/>
      <c r="J202" s="1867"/>
      <c r="K202" s="1867"/>
      <c r="L202" s="1852">
        <f t="shared" ref="L202:AA202" ca="1" si="80">L406</f>
        <v>0</v>
      </c>
      <c r="M202" s="1852">
        <f t="shared" ca="1" si="80"/>
        <v>0</v>
      </c>
      <c r="N202" s="1852">
        <f t="shared" ca="1" si="80"/>
        <v>0</v>
      </c>
      <c r="O202" s="1852">
        <f t="shared" ca="1" si="80"/>
        <v>0</v>
      </c>
      <c r="P202" s="1888">
        <f t="shared" ca="1" si="80"/>
        <v>0</v>
      </c>
      <c r="Q202" s="1888">
        <f t="shared" ca="1" si="80"/>
        <v>0</v>
      </c>
      <c r="R202" s="1888">
        <f t="shared" ca="1" si="80"/>
        <v>0</v>
      </c>
      <c r="S202" s="1888">
        <f t="shared" ca="1" si="80"/>
        <v>0</v>
      </c>
      <c r="T202" s="1888">
        <f t="shared" ca="1" si="80"/>
        <v>0</v>
      </c>
      <c r="U202" s="1888">
        <f t="shared" ca="1" si="80"/>
        <v>0</v>
      </c>
      <c r="V202" s="1888">
        <f t="shared" ca="1" si="80"/>
        <v>0</v>
      </c>
      <c r="W202" s="1888">
        <f t="shared" ca="1" si="80"/>
        <v>0</v>
      </c>
      <c r="X202" s="1889">
        <f t="shared" ca="1" si="80"/>
        <v>0</v>
      </c>
      <c r="Y202" s="1889">
        <f t="shared" ca="1" si="80"/>
        <v>0</v>
      </c>
      <c r="Z202" s="1889">
        <f t="shared" ca="1" si="80"/>
        <v>0</v>
      </c>
      <c r="AA202" s="1889">
        <f t="shared" ca="1" si="80"/>
        <v>0</v>
      </c>
      <c r="AB202" s="1889"/>
      <c r="AC202" s="1889"/>
      <c r="AD202" s="1889"/>
      <c r="AE202" s="1889"/>
      <c r="AF202" s="1889"/>
      <c r="AG202" s="1889"/>
      <c r="AH202" s="1889"/>
      <c r="AI202" s="1889"/>
      <c r="AJ202" s="1889"/>
      <c r="AK202" s="1889"/>
      <c r="AL202" s="1889"/>
      <c r="AM202" s="1889"/>
      <c r="AN202" s="1889"/>
      <c r="AO202" s="1889"/>
      <c r="AP202" s="1889"/>
      <c r="AQ202" s="1889"/>
      <c r="AR202" s="1889"/>
      <c r="AS202" s="1889"/>
      <c r="AT202" s="1889"/>
      <c r="AU202" s="1889"/>
      <c r="AV202" s="1889"/>
      <c r="AW202" s="1889"/>
      <c r="AX202" s="1889"/>
      <c r="AY202" s="1889"/>
      <c r="AZ202" s="1889"/>
      <c r="BA202" s="1889"/>
      <c r="BB202" s="1889"/>
      <c r="BC202" s="1889"/>
      <c r="BD202" s="1889"/>
      <c r="BE202" s="1889"/>
      <c r="BF202" s="1889"/>
      <c r="BG202" s="1889"/>
      <c r="BH202" s="1889"/>
      <c r="BI202" s="1889"/>
      <c r="BJ202" s="1889"/>
      <c r="BK202" s="1889"/>
      <c r="BL202" s="1889"/>
      <c r="BM202" s="1889"/>
      <c r="BN202" s="1889"/>
      <c r="BO202" s="1889"/>
      <c r="BP202" s="1862"/>
    </row>
    <row r="203" spans="1:68" ht="21" customHeight="1">
      <c r="A203" s="1842"/>
      <c r="B203" s="1966" t="s">
        <v>1118</v>
      </c>
      <c r="C203" s="1898" t="s">
        <v>1119</v>
      </c>
      <c r="D203" s="1899" t="s">
        <v>1120</v>
      </c>
      <c r="E203" s="1900"/>
      <c r="F203" s="1863" t="s">
        <v>1068</v>
      </c>
      <c r="G203" s="1225" t="s">
        <v>1109</v>
      </c>
      <c r="H203" s="1867"/>
      <c r="I203" s="1867"/>
      <c r="J203" s="1867"/>
      <c r="K203" s="1867"/>
      <c r="L203" s="1851">
        <f t="shared" ref="L203:W203" ca="1" si="81">L93</f>
        <v>0</v>
      </c>
      <c r="M203" s="1851">
        <f t="shared" ca="1" si="81"/>
        <v>0</v>
      </c>
      <c r="N203" s="1851">
        <f t="shared" ca="1" si="81"/>
        <v>0</v>
      </c>
      <c r="O203" s="1851">
        <f t="shared" ca="1" si="81"/>
        <v>0</v>
      </c>
      <c r="P203" s="1888">
        <f t="shared" ca="1" si="81"/>
        <v>0</v>
      </c>
      <c r="Q203" s="1888">
        <f t="shared" ca="1" si="81"/>
        <v>0</v>
      </c>
      <c r="R203" s="1888">
        <f t="shared" ca="1" si="81"/>
        <v>0</v>
      </c>
      <c r="S203" s="1888">
        <f t="shared" ca="1" si="81"/>
        <v>0</v>
      </c>
      <c r="T203" s="1888">
        <f t="shared" ca="1" si="81"/>
        <v>0</v>
      </c>
      <c r="U203" s="1888">
        <f t="shared" ca="1" si="81"/>
        <v>0</v>
      </c>
      <c r="V203" s="1888">
        <f t="shared" ca="1" si="81"/>
        <v>0</v>
      </c>
      <c r="W203" s="1888">
        <f t="shared" ca="1" si="81"/>
        <v>0</v>
      </c>
      <c r="X203" s="1868"/>
      <c r="Y203" s="1868"/>
      <c r="Z203" s="1868"/>
      <c r="AA203" s="1868"/>
      <c r="AB203" s="1868"/>
      <c r="AC203" s="1868"/>
      <c r="AD203" s="1868"/>
      <c r="AE203" s="1868"/>
      <c r="AF203" s="1868"/>
      <c r="AG203" s="1868"/>
      <c r="AH203" s="1868"/>
      <c r="AI203" s="1868"/>
      <c r="AJ203" s="1868"/>
      <c r="AK203" s="1868"/>
      <c r="AL203" s="1868"/>
      <c r="AM203" s="1868"/>
      <c r="AN203" s="1868"/>
      <c r="AO203" s="1868"/>
      <c r="AP203" s="1868"/>
      <c r="AQ203" s="1868"/>
      <c r="AR203" s="1868"/>
      <c r="AS203" s="1868"/>
      <c r="AT203" s="1868"/>
      <c r="AU203" s="1868"/>
      <c r="AV203" s="1868"/>
      <c r="AW203" s="1868"/>
      <c r="AX203" s="1868"/>
      <c r="AY203" s="1868"/>
      <c r="AZ203" s="1868"/>
      <c r="BA203" s="1868"/>
      <c r="BB203" s="1868"/>
      <c r="BC203" s="1868"/>
      <c r="BD203" s="1868"/>
      <c r="BE203" s="1868"/>
      <c r="BF203" s="1868"/>
      <c r="BG203" s="1868"/>
      <c r="BH203" s="1868"/>
      <c r="BI203" s="1868"/>
      <c r="BJ203" s="1868"/>
      <c r="BK203" s="1868"/>
      <c r="BL203" s="1868"/>
      <c r="BM203" s="1868"/>
      <c r="BN203" s="1868"/>
      <c r="BO203" s="1868"/>
      <c r="BP203" s="1862"/>
    </row>
    <row r="204" spans="1:68" ht="21" customHeight="1">
      <c r="A204" s="1842"/>
      <c r="B204" s="1967"/>
      <c r="C204" s="1906"/>
      <c r="D204" s="1899" t="s">
        <v>1122</v>
      </c>
      <c r="E204" s="1900"/>
      <c r="F204" s="1863" t="s">
        <v>1070</v>
      </c>
      <c r="G204" s="1225" t="s">
        <v>1109</v>
      </c>
      <c r="H204" s="1867"/>
      <c r="I204" s="1867"/>
      <c r="J204" s="1867"/>
      <c r="K204" s="1867"/>
      <c r="L204" s="1851">
        <f t="shared" ref="L204:W204" ca="1" si="82">L94</f>
        <v>0</v>
      </c>
      <c r="M204" s="1851">
        <f t="shared" ca="1" si="82"/>
        <v>0</v>
      </c>
      <c r="N204" s="1851">
        <f t="shared" ca="1" si="82"/>
        <v>0</v>
      </c>
      <c r="O204" s="1851">
        <f t="shared" ca="1" si="82"/>
        <v>0</v>
      </c>
      <c r="P204" s="1888">
        <f t="shared" ca="1" si="82"/>
        <v>0</v>
      </c>
      <c r="Q204" s="1888">
        <f t="shared" ca="1" si="82"/>
        <v>0</v>
      </c>
      <c r="R204" s="1888">
        <f t="shared" ca="1" si="82"/>
        <v>0</v>
      </c>
      <c r="S204" s="1888">
        <f t="shared" ca="1" si="82"/>
        <v>0</v>
      </c>
      <c r="T204" s="1888">
        <f t="shared" ca="1" si="82"/>
        <v>0</v>
      </c>
      <c r="U204" s="1888">
        <f t="shared" ca="1" si="82"/>
        <v>0</v>
      </c>
      <c r="V204" s="1888">
        <f t="shared" ca="1" si="82"/>
        <v>0</v>
      </c>
      <c r="W204" s="1888">
        <f t="shared" ca="1" si="82"/>
        <v>0</v>
      </c>
      <c r="X204" s="1868"/>
      <c r="Y204" s="1868"/>
      <c r="Z204" s="1868"/>
      <c r="AA204" s="1868"/>
      <c r="AB204" s="1868"/>
      <c r="AC204" s="1868"/>
      <c r="AD204" s="1868"/>
      <c r="AE204" s="1868"/>
      <c r="AF204" s="1868"/>
      <c r="AG204" s="1868"/>
      <c r="AH204" s="1868"/>
      <c r="AI204" s="1868"/>
      <c r="AJ204" s="1868"/>
      <c r="AK204" s="1868"/>
      <c r="AL204" s="1868"/>
      <c r="AM204" s="1868"/>
      <c r="AN204" s="1868"/>
      <c r="AO204" s="1868"/>
      <c r="AP204" s="1868"/>
      <c r="AQ204" s="1868"/>
      <c r="AR204" s="1868"/>
      <c r="AS204" s="1868"/>
      <c r="AT204" s="1868"/>
      <c r="AU204" s="1868"/>
      <c r="AV204" s="1868"/>
      <c r="AW204" s="1868"/>
      <c r="AX204" s="1868"/>
      <c r="AY204" s="1868"/>
      <c r="AZ204" s="1868"/>
      <c r="BA204" s="1868"/>
      <c r="BB204" s="1868"/>
      <c r="BC204" s="1868"/>
      <c r="BD204" s="1868"/>
      <c r="BE204" s="1868"/>
      <c r="BF204" s="1868"/>
      <c r="BG204" s="1868"/>
      <c r="BH204" s="1868"/>
      <c r="BI204" s="1868"/>
      <c r="BJ204" s="1868"/>
      <c r="BK204" s="1868"/>
      <c r="BL204" s="1868"/>
      <c r="BM204" s="1868"/>
      <c r="BN204" s="1868"/>
      <c r="BO204" s="1868"/>
      <c r="BP204" s="1862"/>
    </row>
    <row r="205" spans="1:68" ht="21">
      <c r="A205" s="1842"/>
      <c r="B205" s="1967"/>
      <c r="C205" s="1906"/>
      <c r="D205" s="1907" t="s">
        <v>1123</v>
      </c>
      <c r="E205" s="1908" t="s">
        <v>1124</v>
      </c>
      <c r="F205" s="1914" t="s">
        <v>1072</v>
      </c>
      <c r="G205" s="984" t="s">
        <v>1121</v>
      </c>
      <c r="H205" s="1867"/>
      <c r="I205" s="1867"/>
      <c r="J205" s="1867"/>
      <c r="K205" s="1867"/>
      <c r="L205" s="1851">
        <f t="shared" ref="L205:W205" ca="1" si="83">L95</f>
        <v>0</v>
      </c>
      <c r="M205" s="1851">
        <f t="shared" ca="1" si="83"/>
        <v>0</v>
      </c>
      <c r="N205" s="1851">
        <f t="shared" ca="1" si="83"/>
        <v>0</v>
      </c>
      <c r="O205" s="1851">
        <f t="shared" ca="1" si="83"/>
        <v>0</v>
      </c>
      <c r="P205" s="1888">
        <f t="shared" ca="1" si="83"/>
        <v>0</v>
      </c>
      <c r="Q205" s="1888">
        <f t="shared" ca="1" si="83"/>
        <v>0</v>
      </c>
      <c r="R205" s="1888">
        <f t="shared" ca="1" si="83"/>
        <v>0</v>
      </c>
      <c r="S205" s="1888">
        <f t="shared" ca="1" si="83"/>
        <v>0</v>
      </c>
      <c r="T205" s="1888">
        <f t="shared" ca="1" si="83"/>
        <v>0</v>
      </c>
      <c r="U205" s="1888">
        <f t="shared" ca="1" si="83"/>
        <v>0</v>
      </c>
      <c r="V205" s="1888">
        <f t="shared" ca="1" si="83"/>
        <v>0</v>
      </c>
      <c r="W205" s="1888">
        <f t="shared" ca="1" si="83"/>
        <v>0</v>
      </c>
      <c r="X205" s="1868"/>
      <c r="Y205" s="1868"/>
      <c r="Z205" s="1868"/>
      <c r="AA205" s="1868"/>
      <c r="AB205" s="1868"/>
      <c r="AC205" s="1868"/>
      <c r="AD205" s="1868"/>
      <c r="AE205" s="1868"/>
      <c r="AF205" s="1868"/>
      <c r="AG205" s="1868"/>
      <c r="AH205" s="1868"/>
      <c r="AI205" s="1868"/>
      <c r="AJ205" s="1868"/>
      <c r="AK205" s="1868"/>
      <c r="AL205" s="1868"/>
      <c r="AM205" s="1868"/>
      <c r="AN205" s="1868"/>
      <c r="AO205" s="1868"/>
      <c r="AP205" s="1868"/>
      <c r="AQ205" s="1868"/>
      <c r="AR205" s="1868"/>
      <c r="AS205" s="1868"/>
      <c r="AT205" s="1868"/>
      <c r="AU205" s="1868"/>
      <c r="AV205" s="1868"/>
      <c r="AW205" s="1868"/>
      <c r="AX205" s="1868"/>
      <c r="AY205" s="1868"/>
      <c r="AZ205" s="1868"/>
      <c r="BA205" s="1868"/>
      <c r="BB205" s="1868"/>
      <c r="BC205" s="1868"/>
      <c r="BD205" s="1868"/>
      <c r="BE205" s="1868"/>
      <c r="BF205" s="1868"/>
      <c r="BG205" s="1868"/>
      <c r="BH205" s="1868"/>
      <c r="BI205" s="1868"/>
      <c r="BJ205" s="1868"/>
      <c r="BK205" s="1868"/>
      <c r="BL205" s="1868"/>
      <c r="BM205" s="1868"/>
      <c r="BN205" s="1868"/>
      <c r="BO205" s="1868"/>
      <c r="BP205" s="1862"/>
    </row>
    <row r="206" spans="1:68">
      <c r="A206" s="1842"/>
      <c r="B206" s="1967"/>
      <c r="C206" s="1906"/>
      <c r="D206" s="1910"/>
      <c r="E206" s="1911"/>
      <c r="F206" s="1968"/>
      <c r="G206" s="984" t="s">
        <v>1125</v>
      </c>
      <c r="H206" s="1867"/>
      <c r="I206" s="1867"/>
      <c r="J206" s="1867"/>
      <c r="K206" s="1867"/>
      <c r="L206" s="1851">
        <f t="shared" ref="L206:W206" ca="1" si="84">L96</f>
        <v>0</v>
      </c>
      <c r="M206" s="1851">
        <f t="shared" ca="1" si="84"/>
        <v>0</v>
      </c>
      <c r="N206" s="1851">
        <f t="shared" ca="1" si="84"/>
        <v>0</v>
      </c>
      <c r="O206" s="1851">
        <f t="shared" ca="1" si="84"/>
        <v>0</v>
      </c>
      <c r="P206" s="1888">
        <f t="shared" ca="1" si="84"/>
        <v>0</v>
      </c>
      <c r="Q206" s="1888">
        <f t="shared" ca="1" si="84"/>
        <v>0</v>
      </c>
      <c r="R206" s="1888">
        <f t="shared" ca="1" si="84"/>
        <v>0</v>
      </c>
      <c r="S206" s="1888">
        <f t="shared" ca="1" si="84"/>
        <v>0</v>
      </c>
      <c r="T206" s="1888">
        <f t="shared" ca="1" si="84"/>
        <v>0</v>
      </c>
      <c r="U206" s="1888">
        <f t="shared" ca="1" si="84"/>
        <v>0</v>
      </c>
      <c r="V206" s="1888">
        <f t="shared" ca="1" si="84"/>
        <v>0</v>
      </c>
      <c r="W206" s="1888">
        <f t="shared" ca="1" si="84"/>
        <v>0</v>
      </c>
      <c r="X206" s="1868"/>
      <c r="Y206" s="1868"/>
      <c r="Z206" s="1868"/>
      <c r="AA206" s="1868"/>
      <c r="AB206" s="1868"/>
      <c r="AC206" s="1868"/>
      <c r="AD206" s="1868"/>
      <c r="AE206" s="1868"/>
      <c r="AF206" s="1868"/>
      <c r="AG206" s="1868"/>
      <c r="AH206" s="1868"/>
      <c r="AI206" s="1868"/>
      <c r="AJ206" s="1868"/>
      <c r="AK206" s="1868"/>
      <c r="AL206" s="1868"/>
      <c r="AM206" s="1868"/>
      <c r="AN206" s="1868"/>
      <c r="AO206" s="1868"/>
      <c r="AP206" s="1868"/>
      <c r="AQ206" s="1868"/>
      <c r="AR206" s="1868"/>
      <c r="AS206" s="1868"/>
      <c r="AT206" s="1868"/>
      <c r="AU206" s="1868"/>
      <c r="AV206" s="1868"/>
      <c r="AW206" s="1868"/>
      <c r="AX206" s="1868"/>
      <c r="AY206" s="1868"/>
      <c r="AZ206" s="1868"/>
      <c r="BA206" s="1868"/>
      <c r="BB206" s="1868"/>
      <c r="BC206" s="1868"/>
      <c r="BD206" s="1868"/>
      <c r="BE206" s="1868"/>
      <c r="BF206" s="1868"/>
      <c r="BG206" s="1868"/>
      <c r="BH206" s="1868"/>
      <c r="BI206" s="1868"/>
      <c r="BJ206" s="1868"/>
      <c r="BK206" s="1868"/>
      <c r="BL206" s="1868"/>
      <c r="BM206" s="1868"/>
      <c r="BN206" s="1868"/>
      <c r="BO206" s="1868"/>
      <c r="BP206" s="1862"/>
    </row>
    <row r="207" spans="1:68" ht="21" customHeight="1">
      <c r="A207" s="1842"/>
      <c r="B207" s="1967"/>
      <c r="C207" s="1906"/>
      <c r="D207" s="1910"/>
      <c r="E207" s="1913" t="s">
        <v>1126</v>
      </c>
      <c r="F207" s="1914" t="s">
        <v>1001</v>
      </c>
      <c r="G207" s="1225" t="s">
        <v>1109</v>
      </c>
      <c r="H207" s="1867"/>
      <c r="I207" s="1867"/>
      <c r="J207" s="1867"/>
      <c r="K207" s="1867"/>
      <c r="L207" s="1851">
        <f t="shared" ref="L207:W207" ca="1" si="85">L97</f>
        <v>0</v>
      </c>
      <c r="M207" s="1851">
        <f t="shared" ca="1" si="85"/>
        <v>0</v>
      </c>
      <c r="N207" s="1851">
        <f t="shared" ca="1" si="85"/>
        <v>0</v>
      </c>
      <c r="O207" s="1851">
        <f t="shared" ca="1" si="85"/>
        <v>0</v>
      </c>
      <c r="P207" s="1888">
        <f t="shared" ca="1" si="85"/>
        <v>0</v>
      </c>
      <c r="Q207" s="1888">
        <f t="shared" ca="1" si="85"/>
        <v>0</v>
      </c>
      <c r="R207" s="1888">
        <f t="shared" ca="1" si="85"/>
        <v>0</v>
      </c>
      <c r="S207" s="1888">
        <f t="shared" ca="1" si="85"/>
        <v>0</v>
      </c>
      <c r="T207" s="1888">
        <f t="shared" ca="1" si="85"/>
        <v>0</v>
      </c>
      <c r="U207" s="1888">
        <f t="shared" ca="1" si="85"/>
        <v>0</v>
      </c>
      <c r="V207" s="1888">
        <f t="shared" ca="1" si="85"/>
        <v>0</v>
      </c>
      <c r="W207" s="1888">
        <f t="shared" ca="1" si="85"/>
        <v>0</v>
      </c>
      <c r="X207" s="1868"/>
      <c r="Y207" s="1868"/>
      <c r="Z207" s="1868"/>
      <c r="AA207" s="1868"/>
      <c r="AB207" s="1868"/>
      <c r="AC207" s="1868"/>
      <c r="AD207" s="1868"/>
      <c r="AE207" s="1868"/>
      <c r="AF207" s="1868"/>
      <c r="AG207" s="1868"/>
      <c r="AH207" s="1868"/>
      <c r="AI207" s="1868"/>
      <c r="AJ207" s="1868"/>
      <c r="AK207" s="1868"/>
      <c r="AL207" s="1868"/>
      <c r="AM207" s="1868"/>
      <c r="AN207" s="1868"/>
      <c r="AO207" s="1868"/>
      <c r="AP207" s="1868"/>
      <c r="AQ207" s="1868"/>
      <c r="AR207" s="1868"/>
      <c r="AS207" s="1868"/>
      <c r="AT207" s="1868"/>
      <c r="AU207" s="1868"/>
      <c r="AV207" s="1868"/>
      <c r="AW207" s="1868"/>
      <c r="AX207" s="1868"/>
      <c r="AY207" s="1868"/>
      <c r="AZ207" s="1868"/>
      <c r="BA207" s="1868"/>
      <c r="BB207" s="1868"/>
      <c r="BC207" s="1868"/>
      <c r="BD207" s="1868"/>
      <c r="BE207" s="1868"/>
      <c r="BF207" s="1868"/>
      <c r="BG207" s="1868"/>
      <c r="BH207" s="1868"/>
      <c r="BI207" s="1868"/>
      <c r="BJ207" s="1868"/>
      <c r="BK207" s="1868"/>
      <c r="BL207" s="1868"/>
      <c r="BM207" s="1868"/>
      <c r="BN207" s="1868"/>
      <c r="BO207" s="1868"/>
      <c r="BP207" s="1862"/>
    </row>
    <row r="208" spans="1:68" ht="21" customHeight="1">
      <c r="A208" s="1842"/>
      <c r="B208" s="1967"/>
      <c r="C208" s="1906"/>
      <c r="D208" s="1910"/>
      <c r="E208" s="1915"/>
      <c r="F208" s="1968"/>
      <c r="G208" s="1225" t="s">
        <v>986</v>
      </c>
      <c r="H208" s="1867"/>
      <c r="I208" s="1867"/>
      <c r="J208" s="1867"/>
      <c r="K208" s="1867"/>
      <c r="L208" s="1851">
        <f t="shared" ref="L208:W208" ca="1" si="86">L98</f>
        <v>0</v>
      </c>
      <c r="M208" s="1851">
        <f t="shared" ca="1" si="86"/>
        <v>0</v>
      </c>
      <c r="N208" s="1851">
        <f t="shared" ca="1" si="86"/>
        <v>0</v>
      </c>
      <c r="O208" s="1851">
        <f t="shared" ca="1" si="86"/>
        <v>0</v>
      </c>
      <c r="P208" s="1888">
        <f t="shared" ca="1" si="86"/>
        <v>0</v>
      </c>
      <c r="Q208" s="1888">
        <f t="shared" ca="1" si="86"/>
        <v>0</v>
      </c>
      <c r="R208" s="1888">
        <f t="shared" ca="1" si="86"/>
        <v>0</v>
      </c>
      <c r="S208" s="1888">
        <f t="shared" ca="1" si="86"/>
        <v>0</v>
      </c>
      <c r="T208" s="1888">
        <f t="shared" ca="1" si="86"/>
        <v>0</v>
      </c>
      <c r="U208" s="1888">
        <f t="shared" ca="1" si="86"/>
        <v>0</v>
      </c>
      <c r="V208" s="1888">
        <f t="shared" ca="1" si="86"/>
        <v>0</v>
      </c>
      <c r="W208" s="1888">
        <f t="shared" ca="1" si="86"/>
        <v>0</v>
      </c>
      <c r="X208" s="1868"/>
      <c r="Y208" s="1868"/>
      <c r="Z208" s="1868"/>
      <c r="AA208" s="1868"/>
      <c r="AB208" s="1868"/>
      <c r="AC208" s="1868"/>
      <c r="AD208" s="1868"/>
      <c r="AE208" s="1868"/>
      <c r="AF208" s="1868"/>
      <c r="AG208" s="1868"/>
      <c r="AH208" s="1868"/>
      <c r="AI208" s="1868"/>
      <c r="AJ208" s="1868"/>
      <c r="AK208" s="1868"/>
      <c r="AL208" s="1868"/>
      <c r="AM208" s="1868"/>
      <c r="AN208" s="1868"/>
      <c r="AO208" s="1868"/>
      <c r="AP208" s="1868"/>
      <c r="AQ208" s="1868"/>
      <c r="AR208" s="1868"/>
      <c r="AS208" s="1868"/>
      <c r="AT208" s="1868"/>
      <c r="AU208" s="1868"/>
      <c r="AV208" s="1868"/>
      <c r="AW208" s="1868"/>
      <c r="AX208" s="1868"/>
      <c r="AY208" s="1868"/>
      <c r="AZ208" s="1868"/>
      <c r="BA208" s="1868"/>
      <c r="BB208" s="1868"/>
      <c r="BC208" s="1868"/>
      <c r="BD208" s="1868"/>
      <c r="BE208" s="1868"/>
      <c r="BF208" s="1868"/>
      <c r="BG208" s="1868"/>
      <c r="BH208" s="1868"/>
      <c r="BI208" s="1868"/>
      <c r="BJ208" s="1868"/>
      <c r="BK208" s="1868"/>
      <c r="BL208" s="1868"/>
      <c r="BM208" s="1868"/>
      <c r="BN208" s="1868"/>
      <c r="BO208" s="1868"/>
      <c r="BP208" s="1862"/>
    </row>
    <row r="209" spans="1:68" ht="21">
      <c r="A209" s="1842"/>
      <c r="B209" s="1967"/>
      <c r="C209" s="1906"/>
      <c r="D209" s="1917"/>
      <c r="E209" s="1918" t="s">
        <v>1127</v>
      </c>
      <c r="F209" s="1863" t="s">
        <v>1005</v>
      </c>
      <c r="G209" s="1225" t="s">
        <v>1109</v>
      </c>
      <c r="H209" s="1867"/>
      <c r="I209" s="1867"/>
      <c r="J209" s="1867"/>
      <c r="K209" s="1867"/>
      <c r="L209" s="1851">
        <f t="shared" ref="L209:W209" ca="1" si="87">L99</f>
        <v>0</v>
      </c>
      <c r="M209" s="1851">
        <f t="shared" ca="1" si="87"/>
        <v>0</v>
      </c>
      <c r="N209" s="1851">
        <f t="shared" ca="1" si="87"/>
        <v>0</v>
      </c>
      <c r="O209" s="1851">
        <f t="shared" ca="1" si="87"/>
        <v>0</v>
      </c>
      <c r="P209" s="1888">
        <f t="shared" ca="1" si="87"/>
        <v>0</v>
      </c>
      <c r="Q209" s="1888">
        <f t="shared" ca="1" si="87"/>
        <v>0</v>
      </c>
      <c r="R209" s="1888">
        <f t="shared" ca="1" si="87"/>
        <v>0</v>
      </c>
      <c r="S209" s="1888">
        <f t="shared" ca="1" si="87"/>
        <v>0</v>
      </c>
      <c r="T209" s="1888">
        <f t="shared" ca="1" si="87"/>
        <v>0</v>
      </c>
      <c r="U209" s="1888">
        <f t="shared" ca="1" si="87"/>
        <v>0</v>
      </c>
      <c r="V209" s="1888">
        <f t="shared" ca="1" si="87"/>
        <v>0</v>
      </c>
      <c r="W209" s="1888">
        <f t="shared" ca="1" si="87"/>
        <v>0</v>
      </c>
      <c r="X209" s="1868"/>
      <c r="Y209" s="1868"/>
      <c r="Z209" s="1868"/>
      <c r="AA209" s="1868"/>
      <c r="AB209" s="1868"/>
      <c r="AC209" s="1868"/>
      <c r="AD209" s="1868"/>
      <c r="AE209" s="1868"/>
      <c r="AF209" s="1868"/>
      <c r="AG209" s="1868"/>
      <c r="AH209" s="1868"/>
      <c r="AI209" s="1868"/>
      <c r="AJ209" s="1868"/>
      <c r="AK209" s="1868"/>
      <c r="AL209" s="1868"/>
      <c r="AM209" s="1868"/>
      <c r="AN209" s="1868"/>
      <c r="AO209" s="1868"/>
      <c r="AP209" s="1868"/>
      <c r="AQ209" s="1868"/>
      <c r="AR209" s="1868"/>
      <c r="AS209" s="1868"/>
      <c r="AT209" s="1868"/>
      <c r="AU209" s="1868"/>
      <c r="AV209" s="1868"/>
      <c r="AW209" s="1868"/>
      <c r="AX209" s="1868"/>
      <c r="AY209" s="1868"/>
      <c r="AZ209" s="1868"/>
      <c r="BA209" s="1868"/>
      <c r="BB209" s="1868"/>
      <c r="BC209" s="1868"/>
      <c r="BD209" s="1868"/>
      <c r="BE209" s="1868"/>
      <c r="BF209" s="1868"/>
      <c r="BG209" s="1868"/>
      <c r="BH209" s="1868"/>
      <c r="BI209" s="1868"/>
      <c r="BJ209" s="1868"/>
      <c r="BK209" s="1868"/>
      <c r="BL209" s="1868"/>
      <c r="BM209" s="1868"/>
      <c r="BN209" s="1868"/>
      <c r="BO209" s="1868"/>
      <c r="BP209" s="1862"/>
    </row>
    <row r="210" spans="1:68" ht="21">
      <c r="A210" s="1842"/>
      <c r="B210" s="1967"/>
      <c r="C210" s="1906"/>
      <c r="D210" s="1919" t="s">
        <v>1128</v>
      </c>
      <c r="E210" s="1920" t="s">
        <v>1129</v>
      </c>
      <c r="F210" s="1914" t="s">
        <v>1147</v>
      </c>
      <c r="G210" s="1225" t="s">
        <v>1109</v>
      </c>
      <c r="H210" s="1867"/>
      <c r="I210" s="1867"/>
      <c r="J210" s="1867"/>
      <c r="K210" s="1867"/>
      <c r="L210" s="1851">
        <f t="shared" ref="L210:W210" ca="1" si="88">L100</f>
        <v>0</v>
      </c>
      <c r="M210" s="1851">
        <f t="shared" ca="1" si="88"/>
        <v>0</v>
      </c>
      <c r="N210" s="1851">
        <f t="shared" ca="1" si="88"/>
        <v>0</v>
      </c>
      <c r="O210" s="1851">
        <f t="shared" ca="1" si="88"/>
        <v>0</v>
      </c>
      <c r="P210" s="1888">
        <f t="shared" ca="1" si="88"/>
        <v>0</v>
      </c>
      <c r="Q210" s="1888">
        <f t="shared" ca="1" si="88"/>
        <v>0</v>
      </c>
      <c r="R210" s="1888">
        <f t="shared" ca="1" si="88"/>
        <v>0</v>
      </c>
      <c r="S210" s="1888">
        <f t="shared" ca="1" si="88"/>
        <v>0</v>
      </c>
      <c r="T210" s="1888">
        <f t="shared" ca="1" si="88"/>
        <v>0</v>
      </c>
      <c r="U210" s="1888">
        <f t="shared" ca="1" si="88"/>
        <v>0</v>
      </c>
      <c r="V210" s="1888">
        <f t="shared" ca="1" si="88"/>
        <v>0</v>
      </c>
      <c r="W210" s="1888">
        <f t="shared" ca="1" si="88"/>
        <v>0</v>
      </c>
      <c r="X210" s="1868"/>
      <c r="Y210" s="1868"/>
      <c r="Z210" s="1868"/>
      <c r="AA210" s="1868"/>
      <c r="AB210" s="1868"/>
      <c r="AC210" s="1868"/>
      <c r="AD210" s="1868"/>
      <c r="AE210" s="1868"/>
      <c r="AF210" s="1868"/>
      <c r="AG210" s="1868"/>
      <c r="AH210" s="1868"/>
      <c r="AI210" s="1868"/>
      <c r="AJ210" s="1868"/>
      <c r="AK210" s="1868"/>
      <c r="AL210" s="1868"/>
      <c r="AM210" s="1868"/>
      <c r="AN210" s="1868"/>
      <c r="AO210" s="1868"/>
      <c r="AP210" s="1868"/>
      <c r="AQ210" s="1868"/>
      <c r="AR210" s="1868"/>
      <c r="AS210" s="1868"/>
      <c r="AT210" s="1868"/>
      <c r="AU210" s="1868"/>
      <c r="AV210" s="1868"/>
      <c r="AW210" s="1868"/>
      <c r="AX210" s="1868"/>
      <c r="AY210" s="1868"/>
      <c r="AZ210" s="1868"/>
      <c r="BA210" s="1868"/>
      <c r="BB210" s="1868"/>
      <c r="BC210" s="1868"/>
      <c r="BD210" s="1868"/>
      <c r="BE210" s="1868"/>
      <c r="BF210" s="1868"/>
      <c r="BG210" s="1868"/>
      <c r="BH210" s="1868"/>
      <c r="BI210" s="1868"/>
      <c r="BJ210" s="1868"/>
      <c r="BK210" s="1868"/>
      <c r="BL210" s="1868"/>
      <c r="BM210" s="1868"/>
      <c r="BN210" s="1868"/>
      <c r="BO210" s="1868"/>
      <c r="BP210" s="1862"/>
    </row>
    <row r="211" spans="1:68">
      <c r="A211" s="1842"/>
      <c r="B211" s="1967"/>
      <c r="C211" s="1906"/>
      <c r="D211" s="1921"/>
      <c r="E211" s="1922"/>
      <c r="F211" s="1968"/>
      <c r="G211" s="984" t="s">
        <v>1125</v>
      </c>
      <c r="H211" s="1867"/>
      <c r="I211" s="1867"/>
      <c r="J211" s="1867"/>
      <c r="K211" s="1867"/>
      <c r="L211" s="1851">
        <f t="shared" ref="L211:W211" ca="1" si="89">L101</f>
        <v>0</v>
      </c>
      <c r="M211" s="1851">
        <f t="shared" ca="1" si="89"/>
        <v>0</v>
      </c>
      <c r="N211" s="1851">
        <f t="shared" ca="1" si="89"/>
        <v>0</v>
      </c>
      <c r="O211" s="1851">
        <f t="shared" ca="1" si="89"/>
        <v>0</v>
      </c>
      <c r="P211" s="1888">
        <f t="shared" ca="1" si="89"/>
        <v>0</v>
      </c>
      <c r="Q211" s="1888">
        <f t="shared" ca="1" si="89"/>
        <v>0</v>
      </c>
      <c r="R211" s="1888">
        <f t="shared" ca="1" si="89"/>
        <v>0</v>
      </c>
      <c r="S211" s="1888">
        <f t="shared" ca="1" si="89"/>
        <v>0</v>
      </c>
      <c r="T211" s="1888">
        <f t="shared" ca="1" si="89"/>
        <v>0</v>
      </c>
      <c r="U211" s="1888">
        <f t="shared" ca="1" si="89"/>
        <v>0</v>
      </c>
      <c r="V211" s="1888">
        <f t="shared" ca="1" si="89"/>
        <v>0</v>
      </c>
      <c r="W211" s="1888">
        <f t="shared" ca="1" si="89"/>
        <v>0</v>
      </c>
      <c r="X211" s="1868"/>
      <c r="Y211" s="1868"/>
      <c r="Z211" s="1868"/>
      <c r="AA211" s="1868"/>
      <c r="AB211" s="1868"/>
      <c r="AC211" s="1868"/>
      <c r="AD211" s="1868"/>
      <c r="AE211" s="1868"/>
      <c r="AF211" s="1868"/>
      <c r="AG211" s="1868"/>
      <c r="AH211" s="1868"/>
      <c r="AI211" s="1868"/>
      <c r="AJ211" s="1868"/>
      <c r="AK211" s="1868"/>
      <c r="AL211" s="1868"/>
      <c r="AM211" s="1868"/>
      <c r="AN211" s="1868"/>
      <c r="AO211" s="1868"/>
      <c r="AP211" s="1868"/>
      <c r="AQ211" s="1868"/>
      <c r="AR211" s="1868"/>
      <c r="AS211" s="1868"/>
      <c r="AT211" s="1868"/>
      <c r="AU211" s="1868"/>
      <c r="AV211" s="1868"/>
      <c r="AW211" s="1868"/>
      <c r="AX211" s="1868"/>
      <c r="AY211" s="1868"/>
      <c r="AZ211" s="1868"/>
      <c r="BA211" s="1868"/>
      <c r="BB211" s="1868"/>
      <c r="BC211" s="1868"/>
      <c r="BD211" s="1868"/>
      <c r="BE211" s="1868"/>
      <c r="BF211" s="1868"/>
      <c r="BG211" s="1868"/>
      <c r="BH211" s="1868"/>
      <c r="BI211" s="1868"/>
      <c r="BJ211" s="1868"/>
      <c r="BK211" s="1868"/>
      <c r="BL211" s="1868"/>
      <c r="BM211" s="1868"/>
      <c r="BN211" s="1868"/>
      <c r="BO211" s="1868"/>
      <c r="BP211" s="1862"/>
    </row>
    <row r="212" spans="1:68" ht="21" customHeight="1">
      <c r="A212" s="1842"/>
      <c r="B212" s="1967"/>
      <c r="C212" s="1906"/>
      <c r="D212" s="1921"/>
      <c r="E212" s="1923" t="s">
        <v>1130</v>
      </c>
      <c r="F212" s="1914" t="s">
        <v>1011</v>
      </c>
      <c r="G212" s="1225" t="s">
        <v>1109</v>
      </c>
      <c r="H212" s="1867"/>
      <c r="I212" s="1867"/>
      <c r="J212" s="1867"/>
      <c r="K212" s="1867"/>
      <c r="L212" s="1851">
        <f t="shared" ref="L212:W212" ca="1" si="90">L102</f>
        <v>0</v>
      </c>
      <c r="M212" s="1851">
        <f t="shared" ca="1" si="90"/>
        <v>0</v>
      </c>
      <c r="N212" s="1851">
        <f t="shared" ca="1" si="90"/>
        <v>0</v>
      </c>
      <c r="O212" s="1851">
        <f t="shared" ca="1" si="90"/>
        <v>0</v>
      </c>
      <c r="P212" s="1888">
        <f t="shared" ca="1" si="90"/>
        <v>0</v>
      </c>
      <c r="Q212" s="1888">
        <f t="shared" ca="1" si="90"/>
        <v>0</v>
      </c>
      <c r="R212" s="1888">
        <f t="shared" ca="1" si="90"/>
        <v>0</v>
      </c>
      <c r="S212" s="1888">
        <f t="shared" ca="1" si="90"/>
        <v>0</v>
      </c>
      <c r="T212" s="1888">
        <f t="shared" ca="1" si="90"/>
        <v>0</v>
      </c>
      <c r="U212" s="1888">
        <f t="shared" ca="1" si="90"/>
        <v>0</v>
      </c>
      <c r="V212" s="1888">
        <f t="shared" ca="1" si="90"/>
        <v>0</v>
      </c>
      <c r="W212" s="1888">
        <f t="shared" ca="1" si="90"/>
        <v>0</v>
      </c>
      <c r="X212" s="1868"/>
      <c r="Y212" s="1868"/>
      <c r="Z212" s="1868"/>
      <c r="AA212" s="1868"/>
      <c r="AB212" s="1868"/>
      <c r="AC212" s="1868"/>
      <c r="AD212" s="1868"/>
      <c r="AE212" s="1868"/>
      <c r="AF212" s="1868"/>
      <c r="AG212" s="1868"/>
      <c r="AH212" s="1868"/>
      <c r="AI212" s="1868"/>
      <c r="AJ212" s="1868"/>
      <c r="AK212" s="1868"/>
      <c r="AL212" s="1868"/>
      <c r="AM212" s="1868"/>
      <c r="AN212" s="1868"/>
      <c r="AO212" s="1868"/>
      <c r="AP212" s="1868"/>
      <c r="AQ212" s="1868"/>
      <c r="AR212" s="1868"/>
      <c r="AS212" s="1868"/>
      <c r="AT212" s="1868"/>
      <c r="AU212" s="1868"/>
      <c r="AV212" s="1868"/>
      <c r="AW212" s="1868"/>
      <c r="AX212" s="1868"/>
      <c r="AY212" s="1868"/>
      <c r="AZ212" s="1868"/>
      <c r="BA212" s="1868"/>
      <c r="BB212" s="1868"/>
      <c r="BC212" s="1868"/>
      <c r="BD212" s="1868"/>
      <c r="BE212" s="1868"/>
      <c r="BF212" s="1868"/>
      <c r="BG212" s="1868"/>
      <c r="BH212" s="1868"/>
      <c r="BI212" s="1868"/>
      <c r="BJ212" s="1868"/>
      <c r="BK212" s="1868"/>
      <c r="BL212" s="1868"/>
      <c r="BM212" s="1868"/>
      <c r="BN212" s="1868"/>
      <c r="BO212" s="1868"/>
      <c r="BP212" s="1862"/>
    </row>
    <row r="213" spans="1:68">
      <c r="A213" s="1842"/>
      <c r="B213" s="1967"/>
      <c r="C213" s="1906"/>
      <c r="D213" s="1924"/>
      <c r="E213" s="1925"/>
      <c r="F213" s="1968"/>
      <c r="G213" s="1225" t="s">
        <v>986</v>
      </c>
      <c r="H213" s="1867"/>
      <c r="I213" s="1867"/>
      <c r="J213" s="1867"/>
      <c r="K213" s="1867"/>
      <c r="L213" s="1851">
        <f t="shared" ref="L213:W213" ca="1" si="91">L103</f>
        <v>0</v>
      </c>
      <c r="M213" s="1851">
        <f t="shared" ca="1" si="91"/>
        <v>0</v>
      </c>
      <c r="N213" s="1851">
        <f t="shared" ca="1" si="91"/>
        <v>0</v>
      </c>
      <c r="O213" s="1851">
        <f t="shared" ca="1" si="91"/>
        <v>0</v>
      </c>
      <c r="P213" s="1888">
        <f t="shared" ca="1" si="91"/>
        <v>0</v>
      </c>
      <c r="Q213" s="1888">
        <f t="shared" ca="1" si="91"/>
        <v>0</v>
      </c>
      <c r="R213" s="1888">
        <f t="shared" ca="1" si="91"/>
        <v>0</v>
      </c>
      <c r="S213" s="1888">
        <f t="shared" ca="1" si="91"/>
        <v>0</v>
      </c>
      <c r="T213" s="1888">
        <f t="shared" ca="1" si="91"/>
        <v>0</v>
      </c>
      <c r="U213" s="1888">
        <f t="shared" ca="1" si="91"/>
        <v>0</v>
      </c>
      <c r="V213" s="1888">
        <f t="shared" ca="1" si="91"/>
        <v>0</v>
      </c>
      <c r="W213" s="1888">
        <f t="shared" ca="1" si="91"/>
        <v>0</v>
      </c>
      <c r="X213" s="1868"/>
      <c r="Y213" s="1868"/>
      <c r="Z213" s="1868"/>
      <c r="AA213" s="1868"/>
      <c r="AB213" s="1868"/>
      <c r="AC213" s="1868"/>
      <c r="AD213" s="1868"/>
      <c r="AE213" s="1868"/>
      <c r="AF213" s="1868"/>
      <c r="AG213" s="1868"/>
      <c r="AH213" s="1868"/>
      <c r="AI213" s="1868"/>
      <c r="AJ213" s="1868"/>
      <c r="AK213" s="1868"/>
      <c r="AL213" s="1868"/>
      <c r="AM213" s="1868"/>
      <c r="AN213" s="1868"/>
      <c r="AO213" s="1868"/>
      <c r="AP213" s="1868"/>
      <c r="AQ213" s="1868"/>
      <c r="AR213" s="1868"/>
      <c r="AS213" s="1868"/>
      <c r="AT213" s="1868"/>
      <c r="AU213" s="1868"/>
      <c r="AV213" s="1868"/>
      <c r="AW213" s="1868"/>
      <c r="AX213" s="1868"/>
      <c r="AY213" s="1868"/>
      <c r="AZ213" s="1868"/>
      <c r="BA213" s="1868"/>
      <c r="BB213" s="1868"/>
      <c r="BC213" s="1868"/>
      <c r="BD213" s="1868"/>
      <c r="BE213" s="1868"/>
      <c r="BF213" s="1868"/>
      <c r="BG213" s="1868"/>
      <c r="BH213" s="1868"/>
      <c r="BI213" s="1868"/>
      <c r="BJ213" s="1868"/>
      <c r="BK213" s="1868"/>
      <c r="BL213" s="1868"/>
      <c r="BM213" s="1868"/>
      <c r="BN213" s="1868"/>
      <c r="BO213" s="1868"/>
      <c r="BP213" s="1862"/>
    </row>
    <row r="214" spans="1:68" ht="21" customHeight="1">
      <c r="A214" s="1842"/>
      <c r="B214" s="1967"/>
      <c r="C214" s="1926"/>
      <c r="D214" s="1927" t="s">
        <v>1131</v>
      </c>
      <c r="E214" s="1928" t="str">
        <f ca="1">E104</f>
        <v/>
      </c>
      <c r="F214" s="1863" t="s">
        <v>1148</v>
      </c>
      <c r="G214" s="1225" t="s">
        <v>1109</v>
      </c>
      <c r="H214" s="1867"/>
      <c r="I214" s="1867"/>
      <c r="J214" s="1867"/>
      <c r="K214" s="1867"/>
      <c r="L214" s="1851">
        <f t="shared" ref="L214:W214" ca="1" si="92">L104</f>
        <v>0</v>
      </c>
      <c r="M214" s="1851">
        <f t="shared" ca="1" si="92"/>
        <v>0</v>
      </c>
      <c r="N214" s="1851">
        <f t="shared" ca="1" si="92"/>
        <v>0</v>
      </c>
      <c r="O214" s="1851">
        <f t="shared" ca="1" si="92"/>
        <v>0</v>
      </c>
      <c r="P214" s="1888">
        <f t="shared" ca="1" si="92"/>
        <v>0</v>
      </c>
      <c r="Q214" s="1888">
        <f t="shared" ca="1" si="92"/>
        <v>0</v>
      </c>
      <c r="R214" s="1888">
        <f t="shared" ca="1" si="92"/>
        <v>0</v>
      </c>
      <c r="S214" s="1888">
        <f t="shared" ca="1" si="92"/>
        <v>0</v>
      </c>
      <c r="T214" s="1888">
        <f t="shared" ca="1" si="92"/>
        <v>0</v>
      </c>
      <c r="U214" s="1888">
        <f t="shared" ca="1" si="92"/>
        <v>0</v>
      </c>
      <c r="V214" s="1888">
        <f t="shared" ca="1" si="92"/>
        <v>0</v>
      </c>
      <c r="W214" s="1888">
        <f t="shared" ca="1" si="92"/>
        <v>0</v>
      </c>
      <c r="X214" s="1868"/>
      <c r="Y214" s="1868"/>
      <c r="Z214" s="1868"/>
      <c r="AA214" s="1868"/>
      <c r="AB214" s="1868"/>
      <c r="AC214" s="1868"/>
      <c r="AD214" s="1868"/>
      <c r="AE214" s="1868"/>
      <c r="AF214" s="1868"/>
      <c r="AG214" s="1868"/>
      <c r="AH214" s="1868"/>
      <c r="AI214" s="1868"/>
      <c r="AJ214" s="1868"/>
      <c r="AK214" s="1868"/>
      <c r="AL214" s="1868"/>
      <c r="AM214" s="1868"/>
      <c r="AN214" s="1868"/>
      <c r="AO214" s="1868"/>
      <c r="AP214" s="1868"/>
      <c r="AQ214" s="1868"/>
      <c r="AR214" s="1868"/>
      <c r="AS214" s="1868"/>
      <c r="AT214" s="1868"/>
      <c r="AU214" s="1868"/>
      <c r="AV214" s="1868"/>
      <c r="AW214" s="1868"/>
      <c r="AX214" s="1868"/>
      <c r="AY214" s="1868"/>
      <c r="AZ214" s="1868"/>
      <c r="BA214" s="1868"/>
      <c r="BB214" s="1868"/>
      <c r="BC214" s="1868"/>
      <c r="BD214" s="1868"/>
      <c r="BE214" s="1868"/>
      <c r="BF214" s="1868"/>
      <c r="BG214" s="1868"/>
      <c r="BH214" s="1868"/>
      <c r="BI214" s="1868"/>
      <c r="BJ214" s="1868"/>
      <c r="BK214" s="1868"/>
      <c r="BL214" s="1868"/>
      <c r="BM214" s="1868"/>
      <c r="BN214" s="1868"/>
      <c r="BO214" s="1868"/>
      <c r="BP214" s="1862"/>
    </row>
    <row r="215" spans="1:68" ht="21">
      <c r="A215" s="1842"/>
      <c r="B215" s="1967"/>
      <c r="C215" s="1929" t="s">
        <v>1132</v>
      </c>
      <c r="D215" s="1930"/>
      <c r="E215" s="1930"/>
      <c r="F215" s="1863" t="s">
        <v>1149</v>
      </c>
      <c r="G215" s="1225" t="s">
        <v>1109</v>
      </c>
      <c r="H215" s="1867"/>
      <c r="I215" s="1867"/>
      <c r="J215" s="1867"/>
      <c r="K215" s="1867"/>
      <c r="L215" s="1851">
        <f t="shared" ref="L215:W215" ca="1" si="93">L105</f>
        <v>0</v>
      </c>
      <c r="M215" s="1851">
        <f t="shared" ca="1" si="93"/>
        <v>0</v>
      </c>
      <c r="N215" s="1851">
        <f t="shared" ca="1" si="93"/>
        <v>0</v>
      </c>
      <c r="O215" s="1851">
        <f t="shared" ca="1" si="93"/>
        <v>0</v>
      </c>
      <c r="P215" s="1888">
        <f t="shared" ca="1" si="93"/>
        <v>0</v>
      </c>
      <c r="Q215" s="1888">
        <f t="shared" ca="1" si="93"/>
        <v>0</v>
      </c>
      <c r="R215" s="1888">
        <f t="shared" ca="1" si="93"/>
        <v>0</v>
      </c>
      <c r="S215" s="1888">
        <f t="shared" ca="1" si="93"/>
        <v>0</v>
      </c>
      <c r="T215" s="1888">
        <f t="shared" ca="1" si="93"/>
        <v>0</v>
      </c>
      <c r="U215" s="1888">
        <f t="shared" ca="1" si="93"/>
        <v>0</v>
      </c>
      <c r="V215" s="1888">
        <f t="shared" ca="1" si="93"/>
        <v>0</v>
      </c>
      <c r="W215" s="1888">
        <f t="shared" ca="1" si="93"/>
        <v>0</v>
      </c>
      <c r="X215" s="1868"/>
      <c r="Y215" s="1868"/>
      <c r="Z215" s="1868"/>
      <c r="AA215" s="1868"/>
      <c r="AB215" s="1868"/>
      <c r="AC215" s="1868"/>
      <c r="AD215" s="1868"/>
      <c r="AE215" s="1868"/>
      <c r="AF215" s="1868"/>
      <c r="AG215" s="1868"/>
      <c r="AH215" s="1868"/>
      <c r="AI215" s="1868"/>
      <c r="AJ215" s="1868"/>
      <c r="AK215" s="1868"/>
      <c r="AL215" s="1868"/>
      <c r="AM215" s="1868"/>
      <c r="AN215" s="1868"/>
      <c r="AO215" s="1868"/>
      <c r="AP215" s="1868"/>
      <c r="AQ215" s="1868"/>
      <c r="AR215" s="1868"/>
      <c r="AS215" s="1868"/>
      <c r="AT215" s="1868"/>
      <c r="AU215" s="1868"/>
      <c r="AV215" s="1868"/>
      <c r="AW215" s="1868"/>
      <c r="AX215" s="1868"/>
      <c r="AY215" s="1868"/>
      <c r="AZ215" s="1868"/>
      <c r="BA215" s="1868"/>
      <c r="BB215" s="1868"/>
      <c r="BC215" s="1868"/>
      <c r="BD215" s="1868"/>
      <c r="BE215" s="1868"/>
      <c r="BF215" s="1868"/>
      <c r="BG215" s="1868"/>
      <c r="BH215" s="1868"/>
      <c r="BI215" s="1868"/>
      <c r="BJ215" s="1868"/>
      <c r="BK215" s="1868"/>
      <c r="BL215" s="1868"/>
      <c r="BM215" s="1868"/>
      <c r="BN215" s="1868"/>
      <c r="BO215" s="1868"/>
      <c r="BP215" s="1862"/>
    </row>
    <row r="216" spans="1:68" ht="21" customHeight="1">
      <c r="A216" s="1842"/>
      <c r="B216" s="1967"/>
      <c r="C216" s="1934" t="s">
        <v>1134</v>
      </c>
      <c r="D216" s="1919" t="s">
        <v>589</v>
      </c>
      <c r="E216" s="1899" t="s">
        <v>1136</v>
      </c>
      <c r="F216" s="1863" t="s">
        <v>1150</v>
      </c>
      <c r="G216" s="1225" t="s">
        <v>1125</v>
      </c>
      <c r="H216" s="1867"/>
      <c r="I216" s="1867"/>
      <c r="J216" s="1867"/>
      <c r="K216" s="1867"/>
      <c r="L216" s="1851">
        <f t="shared" ref="L216:W216" ca="1" si="94">L106</f>
        <v>0</v>
      </c>
      <c r="M216" s="1851">
        <f t="shared" ca="1" si="94"/>
        <v>0</v>
      </c>
      <c r="N216" s="1851">
        <f t="shared" ca="1" si="94"/>
        <v>0</v>
      </c>
      <c r="O216" s="1851">
        <f t="shared" ca="1" si="94"/>
        <v>0</v>
      </c>
      <c r="P216" s="1888">
        <f t="shared" ca="1" si="94"/>
        <v>0</v>
      </c>
      <c r="Q216" s="1888">
        <f t="shared" ca="1" si="94"/>
        <v>0</v>
      </c>
      <c r="R216" s="1888">
        <f t="shared" ca="1" si="94"/>
        <v>0</v>
      </c>
      <c r="S216" s="1888">
        <f t="shared" ca="1" si="94"/>
        <v>0</v>
      </c>
      <c r="T216" s="1888">
        <f t="shared" ca="1" si="94"/>
        <v>0</v>
      </c>
      <c r="U216" s="1888">
        <f t="shared" ca="1" si="94"/>
        <v>0</v>
      </c>
      <c r="V216" s="1888">
        <f t="shared" ca="1" si="94"/>
        <v>0</v>
      </c>
      <c r="W216" s="1888">
        <f t="shared" ca="1" si="94"/>
        <v>0</v>
      </c>
      <c r="X216" s="1868"/>
      <c r="Y216" s="1868"/>
      <c r="Z216" s="1868"/>
      <c r="AA216" s="1868"/>
      <c r="AB216" s="1868"/>
      <c r="AC216" s="1868"/>
      <c r="AD216" s="1868"/>
      <c r="AE216" s="1868"/>
      <c r="AF216" s="1868"/>
      <c r="AG216" s="1868"/>
      <c r="AH216" s="1868"/>
      <c r="AI216" s="1868"/>
      <c r="AJ216" s="1868"/>
      <c r="AK216" s="1868"/>
      <c r="AL216" s="1868"/>
      <c r="AM216" s="1868"/>
      <c r="AN216" s="1868"/>
      <c r="AO216" s="1868"/>
      <c r="AP216" s="1868"/>
      <c r="AQ216" s="1868"/>
      <c r="AR216" s="1868"/>
      <c r="AS216" s="1868"/>
      <c r="AT216" s="1868"/>
      <c r="AU216" s="1868"/>
      <c r="AV216" s="1868"/>
      <c r="AW216" s="1868"/>
      <c r="AX216" s="1868"/>
      <c r="AY216" s="1868"/>
      <c r="AZ216" s="1868"/>
      <c r="BA216" s="1868"/>
      <c r="BB216" s="1868"/>
      <c r="BC216" s="1868"/>
      <c r="BD216" s="1868"/>
      <c r="BE216" s="1868"/>
      <c r="BF216" s="1868"/>
      <c r="BG216" s="1868"/>
      <c r="BH216" s="1868"/>
      <c r="BI216" s="1868"/>
      <c r="BJ216" s="1868"/>
      <c r="BK216" s="1868"/>
      <c r="BL216" s="1868"/>
      <c r="BM216" s="1868"/>
      <c r="BN216" s="1868"/>
      <c r="BO216" s="1868"/>
      <c r="BP216" s="1862"/>
    </row>
    <row r="217" spans="1:68" ht="21">
      <c r="A217" s="1842"/>
      <c r="B217" s="1967"/>
      <c r="C217" s="1936"/>
      <c r="D217" s="1924"/>
      <c r="E217" s="1899" t="s">
        <v>1137</v>
      </c>
      <c r="F217" s="1863"/>
      <c r="G217" s="1225" t="s">
        <v>1109</v>
      </c>
      <c r="H217" s="1867"/>
      <c r="I217" s="1867"/>
      <c r="J217" s="1867"/>
      <c r="K217" s="1867"/>
      <c r="L217" s="1851">
        <f t="shared" ref="L217:W217" ca="1" si="95">L107</f>
        <v>0</v>
      </c>
      <c r="M217" s="1851">
        <f t="shared" ca="1" si="95"/>
        <v>0</v>
      </c>
      <c r="N217" s="1851">
        <f t="shared" ca="1" si="95"/>
        <v>0</v>
      </c>
      <c r="O217" s="1851">
        <f t="shared" ca="1" si="95"/>
        <v>0</v>
      </c>
      <c r="P217" s="1888">
        <f t="shared" ca="1" si="95"/>
        <v>0</v>
      </c>
      <c r="Q217" s="1888">
        <f t="shared" ca="1" si="95"/>
        <v>0</v>
      </c>
      <c r="R217" s="1888">
        <f t="shared" ca="1" si="95"/>
        <v>0</v>
      </c>
      <c r="S217" s="1888">
        <f t="shared" ca="1" si="95"/>
        <v>0</v>
      </c>
      <c r="T217" s="1888">
        <f t="shared" ca="1" si="95"/>
        <v>0</v>
      </c>
      <c r="U217" s="1888">
        <f t="shared" ca="1" si="95"/>
        <v>0</v>
      </c>
      <c r="V217" s="1888">
        <f t="shared" ca="1" si="95"/>
        <v>0</v>
      </c>
      <c r="W217" s="1888">
        <f t="shared" ca="1" si="95"/>
        <v>0</v>
      </c>
      <c r="X217" s="1868"/>
      <c r="Y217" s="1868"/>
      <c r="Z217" s="1868"/>
      <c r="AA217" s="1868"/>
      <c r="AB217" s="1868"/>
      <c r="AC217" s="1868"/>
      <c r="AD217" s="1868"/>
      <c r="AE217" s="1868"/>
      <c r="AF217" s="1868"/>
      <c r="AG217" s="1868"/>
      <c r="AH217" s="1868"/>
      <c r="AI217" s="1868"/>
      <c r="AJ217" s="1868"/>
      <c r="AK217" s="1868"/>
      <c r="AL217" s="1868"/>
      <c r="AM217" s="1868"/>
      <c r="AN217" s="1868"/>
      <c r="AO217" s="1868"/>
      <c r="AP217" s="1868"/>
      <c r="AQ217" s="1868"/>
      <c r="AR217" s="1868"/>
      <c r="AS217" s="1868"/>
      <c r="AT217" s="1868"/>
      <c r="AU217" s="1868"/>
      <c r="AV217" s="1868"/>
      <c r="AW217" s="1868"/>
      <c r="AX217" s="1868"/>
      <c r="AY217" s="1868"/>
      <c r="AZ217" s="1868"/>
      <c r="BA217" s="1868"/>
      <c r="BB217" s="1868"/>
      <c r="BC217" s="1868"/>
      <c r="BD217" s="1868"/>
      <c r="BE217" s="1868"/>
      <c r="BF217" s="1868"/>
      <c r="BG217" s="1868"/>
      <c r="BH217" s="1868"/>
      <c r="BI217" s="1868"/>
      <c r="BJ217" s="1868"/>
      <c r="BK217" s="1868"/>
      <c r="BL217" s="1868"/>
      <c r="BM217" s="1868"/>
      <c r="BN217" s="1868"/>
      <c r="BO217" s="1868"/>
      <c r="BP217" s="1862"/>
    </row>
    <row r="218" spans="1:68">
      <c r="A218" s="1842"/>
      <c r="B218" s="1967"/>
      <c r="C218" s="1936"/>
      <c r="D218" s="1919" t="s">
        <v>1151</v>
      </c>
      <c r="E218" s="1899" t="s">
        <v>1136</v>
      </c>
      <c r="F218" s="1863" t="s">
        <v>1152</v>
      </c>
      <c r="G218" s="1225" t="s">
        <v>1125</v>
      </c>
      <c r="H218" s="1867"/>
      <c r="I218" s="1867"/>
      <c r="J218" s="1867"/>
      <c r="K218" s="1867"/>
      <c r="L218" s="1851">
        <f t="shared" ref="L218:W218" ca="1" si="96">L108</f>
        <v>0</v>
      </c>
      <c r="M218" s="1851">
        <f t="shared" ca="1" si="96"/>
        <v>0</v>
      </c>
      <c r="N218" s="1851">
        <f t="shared" ca="1" si="96"/>
        <v>0</v>
      </c>
      <c r="O218" s="1851">
        <f t="shared" ca="1" si="96"/>
        <v>0</v>
      </c>
      <c r="P218" s="1888">
        <f t="shared" ca="1" si="96"/>
        <v>0</v>
      </c>
      <c r="Q218" s="1888">
        <f t="shared" ca="1" si="96"/>
        <v>0</v>
      </c>
      <c r="R218" s="1888">
        <f t="shared" ca="1" si="96"/>
        <v>0</v>
      </c>
      <c r="S218" s="1888">
        <f t="shared" ca="1" si="96"/>
        <v>0</v>
      </c>
      <c r="T218" s="1888">
        <f t="shared" ca="1" si="96"/>
        <v>0</v>
      </c>
      <c r="U218" s="1888">
        <f t="shared" ca="1" si="96"/>
        <v>0</v>
      </c>
      <c r="V218" s="1888">
        <f t="shared" ca="1" si="96"/>
        <v>0</v>
      </c>
      <c r="W218" s="1888">
        <f t="shared" ca="1" si="96"/>
        <v>0</v>
      </c>
      <c r="X218" s="1868"/>
      <c r="Y218" s="1868"/>
      <c r="Z218" s="1868"/>
      <c r="AA218" s="1868"/>
      <c r="AB218" s="1868"/>
      <c r="AC218" s="1868"/>
      <c r="AD218" s="1868"/>
      <c r="AE218" s="1868"/>
      <c r="AF218" s="1868"/>
      <c r="AG218" s="1868"/>
      <c r="AH218" s="1868"/>
      <c r="AI218" s="1868"/>
      <c r="AJ218" s="1868"/>
      <c r="AK218" s="1868"/>
      <c r="AL218" s="1868"/>
      <c r="AM218" s="1868"/>
      <c r="AN218" s="1868"/>
      <c r="AO218" s="1868"/>
      <c r="AP218" s="1868"/>
      <c r="AQ218" s="1868"/>
      <c r="AR218" s="1868"/>
      <c r="AS218" s="1868"/>
      <c r="AT218" s="1868"/>
      <c r="AU218" s="1868"/>
      <c r="AV218" s="1868"/>
      <c r="AW218" s="1868"/>
      <c r="AX218" s="1868"/>
      <c r="AY218" s="1868"/>
      <c r="AZ218" s="1868"/>
      <c r="BA218" s="1868"/>
      <c r="BB218" s="1868"/>
      <c r="BC218" s="1868"/>
      <c r="BD218" s="1868"/>
      <c r="BE218" s="1868"/>
      <c r="BF218" s="1868"/>
      <c r="BG218" s="1868"/>
      <c r="BH218" s="1868"/>
      <c r="BI218" s="1868"/>
      <c r="BJ218" s="1868"/>
      <c r="BK218" s="1868"/>
      <c r="BL218" s="1868"/>
      <c r="BM218" s="1868"/>
      <c r="BN218" s="1868"/>
      <c r="BO218" s="1868"/>
      <c r="BP218" s="1862"/>
    </row>
    <row r="219" spans="1:68" ht="15.75" customHeight="1">
      <c r="A219" s="1842"/>
      <c r="B219" s="1967"/>
      <c r="C219" s="1936"/>
      <c r="D219" s="1924"/>
      <c r="E219" s="1899" t="s">
        <v>1137</v>
      </c>
      <c r="F219" s="1863"/>
      <c r="G219" s="1225" t="s">
        <v>1109</v>
      </c>
      <c r="H219" s="1867"/>
      <c r="I219" s="1867"/>
      <c r="J219" s="1867"/>
      <c r="K219" s="1867"/>
      <c r="L219" s="1851">
        <f t="shared" ref="L219:W219" ca="1" si="97">L109</f>
        <v>0</v>
      </c>
      <c r="M219" s="1851">
        <f t="shared" ca="1" si="97"/>
        <v>0</v>
      </c>
      <c r="N219" s="1851">
        <f t="shared" ca="1" si="97"/>
        <v>0</v>
      </c>
      <c r="O219" s="1851">
        <f t="shared" ca="1" si="97"/>
        <v>0</v>
      </c>
      <c r="P219" s="1888">
        <f t="shared" ca="1" si="97"/>
        <v>0</v>
      </c>
      <c r="Q219" s="1888">
        <f t="shared" ca="1" si="97"/>
        <v>0</v>
      </c>
      <c r="R219" s="1888">
        <f t="shared" ca="1" si="97"/>
        <v>0</v>
      </c>
      <c r="S219" s="1888">
        <f t="shared" ca="1" si="97"/>
        <v>0</v>
      </c>
      <c r="T219" s="1888">
        <f t="shared" ca="1" si="97"/>
        <v>0</v>
      </c>
      <c r="U219" s="1888">
        <f t="shared" ca="1" si="97"/>
        <v>0</v>
      </c>
      <c r="V219" s="1888">
        <f t="shared" ca="1" si="97"/>
        <v>0</v>
      </c>
      <c r="W219" s="1888">
        <f t="shared" ca="1" si="97"/>
        <v>0</v>
      </c>
      <c r="X219" s="1868"/>
      <c r="Y219" s="1868"/>
      <c r="Z219" s="1868"/>
      <c r="AA219" s="1868"/>
      <c r="AB219" s="1868"/>
      <c r="AC219" s="1868"/>
      <c r="AD219" s="1868"/>
      <c r="AE219" s="1868"/>
      <c r="AF219" s="1868"/>
      <c r="AG219" s="1868"/>
      <c r="AH219" s="1868"/>
      <c r="AI219" s="1868"/>
      <c r="AJ219" s="1868"/>
      <c r="AK219" s="1868"/>
      <c r="AL219" s="1868"/>
      <c r="AM219" s="1868"/>
      <c r="AN219" s="1868"/>
      <c r="AO219" s="1868"/>
      <c r="AP219" s="1868"/>
      <c r="AQ219" s="1868"/>
      <c r="AR219" s="1868"/>
      <c r="AS219" s="1868"/>
      <c r="AT219" s="1868"/>
      <c r="AU219" s="1868"/>
      <c r="AV219" s="1868"/>
      <c r="AW219" s="1868"/>
      <c r="AX219" s="1868"/>
      <c r="AY219" s="1868"/>
      <c r="AZ219" s="1868"/>
      <c r="BA219" s="1868"/>
      <c r="BB219" s="1868"/>
      <c r="BC219" s="1868"/>
      <c r="BD219" s="1868"/>
      <c r="BE219" s="1868"/>
      <c r="BF219" s="1868"/>
      <c r="BG219" s="1868"/>
      <c r="BH219" s="1868"/>
      <c r="BI219" s="1868"/>
      <c r="BJ219" s="1868"/>
      <c r="BK219" s="1868"/>
      <c r="BL219" s="1868"/>
      <c r="BM219" s="1868"/>
      <c r="BN219" s="1868"/>
      <c r="BO219" s="1868"/>
      <c r="BP219" s="1862"/>
    </row>
    <row r="220" spans="1:68" ht="15.75" customHeight="1">
      <c r="A220" s="1842"/>
      <c r="B220" s="1967"/>
      <c r="C220" s="1936"/>
      <c r="D220" s="1919" t="s">
        <v>1153</v>
      </c>
      <c r="E220" s="1899" t="s">
        <v>1136</v>
      </c>
      <c r="F220" s="1863" t="s">
        <v>1154</v>
      </c>
      <c r="G220" s="1225" t="s">
        <v>1125</v>
      </c>
      <c r="H220" s="1867"/>
      <c r="I220" s="1867"/>
      <c r="J220" s="1867"/>
      <c r="K220" s="1867"/>
      <c r="L220" s="1851">
        <f t="shared" ref="L220:W220" ca="1" si="98">L110</f>
        <v>0</v>
      </c>
      <c r="M220" s="1851">
        <f t="shared" ca="1" si="98"/>
        <v>0</v>
      </c>
      <c r="N220" s="1851">
        <f t="shared" ca="1" si="98"/>
        <v>0</v>
      </c>
      <c r="O220" s="1851">
        <f t="shared" ca="1" si="98"/>
        <v>0</v>
      </c>
      <c r="P220" s="1888">
        <f t="shared" ca="1" si="98"/>
        <v>0</v>
      </c>
      <c r="Q220" s="1888">
        <f t="shared" ca="1" si="98"/>
        <v>0</v>
      </c>
      <c r="R220" s="1888">
        <f t="shared" ca="1" si="98"/>
        <v>0</v>
      </c>
      <c r="S220" s="1888">
        <f t="shared" ca="1" si="98"/>
        <v>0</v>
      </c>
      <c r="T220" s="1888">
        <f t="shared" ca="1" si="98"/>
        <v>0</v>
      </c>
      <c r="U220" s="1888">
        <f t="shared" ca="1" si="98"/>
        <v>0</v>
      </c>
      <c r="V220" s="1888">
        <f t="shared" ca="1" si="98"/>
        <v>0</v>
      </c>
      <c r="W220" s="1888">
        <f t="shared" ca="1" si="98"/>
        <v>0</v>
      </c>
      <c r="X220" s="1868"/>
      <c r="Y220" s="1868"/>
      <c r="Z220" s="1868"/>
      <c r="AA220" s="1868"/>
      <c r="AB220" s="1868"/>
      <c r="AC220" s="1868"/>
      <c r="AD220" s="1868"/>
      <c r="AE220" s="1868"/>
      <c r="AF220" s="1868"/>
      <c r="AG220" s="1868"/>
      <c r="AH220" s="1868"/>
      <c r="AI220" s="1868"/>
      <c r="AJ220" s="1868"/>
      <c r="AK220" s="1868"/>
      <c r="AL220" s="1868"/>
      <c r="AM220" s="1868"/>
      <c r="AN220" s="1868"/>
      <c r="AO220" s="1868"/>
      <c r="AP220" s="1868"/>
      <c r="AQ220" s="1868"/>
      <c r="AR220" s="1868"/>
      <c r="AS220" s="1868"/>
      <c r="AT220" s="1868"/>
      <c r="AU220" s="1868"/>
      <c r="AV220" s="1868"/>
      <c r="AW220" s="1868"/>
      <c r="AX220" s="1868"/>
      <c r="AY220" s="1868"/>
      <c r="AZ220" s="1868"/>
      <c r="BA220" s="1868"/>
      <c r="BB220" s="1868"/>
      <c r="BC220" s="1868"/>
      <c r="BD220" s="1868"/>
      <c r="BE220" s="1868"/>
      <c r="BF220" s="1868"/>
      <c r="BG220" s="1868"/>
      <c r="BH220" s="1868"/>
      <c r="BI220" s="1868"/>
      <c r="BJ220" s="1868"/>
      <c r="BK220" s="1868"/>
      <c r="BL220" s="1868"/>
      <c r="BM220" s="1868"/>
      <c r="BN220" s="1868"/>
      <c r="BO220" s="1868"/>
      <c r="BP220" s="1862"/>
    </row>
    <row r="221" spans="1:68" ht="15.75" customHeight="1">
      <c r="A221" s="1842"/>
      <c r="B221" s="1967"/>
      <c r="C221" s="1936"/>
      <c r="D221" s="1924"/>
      <c r="E221" s="1899" t="s">
        <v>1137</v>
      </c>
      <c r="F221" s="1863"/>
      <c r="G221" s="1225" t="s">
        <v>1109</v>
      </c>
      <c r="H221" s="1867"/>
      <c r="I221" s="1867"/>
      <c r="J221" s="1867"/>
      <c r="K221" s="1867"/>
      <c r="L221" s="1851">
        <f t="shared" ref="L221:W221" ca="1" si="99">L111</f>
        <v>0</v>
      </c>
      <c r="M221" s="1851">
        <f t="shared" ca="1" si="99"/>
        <v>0</v>
      </c>
      <c r="N221" s="1851">
        <f t="shared" ca="1" si="99"/>
        <v>0</v>
      </c>
      <c r="O221" s="1851">
        <f t="shared" ca="1" si="99"/>
        <v>0</v>
      </c>
      <c r="P221" s="1888">
        <f t="shared" ca="1" si="99"/>
        <v>0</v>
      </c>
      <c r="Q221" s="1888">
        <f t="shared" ca="1" si="99"/>
        <v>0</v>
      </c>
      <c r="R221" s="1888">
        <f t="shared" ca="1" si="99"/>
        <v>0</v>
      </c>
      <c r="S221" s="1888">
        <f t="shared" ca="1" si="99"/>
        <v>0</v>
      </c>
      <c r="T221" s="1888">
        <f t="shared" ca="1" si="99"/>
        <v>0</v>
      </c>
      <c r="U221" s="1888">
        <f t="shared" ca="1" si="99"/>
        <v>0</v>
      </c>
      <c r="V221" s="1888">
        <f t="shared" ca="1" si="99"/>
        <v>0</v>
      </c>
      <c r="W221" s="1888">
        <f t="shared" ca="1" si="99"/>
        <v>0</v>
      </c>
      <c r="X221" s="1868"/>
      <c r="Y221" s="1868"/>
      <c r="Z221" s="1868"/>
      <c r="AA221" s="1868"/>
      <c r="AB221" s="1868"/>
      <c r="AC221" s="1868"/>
      <c r="AD221" s="1868"/>
      <c r="AE221" s="1868"/>
      <c r="AF221" s="1868"/>
      <c r="AG221" s="1868"/>
      <c r="AH221" s="1868"/>
      <c r="AI221" s="1868"/>
      <c r="AJ221" s="1868"/>
      <c r="AK221" s="1868"/>
      <c r="AL221" s="1868"/>
      <c r="AM221" s="1868"/>
      <c r="AN221" s="1868"/>
      <c r="AO221" s="1868"/>
      <c r="AP221" s="1868"/>
      <c r="AQ221" s="1868"/>
      <c r="AR221" s="1868"/>
      <c r="AS221" s="1868"/>
      <c r="AT221" s="1868"/>
      <c r="AU221" s="1868"/>
      <c r="AV221" s="1868"/>
      <c r="AW221" s="1868"/>
      <c r="AX221" s="1868"/>
      <c r="AY221" s="1868"/>
      <c r="AZ221" s="1868"/>
      <c r="BA221" s="1868"/>
      <c r="BB221" s="1868"/>
      <c r="BC221" s="1868"/>
      <c r="BD221" s="1868"/>
      <c r="BE221" s="1868"/>
      <c r="BF221" s="1868"/>
      <c r="BG221" s="1868"/>
      <c r="BH221" s="1868"/>
      <c r="BI221" s="1868"/>
      <c r="BJ221" s="1868"/>
      <c r="BK221" s="1868"/>
      <c r="BL221" s="1868"/>
      <c r="BM221" s="1868"/>
      <c r="BN221" s="1868"/>
      <c r="BO221" s="1868"/>
      <c r="BP221" s="1862"/>
    </row>
    <row r="222" spans="1:68" ht="15.75" customHeight="1">
      <c r="A222" s="1842"/>
      <c r="B222" s="1967"/>
      <c r="C222" s="1936"/>
      <c r="D222" s="1939" t="s">
        <v>992</v>
      </c>
      <c r="E222" s="1899" t="s">
        <v>1136</v>
      </c>
      <c r="F222" s="1863" t="s">
        <v>1155</v>
      </c>
      <c r="G222" s="1225" t="s">
        <v>1125</v>
      </c>
      <c r="H222" s="1867"/>
      <c r="I222" s="1867"/>
      <c r="J222" s="1867"/>
      <c r="K222" s="1867"/>
      <c r="L222" s="1851">
        <f t="shared" ref="L222:W222" ca="1" si="100">L112</f>
        <v>0</v>
      </c>
      <c r="M222" s="1851">
        <f t="shared" ca="1" si="100"/>
        <v>0</v>
      </c>
      <c r="N222" s="1851">
        <f t="shared" ca="1" si="100"/>
        <v>0</v>
      </c>
      <c r="O222" s="1851">
        <f t="shared" ca="1" si="100"/>
        <v>0</v>
      </c>
      <c r="P222" s="1888">
        <f t="shared" ca="1" si="100"/>
        <v>0</v>
      </c>
      <c r="Q222" s="1888">
        <f t="shared" ca="1" si="100"/>
        <v>0</v>
      </c>
      <c r="R222" s="1888">
        <f t="shared" ca="1" si="100"/>
        <v>0</v>
      </c>
      <c r="S222" s="1888">
        <f t="shared" ca="1" si="100"/>
        <v>0</v>
      </c>
      <c r="T222" s="1888">
        <f t="shared" ca="1" si="100"/>
        <v>0</v>
      </c>
      <c r="U222" s="1888">
        <f t="shared" ca="1" si="100"/>
        <v>0</v>
      </c>
      <c r="V222" s="1888">
        <f t="shared" ca="1" si="100"/>
        <v>0</v>
      </c>
      <c r="W222" s="1888">
        <f t="shared" ca="1" si="100"/>
        <v>0</v>
      </c>
      <c r="X222" s="1868"/>
      <c r="Y222" s="1868"/>
      <c r="Z222" s="1868"/>
      <c r="AA222" s="1868"/>
      <c r="AB222" s="1868"/>
      <c r="AC222" s="1868"/>
      <c r="AD222" s="1868"/>
      <c r="AE222" s="1868"/>
      <c r="AF222" s="1868"/>
      <c r="AG222" s="1868"/>
      <c r="AH222" s="1868"/>
      <c r="AI222" s="1868"/>
      <c r="AJ222" s="1868"/>
      <c r="AK222" s="1868"/>
      <c r="AL222" s="1868"/>
      <c r="AM222" s="1868"/>
      <c r="AN222" s="1868"/>
      <c r="AO222" s="1868"/>
      <c r="AP222" s="1868"/>
      <c r="AQ222" s="1868"/>
      <c r="AR222" s="1868"/>
      <c r="AS222" s="1868"/>
      <c r="AT222" s="1868"/>
      <c r="AU222" s="1868"/>
      <c r="AV222" s="1868"/>
      <c r="AW222" s="1868"/>
      <c r="AX222" s="1868"/>
      <c r="AY222" s="1868"/>
      <c r="AZ222" s="1868"/>
      <c r="BA222" s="1868"/>
      <c r="BB222" s="1868"/>
      <c r="BC222" s="1868"/>
      <c r="BD222" s="1868"/>
      <c r="BE222" s="1868"/>
      <c r="BF222" s="1868"/>
      <c r="BG222" s="1868"/>
      <c r="BH222" s="1868"/>
      <c r="BI222" s="1868"/>
      <c r="BJ222" s="1868"/>
      <c r="BK222" s="1868"/>
      <c r="BL222" s="1868"/>
      <c r="BM222" s="1868"/>
      <c r="BN222" s="1868"/>
      <c r="BO222" s="1868"/>
      <c r="BP222" s="1862"/>
    </row>
    <row r="223" spans="1:68" ht="15.75" customHeight="1">
      <c r="A223" s="1842"/>
      <c r="B223" s="1967"/>
      <c r="C223" s="1940"/>
      <c r="D223" s="1941"/>
      <c r="E223" s="1899" t="s">
        <v>1137</v>
      </c>
      <c r="F223" s="1863" t="s">
        <v>1156</v>
      </c>
      <c r="G223" s="1225" t="s">
        <v>1109</v>
      </c>
      <c r="H223" s="1867"/>
      <c r="I223" s="1867"/>
      <c r="J223" s="1867"/>
      <c r="K223" s="1867"/>
      <c r="L223" s="1851">
        <f t="shared" ref="L223:W223" ca="1" si="101">L113</f>
        <v>0</v>
      </c>
      <c r="M223" s="1851">
        <f t="shared" ca="1" si="101"/>
        <v>0</v>
      </c>
      <c r="N223" s="1851">
        <f t="shared" ca="1" si="101"/>
        <v>0</v>
      </c>
      <c r="O223" s="1851">
        <f t="shared" ca="1" si="101"/>
        <v>0</v>
      </c>
      <c r="P223" s="1888">
        <f t="shared" ca="1" si="101"/>
        <v>0</v>
      </c>
      <c r="Q223" s="1888">
        <f t="shared" ca="1" si="101"/>
        <v>0</v>
      </c>
      <c r="R223" s="1888">
        <f t="shared" ca="1" si="101"/>
        <v>0</v>
      </c>
      <c r="S223" s="1888">
        <f t="shared" ca="1" si="101"/>
        <v>0</v>
      </c>
      <c r="T223" s="1888">
        <f t="shared" ca="1" si="101"/>
        <v>0</v>
      </c>
      <c r="U223" s="1888">
        <f t="shared" ca="1" si="101"/>
        <v>0</v>
      </c>
      <c r="V223" s="1888">
        <f t="shared" ca="1" si="101"/>
        <v>0</v>
      </c>
      <c r="W223" s="1888">
        <f t="shared" ca="1" si="101"/>
        <v>0</v>
      </c>
      <c r="X223" s="1868"/>
      <c r="Y223" s="1868"/>
      <c r="Z223" s="1868"/>
      <c r="AA223" s="1868"/>
      <c r="AB223" s="1868"/>
      <c r="AC223" s="1868"/>
      <c r="AD223" s="1868"/>
      <c r="AE223" s="1868"/>
      <c r="AF223" s="1868"/>
      <c r="AG223" s="1868"/>
      <c r="AH223" s="1868"/>
      <c r="AI223" s="1868"/>
      <c r="AJ223" s="1868"/>
      <c r="AK223" s="1868"/>
      <c r="AL223" s="1868"/>
      <c r="AM223" s="1868"/>
      <c r="AN223" s="1868"/>
      <c r="AO223" s="1868"/>
      <c r="AP223" s="1868"/>
      <c r="AQ223" s="1868"/>
      <c r="AR223" s="1868"/>
      <c r="AS223" s="1868"/>
      <c r="AT223" s="1868"/>
      <c r="AU223" s="1868"/>
      <c r="AV223" s="1868"/>
      <c r="AW223" s="1868"/>
      <c r="AX223" s="1868"/>
      <c r="AY223" s="1868"/>
      <c r="AZ223" s="1868"/>
      <c r="BA223" s="1868"/>
      <c r="BB223" s="1868"/>
      <c r="BC223" s="1868"/>
      <c r="BD223" s="1868"/>
      <c r="BE223" s="1868"/>
      <c r="BF223" s="1868"/>
      <c r="BG223" s="1868"/>
      <c r="BH223" s="1868"/>
      <c r="BI223" s="1868"/>
      <c r="BJ223" s="1868"/>
      <c r="BK223" s="1868"/>
      <c r="BL223" s="1868"/>
      <c r="BM223" s="1868"/>
      <c r="BN223" s="1868"/>
      <c r="BO223" s="1868"/>
      <c r="BP223" s="1862"/>
    </row>
    <row r="224" spans="1:68">
      <c r="A224" s="1842"/>
      <c r="B224" s="1967"/>
      <c r="C224" s="1944" t="s">
        <v>1157</v>
      </c>
      <c r="D224" s="1942"/>
      <c r="E224" s="1900"/>
      <c r="F224" s="1863"/>
      <c r="G224" s="1225" t="s">
        <v>1125</v>
      </c>
      <c r="H224" s="1867"/>
      <c r="I224" s="1867"/>
      <c r="J224" s="1867"/>
      <c r="K224" s="1867"/>
      <c r="L224" s="1851">
        <f t="shared" ref="L224:W224" ca="1" si="102">L206+L211+L216+L218</f>
        <v>0</v>
      </c>
      <c r="M224" s="1851">
        <f t="shared" ca="1" si="102"/>
        <v>0</v>
      </c>
      <c r="N224" s="1851">
        <f t="shared" ca="1" si="102"/>
        <v>0</v>
      </c>
      <c r="O224" s="1851">
        <f t="shared" ca="1" si="102"/>
        <v>0</v>
      </c>
      <c r="P224" s="1851">
        <f t="shared" ca="1" si="102"/>
        <v>0</v>
      </c>
      <c r="Q224" s="1851">
        <f t="shared" ca="1" si="102"/>
        <v>0</v>
      </c>
      <c r="R224" s="1851">
        <f t="shared" ca="1" si="102"/>
        <v>0</v>
      </c>
      <c r="S224" s="1851">
        <f t="shared" ca="1" si="102"/>
        <v>0</v>
      </c>
      <c r="T224" s="1851">
        <f t="shared" ca="1" si="102"/>
        <v>0</v>
      </c>
      <c r="U224" s="1851">
        <f t="shared" ca="1" si="102"/>
        <v>0</v>
      </c>
      <c r="V224" s="1851">
        <f t="shared" ca="1" si="102"/>
        <v>0</v>
      </c>
      <c r="W224" s="1851">
        <f t="shared" ca="1" si="102"/>
        <v>0</v>
      </c>
      <c r="X224" s="1868"/>
      <c r="Y224" s="1868"/>
      <c r="Z224" s="1868"/>
      <c r="AA224" s="1868"/>
      <c r="AB224" s="1868"/>
      <c r="AC224" s="1868"/>
      <c r="AD224" s="1868"/>
      <c r="AE224" s="1868"/>
      <c r="AF224" s="1868"/>
      <c r="AG224" s="1868"/>
      <c r="AH224" s="1868"/>
      <c r="AI224" s="1868"/>
      <c r="AJ224" s="1868"/>
      <c r="AK224" s="1868"/>
      <c r="AL224" s="1868"/>
      <c r="AM224" s="1868"/>
      <c r="AN224" s="1868"/>
      <c r="AO224" s="1868"/>
      <c r="AP224" s="1868"/>
      <c r="AQ224" s="1868"/>
      <c r="AR224" s="1868"/>
      <c r="AS224" s="1868"/>
      <c r="AT224" s="1868"/>
      <c r="AU224" s="1868"/>
      <c r="AV224" s="1868"/>
      <c r="AW224" s="1868"/>
      <c r="AX224" s="1868"/>
      <c r="AY224" s="1868"/>
      <c r="AZ224" s="1868"/>
      <c r="BA224" s="1868"/>
      <c r="BB224" s="1868"/>
      <c r="BC224" s="1868"/>
      <c r="BD224" s="1868"/>
      <c r="BE224" s="1868"/>
      <c r="BF224" s="1868"/>
      <c r="BG224" s="1868"/>
      <c r="BH224" s="1868"/>
      <c r="BI224" s="1868"/>
      <c r="BJ224" s="1868"/>
      <c r="BK224" s="1868"/>
      <c r="BL224" s="1868"/>
      <c r="BM224" s="1868"/>
      <c r="BN224" s="1868"/>
      <c r="BO224" s="1868"/>
      <c r="BP224" s="1862"/>
    </row>
    <row r="225" spans="1:68" ht="21">
      <c r="A225" s="1842"/>
      <c r="B225" s="1967"/>
      <c r="C225" s="1929" t="s">
        <v>1158</v>
      </c>
      <c r="D225" s="1942"/>
      <c r="E225" s="1900"/>
      <c r="F225" s="1863"/>
      <c r="G225" s="1225" t="s">
        <v>1109</v>
      </c>
      <c r="H225" s="1867"/>
      <c r="I225" s="1867"/>
      <c r="J225" s="1867"/>
      <c r="K225" s="1867"/>
      <c r="L225" s="1937">
        <f ca="1">ROUNDDOWN(IF(L205+L210+L223&gt;=L201,L201,L205+L210+L223),0)</f>
        <v>0</v>
      </c>
      <c r="M225" s="1937">
        <f t="shared" ref="M225:W225" ca="1" si="103">ROUNDDOWN(IF(M205+M210+M223&gt;=M201,M201,M205+M210+M223),0)</f>
        <v>0</v>
      </c>
      <c r="N225" s="1937">
        <f t="shared" ca="1" si="103"/>
        <v>0</v>
      </c>
      <c r="O225" s="1937">
        <f t="shared" ca="1" si="103"/>
        <v>0</v>
      </c>
      <c r="P225" s="1937">
        <f t="shared" ca="1" si="103"/>
        <v>0</v>
      </c>
      <c r="Q225" s="1937">
        <f t="shared" ca="1" si="103"/>
        <v>0</v>
      </c>
      <c r="R225" s="1937">
        <f t="shared" ca="1" si="103"/>
        <v>0</v>
      </c>
      <c r="S225" s="1937">
        <f t="shared" ca="1" si="103"/>
        <v>0</v>
      </c>
      <c r="T225" s="1937">
        <f t="shared" ca="1" si="103"/>
        <v>0</v>
      </c>
      <c r="U225" s="1937">
        <f t="shared" ca="1" si="103"/>
        <v>0</v>
      </c>
      <c r="V225" s="1937">
        <f t="shared" ca="1" si="103"/>
        <v>0</v>
      </c>
      <c r="W225" s="1937">
        <f t="shared" ca="1" si="103"/>
        <v>0</v>
      </c>
      <c r="X225" s="1868"/>
      <c r="Y225" s="1868"/>
      <c r="Z225" s="1868"/>
      <c r="AA225" s="1868"/>
      <c r="AB225" s="1868"/>
      <c r="AC225" s="1868"/>
      <c r="AD225" s="1868"/>
      <c r="AE225" s="1868"/>
      <c r="AF225" s="1868"/>
      <c r="AG225" s="1868"/>
      <c r="AH225" s="1868"/>
      <c r="AI225" s="1868"/>
      <c r="AJ225" s="1868"/>
      <c r="AK225" s="1868"/>
      <c r="AL225" s="1868"/>
      <c r="AM225" s="1868"/>
      <c r="AN225" s="1868"/>
      <c r="AO225" s="1868"/>
      <c r="AP225" s="1868"/>
      <c r="AQ225" s="1868"/>
      <c r="AR225" s="1868"/>
      <c r="AS225" s="1868"/>
      <c r="AT225" s="1868"/>
      <c r="AU225" s="1868"/>
      <c r="AV225" s="1868"/>
      <c r="AW225" s="1868"/>
      <c r="AX225" s="1868"/>
      <c r="AY225" s="1868"/>
      <c r="AZ225" s="1868"/>
      <c r="BA225" s="1868"/>
      <c r="BB225" s="1868"/>
      <c r="BC225" s="1868"/>
      <c r="BD225" s="1868"/>
      <c r="BE225" s="1868"/>
      <c r="BF225" s="1868"/>
      <c r="BG225" s="1868"/>
      <c r="BH225" s="1868"/>
      <c r="BI225" s="1868"/>
      <c r="BJ225" s="1868"/>
      <c r="BK225" s="1868"/>
      <c r="BL225" s="1868"/>
      <c r="BM225" s="1868"/>
      <c r="BN225" s="1868"/>
      <c r="BO225" s="1868"/>
      <c r="BP225" s="1862"/>
    </row>
    <row r="226" spans="1:68" ht="21">
      <c r="A226" s="1842"/>
      <c r="B226" s="1969"/>
      <c r="C226" s="1944" t="s">
        <v>1159</v>
      </c>
      <c r="D226" s="1942"/>
      <c r="E226" s="1900"/>
      <c r="F226" s="1863"/>
      <c r="G226" s="1225" t="s">
        <v>1109</v>
      </c>
      <c r="H226" s="1867"/>
      <c r="I226" s="1867"/>
      <c r="J226" s="1867"/>
      <c r="K226" s="1867"/>
      <c r="L226" s="1937">
        <f ca="1">ROUNDDOWN(IF(L207+L212&gt;=L200,L200,L207+L212),0)</f>
        <v>0</v>
      </c>
      <c r="M226" s="1937">
        <f t="shared" ref="M226:W226" ca="1" si="104">ROUNDDOWN(IF(M207+M212&gt;=M200,M200,M207+M212),0)</f>
        <v>0</v>
      </c>
      <c r="N226" s="1937">
        <f t="shared" ca="1" si="104"/>
        <v>0</v>
      </c>
      <c r="O226" s="1937">
        <f t="shared" ca="1" si="104"/>
        <v>0</v>
      </c>
      <c r="P226" s="1937">
        <f t="shared" ca="1" si="104"/>
        <v>0</v>
      </c>
      <c r="Q226" s="1937">
        <f t="shared" ca="1" si="104"/>
        <v>0</v>
      </c>
      <c r="R226" s="1937">
        <f t="shared" ca="1" si="104"/>
        <v>0</v>
      </c>
      <c r="S226" s="1937">
        <f t="shared" ca="1" si="104"/>
        <v>0</v>
      </c>
      <c r="T226" s="1937">
        <f t="shared" ca="1" si="104"/>
        <v>0</v>
      </c>
      <c r="U226" s="1937">
        <f t="shared" ca="1" si="104"/>
        <v>0</v>
      </c>
      <c r="V226" s="1937">
        <f t="shared" ca="1" si="104"/>
        <v>0</v>
      </c>
      <c r="W226" s="1937">
        <f t="shared" ca="1" si="104"/>
        <v>0</v>
      </c>
      <c r="X226" s="1868"/>
      <c r="Y226" s="1868"/>
      <c r="Z226" s="1868"/>
      <c r="AA226" s="1868"/>
      <c r="AB226" s="1868"/>
      <c r="AC226" s="1868"/>
      <c r="AD226" s="1868"/>
      <c r="AE226" s="1868"/>
      <c r="AF226" s="1868"/>
      <c r="AG226" s="1868"/>
      <c r="AH226" s="1868"/>
      <c r="AI226" s="1868"/>
      <c r="AJ226" s="1868"/>
      <c r="AK226" s="1868"/>
      <c r="AL226" s="1868"/>
      <c r="AM226" s="1868"/>
      <c r="AN226" s="1868"/>
      <c r="AO226" s="1868"/>
      <c r="AP226" s="1868"/>
      <c r="AQ226" s="1868"/>
      <c r="AR226" s="1868"/>
      <c r="AS226" s="1868"/>
      <c r="AT226" s="1868"/>
      <c r="AU226" s="1868"/>
      <c r="AV226" s="1868"/>
      <c r="AW226" s="1868"/>
      <c r="AX226" s="1868"/>
      <c r="AY226" s="1868"/>
      <c r="AZ226" s="1868"/>
      <c r="BA226" s="1868"/>
      <c r="BB226" s="1868"/>
      <c r="BC226" s="1868"/>
      <c r="BD226" s="1868"/>
      <c r="BE226" s="1868"/>
      <c r="BF226" s="1868"/>
      <c r="BG226" s="1868"/>
      <c r="BH226" s="1868"/>
      <c r="BI226" s="1868"/>
      <c r="BJ226" s="1868"/>
      <c r="BK226" s="1868"/>
      <c r="BL226" s="1868"/>
      <c r="BM226" s="1868"/>
      <c r="BN226" s="1868"/>
      <c r="BO226" s="1868"/>
      <c r="BP226" s="1862"/>
    </row>
    <row r="227" spans="1:68" ht="21">
      <c r="A227" s="1842"/>
      <c r="B227" s="1890" t="s">
        <v>1096</v>
      </c>
      <c r="C227" s="1945"/>
      <c r="D227" s="1895"/>
      <c r="E227" s="1946" t="s">
        <v>1160</v>
      </c>
      <c r="F227" s="1887"/>
      <c r="G227" s="1225" t="s">
        <v>1109</v>
      </c>
      <c r="H227" s="1867"/>
      <c r="I227" s="1867"/>
      <c r="J227" s="1867"/>
      <c r="K227" s="1867"/>
      <c r="L227" s="1852">
        <f ca="1">IF(L198+L200+L201-L202-L203-L204-L209-L214-L215-L225-L226&gt;0,ROUND(L198+L200+L201-L202-L203-L204-L209-L214-L215-L225-L226,2-INT(LOG(L198+L200+L201-L202-L203-L204-L209-L214-L215-L225-L226))),0)</f>
        <v>0</v>
      </c>
      <c r="M227" s="1852">
        <f t="shared" ref="M227:AA227" ca="1" si="105">IF(M198+M200+M201-M202-M203-M204-M209-M214-M215-M225-M226&gt;0,ROUND(M198+M200+M201-M202-M203-M204-M209-M214-M215-M225-M226,2-INT(LOG(M198+M200+M201-M202-M203-M204-M209-M214-M215-M225-M226))),0)</f>
        <v>0</v>
      </c>
      <c r="N227" s="1852">
        <f t="shared" ca="1" si="105"/>
        <v>0</v>
      </c>
      <c r="O227" s="1852">
        <f t="shared" ca="1" si="105"/>
        <v>0</v>
      </c>
      <c r="P227" s="1888">
        <f t="shared" ca="1" si="105"/>
        <v>0</v>
      </c>
      <c r="Q227" s="1888">
        <f t="shared" ca="1" si="105"/>
        <v>0</v>
      </c>
      <c r="R227" s="1888">
        <f t="shared" ca="1" si="105"/>
        <v>0</v>
      </c>
      <c r="S227" s="1888">
        <f t="shared" ca="1" si="105"/>
        <v>0</v>
      </c>
      <c r="T227" s="1888">
        <f t="shared" ca="1" si="105"/>
        <v>0</v>
      </c>
      <c r="U227" s="1888">
        <f t="shared" ca="1" si="105"/>
        <v>0</v>
      </c>
      <c r="V227" s="1888">
        <f t="shared" ca="1" si="105"/>
        <v>0</v>
      </c>
      <c r="W227" s="1888">
        <f t="shared" ca="1" si="105"/>
        <v>0</v>
      </c>
      <c r="X227" s="1889">
        <f t="shared" ca="1" si="105"/>
        <v>0</v>
      </c>
      <c r="Y227" s="1889">
        <f t="shared" ca="1" si="105"/>
        <v>0</v>
      </c>
      <c r="Z227" s="1889">
        <f t="shared" ca="1" si="105"/>
        <v>0</v>
      </c>
      <c r="AA227" s="1889">
        <f t="shared" ca="1" si="105"/>
        <v>0</v>
      </c>
      <c r="AB227" s="1889"/>
      <c r="AC227" s="1889"/>
      <c r="AD227" s="1889"/>
      <c r="AE227" s="1889"/>
      <c r="AF227" s="1889"/>
      <c r="AG227" s="1889"/>
      <c r="AH227" s="1889"/>
      <c r="AI227" s="1889"/>
      <c r="AJ227" s="1889"/>
      <c r="AK227" s="1889"/>
      <c r="AL227" s="1889"/>
      <c r="AM227" s="1889"/>
      <c r="AN227" s="1889"/>
      <c r="AO227" s="1889"/>
      <c r="AP227" s="1889"/>
      <c r="AQ227" s="1889"/>
      <c r="AR227" s="1889"/>
      <c r="AS227" s="1889"/>
      <c r="AT227" s="1889"/>
      <c r="AU227" s="1889"/>
      <c r="AV227" s="1889"/>
      <c r="AW227" s="1889"/>
      <c r="AX227" s="1889"/>
      <c r="AY227" s="1889"/>
      <c r="AZ227" s="1889"/>
      <c r="BA227" s="1889"/>
      <c r="BB227" s="1889"/>
      <c r="BC227" s="1889"/>
      <c r="BD227" s="1889"/>
      <c r="BE227" s="1889"/>
      <c r="BF227" s="1889"/>
      <c r="BG227" s="1889"/>
      <c r="BH227" s="1889"/>
      <c r="BI227" s="1889"/>
      <c r="BJ227" s="1889"/>
      <c r="BK227" s="1889"/>
      <c r="BL227" s="1889"/>
      <c r="BM227" s="1889"/>
      <c r="BN227" s="1889"/>
      <c r="BO227" s="1889"/>
      <c r="BP227" s="1862"/>
    </row>
    <row r="228" spans="1:68" ht="20.100000000000001" customHeight="1">
      <c r="A228" s="1838">
        <v>2</v>
      </c>
      <c r="B228" s="1838" t="s">
        <v>1908</v>
      </c>
      <c r="C228" s="1839"/>
      <c r="D228" s="1839"/>
      <c r="E228" s="1839"/>
      <c r="F228" s="1839"/>
      <c r="G228" s="1840"/>
      <c r="H228" s="1840"/>
      <c r="I228" s="1840"/>
      <c r="J228" s="1840"/>
      <c r="K228" s="1840"/>
      <c r="L228" s="1840"/>
      <c r="M228" s="1840"/>
      <c r="N228" s="1840"/>
      <c r="O228" s="1840"/>
      <c r="P228" s="1840"/>
      <c r="Q228" s="1840"/>
      <c r="R228" s="1840"/>
      <c r="S228" s="1840"/>
      <c r="T228" s="1840"/>
      <c r="U228" s="1840"/>
      <c r="V228" s="1840"/>
      <c r="W228" s="1840"/>
      <c r="X228" s="1841"/>
      <c r="Y228" s="1841"/>
      <c r="Z228" s="1841"/>
      <c r="AA228" s="1841"/>
      <c r="AB228" s="1841"/>
      <c r="AC228" s="1841"/>
      <c r="AD228" s="1841"/>
      <c r="AE228" s="1841"/>
      <c r="AF228" s="1841"/>
      <c r="AG228" s="1841"/>
      <c r="AH228" s="1841"/>
      <c r="AI228" s="1841"/>
      <c r="AJ228" s="1841"/>
      <c r="AK228" s="1841"/>
      <c r="AL228" s="1841"/>
      <c r="AM228" s="1841"/>
      <c r="AN228" s="1841"/>
      <c r="AO228" s="1841"/>
      <c r="AP228" s="1841"/>
      <c r="AQ228" s="1841"/>
      <c r="AR228" s="1841"/>
      <c r="AS228" s="1841"/>
      <c r="AT228" s="1841"/>
      <c r="AU228" s="1841"/>
      <c r="AV228" s="1841"/>
      <c r="AW228" s="1841"/>
      <c r="AX228" s="1841"/>
      <c r="AY228" s="1841"/>
      <c r="AZ228" s="1841"/>
      <c r="BA228" s="1841"/>
      <c r="BB228" s="1841"/>
      <c r="BC228" s="1841"/>
      <c r="BD228" s="1841"/>
      <c r="BE228" s="1841"/>
      <c r="BF228" s="1841"/>
      <c r="BG228" s="1841"/>
      <c r="BH228" s="1841"/>
      <c r="BI228" s="1841"/>
      <c r="BJ228" s="1841"/>
      <c r="BK228" s="1841"/>
      <c r="BL228" s="1841"/>
      <c r="BM228" s="1841"/>
      <c r="BN228" s="1841"/>
      <c r="BO228" s="1841"/>
    </row>
    <row r="229" spans="1:68" ht="20.100000000000001" customHeight="1">
      <c r="A229" s="1842"/>
      <c r="B229" s="1843">
        <v>1</v>
      </c>
      <c r="C229" s="1844" t="s">
        <v>1095</v>
      </c>
      <c r="D229" s="1839"/>
      <c r="E229" s="1839"/>
      <c r="F229" s="1839"/>
      <c r="G229" s="1839"/>
      <c r="H229" s="1840"/>
      <c r="I229" s="1840"/>
      <c r="J229" s="1840"/>
      <c r="K229" s="1840"/>
      <c r="L229" s="1840"/>
      <c r="M229" s="1840"/>
      <c r="N229" s="1840"/>
      <c r="O229" s="1840"/>
      <c r="P229" s="1840"/>
      <c r="Q229" s="1840"/>
      <c r="R229" s="1840"/>
      <c r="S229" s="1840"/>
      <c r="T229" s="1840"/>
      <c r="U229" s="1840"/>
      <c r="V229" s="1840"/>
      <c r="W229" s="1840"/>
      <c r="X229" s="1841"/>
      <c r="Y229" s="1841"/>
      <c r="Z229" s="1841"/>
      <c r="AA229" s="1841"/>
      <c r="AB229" s="1841"/>
      <c r="AC229" s="1841"/>
      <c r="AD229" s="1841"/>
      <c r="AE229" s="1841"/>
      <c r="AF229" s="1841"/>
      <c r="AG229" s="1841"/>
      <c r="AH229" s="1841"/>
      <c r="AI229" s="1841"/>
      <c r="AJ229" s="1841"/>
      <c r="AK229" s="1841"/>
      <c r="AL229" s="1841"/>
      <c r="AM229" s="1841"/>
      <c r="AN229" s="1841"/>
      <c r="AO229" s="1841"/>
      <c r="AP229" s="1841"/>
      <c r="AQ229" s="1841"/>
      <c r="AR229" s="1841"/>
      <c r="AS229" s="1841"/>
      <c r="AT229" s="1841"/>
      <c r="AU229" s="1841"/>
      <c r="AV229" s="1841"/>
      <c r="AW229" s="1841"/>
      <c r="AX229" s="1841"/>
      <c r="AY229" s="1841"/>
      <c r="AZ229" s="1841"/>
      <c r="BA229" s="1841"/>
      <c r="BB229" s="1841"/>
      <c r="BC229" s="1841"/>
      <c r="BD229" s="1841"/>
      <c r="BE229" s="1841"/>
      <c r="BF229" s="1841"/>
      <c r="BG229" s="1841"/>
      <c r="BH229" s="1841"/>
      <c r="BI229" s="1841"/>
      <c r="BJ229" s="1841"/>
      <c r="BK229" s="1841"/>
      <c r="BL229" s="1841"/>
      <c r="BM229" s="1841"/>
      <c r="BN229" s="1841"/>
      <c r="BO229" s="1841"/>
    </row>
    <row r="230" spans="1:68" ht="20.100000000000001" hidden="1" customHeight="1" outlineLevel="1">
      <c r="A230" s="1842">
        <v>10</v>
      </c>
      <c r="B230" s="1855"/>
      <c r="C230" s="1847"/>
      <c r="D230" s="1848" t="s">
        <v>921</v>
      </c>
      <c r="E230" s="1848"/>
      <c r="F230" s="1849"/>
      <c r="G230" s="1225" t="s">
        <v>1109</v>
      </c>
      <c r="H230" s="1850">
        <f t="shared" ref="H230:H236" ca="1" si="106">IFERROR(OFFSET(貼付け_2024実績,$A230,6),"")</f>
        <v>1.8700000000000001E-2</v>
      </c>
      <c r="I230" s="1850">
        <f t="shared" ref="I230:I236" ca="1" si="107">IFERROR(OFFSET(貼付け_2025実績,$A230,6),"")</f>
        <v>1.8700000000000001E-2</v>
      </c>
      <c r="J230" s="1850">
        <f t="shared" ref="J230:J236" ca="1" si="108">IFERROR(OFFSET(貼付け_2026実績,$A230,6),"")</f>
        <v>1.8700000000000001E-2</v>
      </c>
      <c r="K230" s="1850">
        <f t="shared" ref="K230:K236" ca="1" si="109">IFERROR(OFFSET(貼付け_2027実績,$A230,6),"")</f>
        <v>1.8700000000000001E-2</v>
      </c>
      <c r="L230" s="1852">
        <f ca="1">IFERROR($H230*44/12*参考2_エネ使用量経年!$H123*参考2_エネ使用量経年!L123,"")</f>
        <v>0</v>
      </c>
      <c r="M230" s="1852">
        <f ca="1">IFERROR($I230*44/12*参考2_エネ使用量経年!$I123*参考2_エネ使用量経年!M123,"")</f>
        <v>0</v>
      </c>
      <c r="N230" s="1852">
        <f ca="1">IFERROR($J230*44/12*参考2_エネ使用量経年!$J123*参考2_エネ使用量経年!N123,"")</f>
        <v>0</v>
      </c>
      <c r="O230" s="1852">
        <f ca="1">IFERROR($K230*44/12*参考2_エネ使用量経年!$K123*参考2_エネ使用量経年!O123,"")</f>
        <v>0</v>
      </c>
      <c r="P230" s="1852">
        <f ca="1">IFERROR($H230*44/12*参考2_エネ使用量経年!$H123*参考2_エネ使用量経年!P123,"")</f>
        <v>0</v>
      </c>
      <c r="Q230" s="1852">
        <f ca="1">IFERROR($I230*44/12*参考2_エネ使用量経年!$I123*参考2_エネ使用量経年!Q123,"")</f>
        <v>0</v>
      </c>
      <c r="R230" s="1852">
        <f ca="1">IFERROR($J230*44/12*参考2_エネ使用量経年!$J123*参考2_エネ使用量経年!R123,"")</f>
        <v>0</v>
      </c>
      <c r="S230" s="1852">
        <f ca="1">IFERROR($K230*44/12*参考2_エネ使用量経年!$K123*参考2_エネ使用量経年!S123,"")</f>
        <v>0</v>
      </c>
      <c r="T230" s="1852">
        <f ca="1">IFERROR($H230*44/12*参考2_エネ使用量経年!$H123*参考2_エネ使用量経年!T123,"")</f>
        <v>0</v>
      </c>
      <c r="U230" s="1852">
        <f ca="1">IFERROR($I230*44/12*参考2_エネ使用量経年!$I123*参考2_エネ使用量経年!U123,"")</f>
        <v>0</v>
      </c>
      <c r="V230" s="1852">
        <f ca="1">IFERROR($J230*44/12*参考2_エネ使用量経年!$J123*参考2_エネ使用量経年!V123,"")</f>
        <v>0</v>
      </c>
      <c r="W230" s="1852">
        <f ca="1">IFERROR($K230*44/12*参考2_エネ使用量経年!$K123*参考2_エネ使用量経年!W123,"")</f>
        <v>0</v>
      </c>
      <c r="X230" s="1868"/>
      <c r="Y230" s="1868"/>
      <c r="Z230" s="1868"/>
      <c r="AA230" s="1868"/>
      <c r="AB230" s="1868"/>
      <c r="AC230" s="1868"/>
      <c r="AD230" s="1868"/>
      <c r="AE230" s="1868"/>
      <c r="AF230" s="1868"/>
      <c r="AG230" s="1868"/>
      <c r="AH230" s="1868"/>
      <c r="AI230" s="1868"/>
      <c r="AJ230" s="1868"/>
      <c r="AK230" s="1868"/>
      <c r="AL230" s="1868"/>
      <c r="AM230" s="1868"/>
      <c r="AN230" s="1868"/>
      <c r="AO230" s="1868"/>
      <c r="AP230" s="1868"/>
      <c r="AQ230" s="1868"/>
      <c r="AR230" s="1868"/>
      <c r="AS230" s="1868"/>
      <c r="AT230" s="1868"/>
      <c r="AU230" s="1868"/>
      <c r="AV230" s="1868"/>
      <c r="AW230" s="1868"/>
      <c r="AX230" s="1868"/>
      <c r="AY230" s="1868"/>
      <c r="AZ230" s="1868"/>
      <c r="BA230" s="1868"/>
      <c r="BB230" s="1868"/>
      <c r="BC230" s="1868"/>
      <c r="BD230" s="1868"/>
      <c r="BE230" s="1868"/>
      <c r="BF230" s="1868"/>
      <c r="BG230" s="1868"/>
      <c r="BH230" s="1868"/>
      <c r="BI230" s="1868"/>
      <c r="BJ230" s="1868"/>
      <c r="BK230" s="1868"/>
      <c r="BL230" s="1868"/>
      <c r="BM230" s="1868"/>
      <c r="BN230" s="1868"/>
      <c r="BO230" s="1868"/>
    </row>
    <row r="231" spans="1:68" ht="20.100000000000001" hidden="1" customHeight="1" outlineLevel="1">
      <c r="A231" s="1842">
        <v>12</v>
      </c>
      <c r="B231" s="1854"/>
      <c r="C231" s="1847"/>
      <c r="D231" s="1848" t="s">
        <v>922</v>
      </c>
      <c r="E231" s="1848"/>
      <c r="F231" s="1849"/>
      <c r="G231" s="1225" t="s">
        <v>1109</v>
      </c>
      <c r="H231" s="1850">
        <f t="shared" ca="1" si="106"/>
        <v>1.8599999999999998E-2</v>
      </c>
      <c r="I231" s="1850">
        <f t="shared" ca="1" si="107"/>
        <v>1.8599999999999998E-2</v>
      </c>
      <c r="J231" s="1850">
        <f t="shared" ca="1" si="108"/>
        <v>1.8599999999999998E-2</v>
      </c>
      <c r="K231" s="1850">
        <f t="shared" ca="1" si="109"/>
        <v>1.8599999999999998E-2</v>
      </c>
      <c r="L231" s="1852">
        <f ca="1">IFERROR($H231*44/12*参考2_エネ使用量経年!$H124*参考2_エネ使用量経年!L124,"")</f>
        <v>0</v>
      </c>
      <c r="M231" s="1852">
        <f ca="1">IFERROR($I231*44/12*参考2_エネ使用量経年!$I124*参考2_エネ使用量経年!M124,"")</f>
        <v>0</v>
      </c>
      <c r="N231" s="1852">
        <f ca="1">IFERROR($J231*44/12*参考2_エネ使用量経年!$J124*参考2_エネ使用量経年!N124,"")</f>
        <v>0</v>
      </c>
      <c r="O231" s="1852">
        <f ca="1">IFERROR($K231*44/12*参考2_エネ使用量経年!$K124*参考2_エネ使用量経年!O124,"")</f>
        <v>0</v>
      </c>
      <c r="P231" s="1852">
        <f ca="1">IFERROR($H231*44/12*参考2_エネ使用量経年!$H124*参考2_エネ使用量経年!P124,"")</f>
        <v>0</v>
      </c>
      <c r="Q231" s="1852">
        <f ca="1">IFERROR($I231*44/12*参考2_エネ使用量経年!$I124*参考2_エネ使用量経年!Q124,"")</f>
        <v>0</v>
      </c>
      <c r="R231" s="1852">
        <f ca="1">IFERROR($J231*44/12*参考2_エネ使用量経年!$J124*参考2_エネ使用量経年!R124,"")</f>
        <v>0</v>
      </c>
      <c r="S231" s="1852">
        <f ca="1">IFERROR($K231*44/12*参考2_エネ使用量経年!$K124*参考2_エネ使用量経年!S124,"")</f>
        <v>0</v>
      </c>
      <c r="T231" s="1852">
        <f ca="1">IFERROR($H231*44/12*参考2_エネ使用量経年!$H124*参考2_エネ使用量経年!T124,"")</f>
        <v>0</v>
      </c>
      <c r="U231" s="1852">
        <f ca="1">IFERROR($I231*44/12*参考2_エネ使用量経年!$I124*参考2_エネ使用量経年!U124,"")</f>
        <v>0</v>
      </c>
      <c r="V231" s="1852">
        <f ca="1">IFERROR($J231*44/12*参考2_エネ使用量経年!$J124*参考2_エネ使用量経年!V124,"")</f>
        <v>0</v>
      </c>
      <c r="W231" s="1852">
        <f ca="1">IFERROR($K231*44/12*参考2_エネ使用量経年!$K124*参考2_エネ使用量経年!W124,"")</f>
        <v>0</v>
      </c>
      <c r="X231" s="1868"/>
      <c r="Y231" s="1868"/>
      <c r="Z231" s="1868"/>
      <c r="AA231" s="1868"/>
      <c r="AB231" s="1868"/>
      <c r="AC231" s="1868"/>
      <c r="AD231" s="1868"/>
      <c r="AE231" s="1868"/>
      <c r="AF231" s="1868"/>
      <c r="AG231" s="1868"/>
      <c r="AH231" s="1868"/>
      <c r="AI231" s="1868"/>
      <c r="AJ231" s="1868"/>
      <c r="AK231" s="1868"/>
      <c r="AL231" s="1868"/>
      <c r="AM231" s="1868"/>
      <c r="AN231" s="1868"/>
      <c r="AO231" s="1868"/>
      <c r="AP231" s="1868"/>
      <c r="AQ231" s="1868"/>
      <c r="AR231" s="1868"/>
      <c r="AS231" s="1868"/>
      <c r="AT231" s="1868"/>
      <c r="AU231" s="1868"/>
      <c r="AV231" s="1868"/>
      <c r="AW231" s="1868"/>
      <c r="AX231" s="1868"/>
      <c r="AY231" s="1868"/>
      <c r="AZ231" s="1868"/>
      <c r="BA231" s="1868"/>
      <c r="BB231" s="1868"/>
      <c r="BC231" s="1868"/>
      <c r="BD231" s="1868"/>
      <c r="BE231" s="1868"/>
      <c r="BF231" s="1868"/>
      <c r="BG231" s="1868"/>
      <c r="BH231" s="1868"/>
      <c r="BI231" s="1868"/>
      <c r="BJ231" s="1868"/>
      <c r="BK231" s="1868"/>
      <c r="BL231" s="1868"/>
      <c r="BM231" s="1868"/>
      <c r="BN231" s="1868"/>
      <c r="BO231" s="1868"/>
    </row>
    <row r="232" spans="1:68" ht="20.100000000000001" hidden="1" customHeight="1" outlineLevel="1">
      <c r="A232" s="1842">
        <v>14</v>
      </c>
      <c r="B232" s="1855"/>
      <c r="C232" s="1847"/>
      <c r="D232" s="1848" t="s">
        <v>544</v>
      </c>
      <c r="E232" s="1848"/>
      <c r="F232" s="1849"/>
      <c r="G232" s="1225" t="s">
        <v>1109</v>
      </c>
      <c r="H232" s="1850">
        <f t="shared" ca="1" si="106"/>
        <v>1.8800000000000001E-2</v>
      </c>
      <c r="I232" s="1850">
        <f t="shared" ca="1" si="107"/>
        <v>1.8800000000000001E-2</v>
      </c>
      <c r="J232" s="1850">
        <f t="shared" ca="1" si="108"/>
        <v>1.8800000000000001E-2</v>
      </c>
      <c r="K232" s="1850">
        <f t="shared" ca="1" si="109"/>
        <v>1.8800000000000001E-2</v>
      </c>
      <c r="L232" s="1852">
        <f ca="1">IFERROR($H232*44/12*参考2_エネ使用量経年!$H125*参考2_エネ使用量経年!L125,"")</f>
        <v>0</v>
      </c>
      <c r="M232" s="1852">
        <f ca="1">IFERROR($I232*44/12*参考2_エネ使用量経年!$I125*参考2_エネ使用量経年!M125,"")</f>
        <v>0</v>
      </c>
      <c r="N232" s="1852">
        <f ca="1">IFERROR($J232*44/12*参考2_エネ使用量経年!$J125*参考2_エネ使用量経年!N125,"")</f>
        <v>0</v>
      </c>
      <c r="O232" s="1852">
        <f ca="1">IFERROR($K232*44/12*参考2_エネ使用量経年!$K125*参考2_エネ使用量経年!O125,"")</f>
        <v>0</v>
      </c>
      <c r="P232" s="1852">
        <f ca="1">IFERROR($H232*44/12*参考2_エネ使用量経年!$H125*参考2_エネ使用量経年!P125,"")</f>
        <v>0</v>
      </c>
      <c r="Q232" s="1852">
        <f ca="1">IFERROR($I232*44/12*参考2_エネ使用量経年!$I125*参考2_エネ使用量経年!Q125,"")</f>
        <v>0</v>
      </c>
      <c r="R232" s="1852">
        <f ca="1">IFERROR($J232*44/12*参考2_エネ使用量経年!$J125*参考2_エネ使用量経年!R125,"")</f>
        <v>0</v>
      </c>
      <c r="S232" s="1852">
        <f ca="1">IFERROR($K232*44/12*参考2_エネ使用量経年!$K125*参考2_エネ使用量経年!S125,"")</f>
        <v>0</v>
      </c>
      <c r="T232" s="1852">
        <f ca="1">IFERROR($H232*44/12*参考2_エネ使用量経年!$H125*参考2_エネ使用量経年!T125,"")</f>
        <v>0</v>
      </c>
      <c r="U232" s="1852">
        <f ca="1">IFERROR($I232*44/12*参考2_エネ使用量経年!$I125*参考2_エネ使用量経年!U125,"")</f>
        <v>0</v>
      </c>
      <c r="V232" s="1852">
        <f ca="1">IFERROR($J232*44/12*参考2_エネ使用量経年!$J125*参考2_エネ使用量経年!V125,"")</f>
        <v>0</v>
      </c>
      <c r="W232" s="1852">
        <f ca="1">IFERROR($K232*44/12*参考2_エネ使用量経年!$K125*参考2_エネ使用量経年!W125,"")</f>
        <v>0</v>
      </c>
      <c r="X232" s="1868"/>
      <c r="Y232" s="1868"/>
      <c r="Z232" s="1868"/>
      <c r="AA232" s="1868"/>
      <c r="AB232" s="1868"/>
      <c r="AC232" s="1868"/>
      <c r="AD232" s="1868"/>
      <c r="AE232" s="1868"/>
      <c r="AF232" s="1868"/>
      <c r="AG232" s="1868"/>
      <c r="AH232" s="1868"/>
      <c r="AI232" s="1868"/>
      <c r="AJ232" s="1868"/>
      <c r="AK232" s="1868"/>
      <c r="AL232" s="1868"/>
      <c r="AM232" s="1868"/>
      <c r="AN232" s="1868"/>
      <c r="AO232" s="1868"/>
      <c r="AP232" s="1868"/>
      <c r="AQ232" s="1868"/>
      <c r="AR232" s="1868"/>
      <c r="AS232" s="1868"/>
      <c r="AT232" s="1868"/>
      <c r="AU232" s="1868"/>
      <c r="AV232" s="1868"/>
      <c r="AW232" s="1868"/>
      <c r="AX232" s="1868"/>
      <c r="AY232" s="1868"/>
      <c r="AZ232" s="1868"/>
      <c r="BA232" s="1868"/>
      <c r="BB232" s="1868"/>
      <c r="BC232" s="1868"/>
      <c r="BD232" s="1868"/>
      <c r="BE232" s="1868"/>
      <c r="BF232" s="1868"/>
      <c r="BG232" s="1868"/>
      <c r="BH232" s="1868"/>
      <c r="BI232" s="1868"/>
      <c r="BJ232" s="1868"/>
      <c r="BK232" s="1868"/>
      <c r="BL232" s="1868"/>
      <c r="BM232" s="1868"/>
      <c r="BN232" s="1868"/>
      <c r="BO232" s="1868"/>
    </row>
    <row r="233" spans="1:68" ht="20.100000000000001" hidden="1" customHeight="1" outlineLevel="1">
      <c r="A233" s="1842">
        <v>15</v>
      </c>
      <c r="B233" s="1854"/>
      <c r="C233" s="1847"/>
      <c r="D233" s="1848" t="s">
        <v>545</v>
      </c>
      <c r="E233" s="1848"/>
      <c r="F233" s="1849"/>
      <c r="G233" s="1225" t="s">
        <v>1109</v>
      </c>
      <c r="H233" s="1850">
        <f t="shared" ca="1" si="106"/>
        <v>1.9300000000000001E-2</v>
      </c>
      <c r="I233" s="1850">
        <f t="shared" ca="1" si="107"/>
        <v>1.9300000000000001E-2</v>
      </c>
      <c r="J233" s="1850">
        <f t="shared" ca="1" si="108"/>
        <v>1.9300000000000001E-2</v>
      </c>
      <c r="K233" s="1850">
        <f t="shared" ca="1" si="109"/>
        <v>1.9300000000000001E-2</v>
      </c>
      <c r="L233" s="1852">
        <f ca="1">IFERROR($H233*44/12*参考2_エネ使用量経年!$H126*参考2_エネ使用量経年!L126,"")</f>
        <v>0</v>
      </c>
      <c r="M233" s="1852">
        <f ca="1">IFERROR($I233*44/12*参考2_エネ使用量経年!$I126*参考2_エネ使用量経年!M126,"")</f>
        <v>0</v>
      </c>
      <c r="N233" s="1852">
        <f ca="1">IFERROR($J233*44/12*参考2_エネ使用量経年!$J126*参考2_エネ使用量経年!N126,"")</f>
        <v>0</v>
      </c>
      <c r="O233" s="1852">
        <f ca="1">IFERROR($K233*44/12*参考2_エネ使用量経年!$K126*参考2_エネ使用量経年!O126,"")</f>
        <v>0</v>
      </c>
      <c r="P233" s="1852">
        <f ca="1">IFERROR($H233*44/12*参考2_エネ使用量経年!$H126*参考2_エネ使用量経年!P126,"")</f>
        <v>0</v>
      </c>
      <c r="Q233" s="1852">
        <f ca="1">IFERROR($I233*44/12*参考2_エネ使用量経年!$I126*参考2_エネ使用量経年!Q126,"")</f>
        <v>0</v>
      </c>
      <c r="R233" s="1852">
        <f ca="1">IFERROR($J233*44/12*参考2_エネ使用量経年!$J126*参考2_エネ使用量経年!R126,"")</f>
        <v>0</v>
      </c>
      <c r="S233" s="1852">
        <f ca="1">IFERROR($K233*44/12*参考2_エネ使用量経年!$K126*参考2_エネ使用量経年!S126,"")</f>
        <v>0</v>
      </c>
      <c r="T233" s="1852">
        <f ca="1">IFERROR($H233*44/12*参考2_エネ使用量経年!$H126*参考2_エネ使用量経年!T126,"")</f>
        <v>0</v>
      </c>
      <c r="U233" s="1852">
        <f ca="1">IFERROR($I233*44/12*参考2_エネ使用量経年!$I126*参考2_エネ使用量経年!U126,"")</f>
        <v>0</v>
      </c>
      <c r="V233" s="1852">
        <f ca="1">IFERROR($J233*44/12*参考2_エネ使用量経年!$J126*参考2_エネ使用量経年!V126,"")</f>
        <v>0</v>
      </c>
      <c r="W233" s="1852">
        <f ca="1">IFERROR($K233*44/12*参考2_エネ使用量経年!$K126*参考2_エネ使用量経年!W126,"")</f>
        <v>0</v>
      </c>
      <c r="X233" s="1868"/>
      <c r="Y233" s="1868"/>
      <c r="Z233" s="1868"/>
      <c r="AA233" s="1868"/>
      <c r="AB233" s="1868"/>
      <c r="AC233" s="1868"/>
      <c r="AD233" s="1868"/>
      <c r="AE233" s="1868"/>
      <c r="AF233" s="1868"/>
      <c r="AG233" s="1868"/>
      <c r="AH233" s="1868"/>
      <c r="AI233" s="1868"/>
      <c r="AJ233" s="1868"/>
      <c r="AK233" s="1868"/>
      <c r="AL233" s="1868"/>
      <c r="AM233" s="1868"/>
      <c r="AN233" s="1868"/>
      <c r="AO233" s="1868"/>
      <c r="AP233" s="1868"/>
      <c r="AQ233" s="1868"/>
      <c r="AR233" s="1868"/>
      <c r="AS233" s="1868"/>
      <c r="AT233" s="1868"/>
      <c r="AU233" s="1868"/>
      <c r="AV233" s="1868"/>
      <c r="AW233" s="1868"/>
      <c r="AX233" s="1868"/>
      <c r="AY233" s="1868"/>
      <c r="AZ233" s="1868"/>
      <c r="BA233" s="1868"/>
      <c r="BB233" s="1868"/>
      <c r="BC233" s="1868"/>
      <c r="BD233" s="1868"/>
      <c r="BE233" s="1868"/>
      <c r="BF233" s="1868"/>
      <c r="BG233" s="1868"/>
      <c r="BH233" s="1868"/>
      <c r="BI233" s="1868"/>
      <c r="BJ233" s="1868"/>
      <c r="BK233" s="1868"/>
      <c r="BL233" s="1868"/>
      <c r="BM233" s="1868"/>
      <c r="BN233" s="1868"/>
      <c r="BO233" s="1868"/>
    </row>
    <row r="234" spans="1:68" ht="20.100000000000001" hidden="1" customHeight="1" outlineLevel="1">
      <c r="A234" s="1842">
        <v>16</v>
      </c>
      <c r="B234" s="1854"/>
      <c r="C234" s="1847"/>
      <c r="D234" s="1848" t="s">
        <v>546</v>
      </c>
      <c r="E234" s="1837"/>
      <c r="F234" s="1849"/>
      <c r="G234" s="1225" t="s">
        <v>1109</v>
      </c>
      <c r="H234" s="1850">
        <f t="shared" ca="1" si="106"/>
        <v>2.0199999999999999E-2</v>
      </c>
      <c r="I234" s="1850">
        <f t="shared" ca="1" si="107"/>
        <v>2.0199999999999999E-2</v>
      </c>
      <c r="J234" s="1850">
        <f t="shared" ca="1" si="108"/>
        <v>2.0199999999999999E-2</v>
      </c>
      <c r="K234" s="1850">
        <f t="shared" ca="1" si="109"/>
        <v>2.0199999999999999E-2</v>
      </c>
      <c r="L234" s="1852">
        <f ca="1">IFERROR($H234*44/12*参考2_エネ使用量経年!$H127*参考2_エネ使用量経年!L127,"")</f>
        <v>0</v>
      </c>
      <c r="M234" s="1852">
        <f ca="1">IFERROR($I234*44/12*参考2_エネ使用量経年!$I127*参考2_エネ使用量経年!M127,"")</f>
        <v>0</v>
      </c>
      <c r="N234" s="1852">
        <f ca="1">IFERROR($J234*44/12*参考2_エネ使用量経年!$J127*参考2_エネ使用量経年!N127,"")</f>
        <v>0</v>
      </c>
      <c r="O234" s="1852">
        <f ca="1">IFERROR($K234*44/12*参考2_エネ使用量経年!$K127*参考2_エネ使用量経年!O127,"")</f>
        <v>0</v>
      </c>
      <c r="P234" s="1852">
        <f ca="1">IFERROR($H234*44/12*参考2_エネ使用量経年!$H127*参考2_エネ使用量経年!P127,"")</f>
        <v>0</v>
      </c>
      <c r="Q234" s="1852">
        <f ca="1">IFERROR($I234*44/12*参考2_エネ使用量経年!$I127*参考2_エネ使用量経年!Q127,"")</f>
        <v>0</v>
      </c>
      <c r="R234" s="1852">
        <f ca="1">IFERROR($J234*44/12*参考2_エネ使用量経年!$J127*参考2_エネ使用量経年!R127,"")</f>
        <v>0</v>
      </c>
      <c r="S234" s="1852">
        <f ca="1">IFERROR($K234*44/12*参考2_エネ使用量経年!$K127*参考2_エネ使用量経年!S127,"")</f>
        <v>0</v>
      </c>
      <c r="T234" s="1852">
        <f ca="1">IFERROR($H234*44/12*参考2_エネ使用量経年!$H127*参考2_エネ使用量経年!T127,"")</f>
        <v>0</v>
      </c>
      <c r="U234" s="1852">
        <f ca="1">IFERROR($I234*44/12*参考2_エネ使用量経年!$I127*参考2_エネ使用量経年!U127,"")</f>
        <v>0</v>
      </c>
      <c r="V234" s="1852">
        <f ca="1">IFERROR($J234*44/12*参考2_エネ使用量経年!$J127*参考2_エネ使用量経年!V127,"")</f>
        <v>0</v>
      </c>
      <c r="W234" s="1852">
        <f ca="1">IFERROR($K234*44/12*参考2_エネ使用量経年!$K127*参考2_エネ使用量経年!W127,"")</f>
        <v>0</v>
      </c>
      <c r="X234" s="1868"/>
      <c r="Y234" s="1868"/>
      <c r="Z234" s="1868"/>
      <c r="AA234" s="1868"/>
      <c r="AB234" s="1868"/>
      <c r="AC234" s="1868"/>
      <c r="AD234" s="1868"/>
      <c r="AE234" s="1868"/>
      <c r="AF234" s="1868"/>
      <c r="AG234" s="1868"/>
      <c r="AH234" s="1868"/>
      <c r="AI234" s="1868"/>
      <c r="AJ234" s="1868"/>
      <c r="AK234" s="1868"/>
      <c r="AL234" s="1868"/>
      <c r="AM234" s="1868"/>
      <c r="AN234" s="1868"/>
      <c r="AO234" s="1868"/>
      <c r="AP234" s="1868"/>
      <c r="AQ234" s="1868"/>
      <c r="AR234" s="1868"/>
      <c r="AS234" s="1868"/>
      <c r="AT234" s="1868"/>
      <c r="AU234" s="1868"/>
      <c r="AV234" s="1868"/>
      <c r="AW234" s="1868"/>
      <c r="AX234" s="1868"/>
      <c r="AY234" s="1868"/>
      <c r="AZ234" s="1868"/>
      <c r="BA234" s="1868"/>
      <c r="BB234" s="1868"/>
      <c r="BC234" s="1868"/>
      <c r="BD234" s="1868"/>
      <c r="BE234" s="1868"/>
      <c r="BF234" s="1868"/>
      <c r="BG234" s="1868"/>
      <c r="BH234" s="1868"/>
      <c r="BI234" s="1868"/>
      <c r="BJ234" s="1868"/>
      <c r="BK234" s="1868"/>
      <c r="BL234" s="1868"/>
      <c r="BM234" s="1868"/>
      <c r="BN234" s="1868"/>
      <c r="BO234" s="1868"/>
    </row>
    <row r="235" spans="1:68" ht="20.100000000000001" hidden="1" customHeight="1" outlineLevel="1">
      <c r="A235" s="1842">
        <v>19</v>
      </c>
      <c r="B235" s="1855"/>
      <c r="C235" s="1847"/>
      <c r="D235" s="1848" t="s">
        <v>923</v>
      </c>
      <c r="E235" s="1848"/>
      <c r="F235" s="1849"/>
      <c r="G235" s="1225" t="s">
        <v>1109</v>
      </c>
      <c r="H235" s="1850">
        <f t="shared" ca="1" si="106"/>
        <v>1.6299999999999999E-2</v>
      </c>
      <c r="I235" s="1850">
        <f t="shared" ca="1" si="107"/>
        <v>1.6299999999999999E-2</v>
      </c>
      <c r="J235" s="1850">
        <f t="shared" ca="1" si="108"/>
        <v>1.6299999999999999E-2</v>
      </c>
      <c r="K235" s="1850">
        <f t="shared" ca="1" si="109"/>
        <v>1.6299999999999999E-2</v>
      </c>
      <c r="L235" s="1852">
        <f ca="1">IFERROR($H235*44/12*参考2_エネ使用量経年!$H128*参考2_エネ使用量経年!L128,"")</f>
        <v>0</v>
      </c>
      <c r="M235" s="1852">
        <f ca="1">IFERROR($I235*44/12*参考2_エネ使用量経年!$I128*参考2_エネ使用量経年!M128,"")</f>
        <v>0</v>
      </c>
      <c r="N235" s="1852">
        <f ca="1">IFERROR($J235*44/12*参考2_エネ使用量経年!$J128*参考2_エネ使用量経年!N128,"")</f>
        <v>0</v>
      </c>
      <c r="O235" s="1852">
        <f ca="1">IFERROR($K235*44/12*参考2_エネ使用量経年!$K128*参考2_エネ使用量経年!O128,"")</f>
        <v>0</v>
      </c>
      <c r="P235" s="1852">
        <f ca="1">IFERROR($H235*44/12*参考2_エネ使用量経年!$H128*参考2_エネ使用量経年!P128,"")</f>
        <v>0</v>
      </c>
      <c r="Q235" s="1852">
        <f ca="1">IFERROR($I235*44/12*参考2_エネ使用量経年!$I128*参考2_エネ使用量経年!Q128,"")</f>
        <v>0</v>
      </c>
      <c r="R235" s="1852">
        <f ca="1">IFERROR($J235*44/12*参考2_エネ使用量経年!$J128*参考2_エネ使用量経年!R128,"")</f>
        <v>0</v>
      </c>
      <c r="S235" s="1852">
        <f ca="1">IFERROR($K235*44/12*参考2_エネ使用量経年!$K128*参考2_エネ使用量経年!S128,"")</f>
        <v>0</v>
      </c>
      <c r="T235" s="1852">
        <f ca="1">IFERROR($H235*44/12*参考2_エネ使用量経年!$H128*参考2_エネ使用量経年!T128,"")</f>
        <v>0</v>
      </c>
      <c r="U235" s="1852">
        <f ca="1">IFERROR($I235*44/12*参考2_エネ使用量経年!$I128*参考2_エネ使用量経年!U128,"")</f>
        <v>0</v>
      </c>
      <c r="V235" s="1852">
        <f ca="1">IFERROR($J235*44/12*参考2_エネ使用量経年!$J128*参考2_エネ使用量経年!V128,"")</f>
        <v>0</v>
      </c>
      <c r="W235" s="1852">
        <f ca="1">IFERROR($K235*44/12*参考2_エネ使用量経年!$K128*参考2_エネ使用量経年!W128,"")</f>
        <v>0</v>
      </c>
      <c r="X235" s="1868"/>
      <c r="Y235" s="1868"/>
      <c r="Z235" s="1868"/>
      <c r="AA235" s="1868"/>
      <c r="AB235" s="1868"/>
      <c r="AC235" s="1868"/>
      <c r="AD235" s="1868"/>
      <c r="AE235" s="1868"/>
      <c r="AF235" s="1868"/>
      <c r="AG235" s="1868"/>
      <c r="AH235" s="1868"/>
      <c r="AI235" s="1868"/>
      <c r="AJ235" s="1868"/>
      <c r="AK235" s="1868"/>
      <c r="AL235" s="1868"/>
      <c r="AM235" s="1868"/>
      <c r="AN235" s="1868"/>
      <c r="AO235" s="1868"/>
      <c r="AP235" s="1868"/>
      <c r="AQ235" s="1868"/>
      <c r="AR235" s="1868"/>
      <c r="AS235" s="1868"/>
      <c r="AT235" s="1868"/>
      <c r="AU235" s="1868"/>
      <c r="AV235" s="1868"/>
      <c r="AW235" s="1868"/>
      <c r="AX235" s="1868"/>
      <c r="AY235" s="1868"/>
      <c r="AZ235" s="1868"/>
      <c r="BA235" s="1868"/>
      <c r="BB235" s="1868"/>
      <c r="BC235" s="1868"/>
      <c r="BD235" s="1868"/>
      <c r="BE235" s="1868"/>
      <c r="BF235" s="1868"/>
      <c r="BG235" s="1868"/>
      <c r="BH235" s="1868"/>
      <c r="BI235" s="1868"/>
      <c r="BJ235" s="1868"/>
      <c r="BK235" s="1868"/>
      <c r="BL235" s="1868"/>
      <c r="BM235" s="1868"/>
      <c r="BN235" s="1868"/>
      <c r="BO235" s="1868"/>
    </row>
    <row r="236" spans="1:68" ht="20.100000000000001" hidden="1" customHeight="1" outlineLevel="1">
      <c r="A236" s="1842">
        <v>21</v>
      </c>
      <c r="B236" s="1855"/>
      <c r="C236" s="1847"/>
      <c r="D236" s="1848" t="s">
        <v>925</v>
      </c>
      <c r="E236" s="1837"/>
      <c r="F236" s="1849"/>
      <c r="G236" s="1225" t="s">
        <v>1109</v>
      </c>
      <c r="H236" s="1850">
        <f t="shared" ca="1" si="106"/>
        <v>1.3899999999999999E-2</v>
      </c>
      <c r="I236" s="1850">
        <f t="shared" ca="1" si="107"/>
        <v>1.3899999999999999E-2</v>
      </c>
      <c r="J236" s="1850">
        <f t="shared" ca="1" si="108"/>
        <v>1.3899999999999999E-2</v>
      </c>
      <c r="K236" s="1850">
        <f t="shared" ca="1" si="109"/>
        <v>1.3899999999999999E-2</v>
      </c>
      <c r="L236" s="1852">
        <f ca="1">IFERROR($H236*44/12*参考2_エネ使用量経年!$H129*参考2_エネ使用量経年!L129,"")</f>
        <v>0</v>
      </c>
      <c r="M236" s="1852">
        <f ca="1">IFERROR($I236*44/12*参考2_エネ使用量経年!$I129*参考2_エネ使用量経年!M129,"")</f>
        <v>0</v>
      </c>
      <c r="N236" s="1852">
        <f ca="1">IFERROR($J236*44/12*参考2_エネ使用量経年!$J129*参考2_エネ使用量経年!N129,"")</f>
        <v>0</v>
      </c>
      <c r="O236" s="1852">
        <f ca="1">IFERROR($K236*44/12*参考2_エネ使用量経年!$K129*参考2_エネ使用量経年!O129,"")</f>
        <v>0</v>
      </c>
      <c r="P236" s="1852">
        <f ca="1">IFERROR($H236*44/12*参考2_エネ使用量経年!$H129*参考2_エネ使用量経年!P129,"")</f>
        <v>0</v>
      </c>
      <c r="Q236" s="1852">
        <f ca="1">IFERROR($I236*44/12*参考2_エネ使用量経年!$I129*参考2_エネ使用量経年!Q129,"")</f>
        <v>0</v>
      </c>
      <c r="R236" s="1852">
        <f ca="1">IFERROR($J236*44/12*参考2_エネ使用量経年!$J129*参考2_エネ使用量経年!R129,"")</f>
        <v>0</v>
      </c>
      <c r="S236" s="1852">
        <f ca="1">IFERROR($K236*44/12*参考2_エネ使用量経年!$K129*参考2_エネ使用量経年!S129,"")</f>
        <v>0</v>
      </c>
      <c r="T236" s="1852">
        <f ca="1">IFERROR($H236*44/12*参考2_エネ使用量経年!$H129*参考2_エネ使用量経年!T129,"")</f>
        <v>0</v>
      </c>
      <c r="U236" s="1852">
        <f ca="1">IFERROR($I236*44/12*参考2_エネ使用量経年!$I129*参考2_エネ使用量経年!U129,"")</f>
        <v>0</v>
      </c>
      <c r="V236" s="1852">
        <f ca="1">IFERROR($J236*44/12*参考2_エネ使用量経年!$J129*参考2_エネ使用量経年!V129,"")</f>
        <v>0</v>
      </c>
      <c r="W236" s="1852">
        <f ca="1">IFERROR($K236*44/12*参考2_エネ使用量経年!$K129*参考2_エネ使用量経年!W129,"")</f>
        <v>0</v>
      </c>
      <c r="X236" s="1868"/>
      <c r="Y236" s="1868"/>
      <c r="Z236" s="1868"/>
      <c r="AA236" s="1868"/>
      <c r="AB236" s="1868"/>
      <c r="AC236" s="1868"/>
      <c r="AD236" s="1868"/>
      <c r="AE236" s="1868"/>
      <c r="AF236" s="1868"/>
      <c r="AG236" s="1868"/>
      <c r="AH236" s="1868"/>
      <c r="AI236" s="1868"/>
      <c r="AJ236" s="1868"/>
      <c r="AK236" s="1868"/>
      <c r="AL236" s="1868"/>
      <c r="AM236" s="1868"/>
      <c r="AN236" s="1868"/>
      <c r="AO236" s="1868"/>
      <c r="AP236" s="1868"/>
      <c r="AQ236" s="1868"/>
      <c r="AR236" s="1868"/>
      <c r="AS236" s="1868"/>
      <c r="AT236" s="1868"/>
      <c r="AU236" s="1868"/>
      <c r="AV236" s="1868"/>
      <c r="AW236" s="1868"/>
      <c r="AX236" s="1868"/>
      <c r="AY236" s="1868"/>
      <c r="AZ236" s="1868"/>
      <c r="BA236" s="1868"/>
      <c r="BB236" s="1868"/>
      <c r="BC236" s="1868"/>
      <c r="BD236" s="1868"/>
      <c r="BE236" s="1868"/>
      <c r="BF236" s="1868"/>
      <c r="BG236" s="1868"/>
      <c r="BH236" s="1868"/>
      <c r="BI236" s="1868"/>
      <c r="BJ236" s="1868"/>
      <c r="BK236" s="1868"/>
      <c r="BL236" s="1868"/>
      <c r="BM236" s="1868"/>
      <c r="BN236" s="1868"/>
      <c r="BO236" s="1868"/>
    </row>
    <row r="237" spans="1:68" ht="20.100000000000001" hidden="1" customHeight="1" outlineLevel="1">
      <c r="A237" s="1842">
        <v>7</v>
      </c>
      <c r="B237" s="1855"/>
      <c r="C237" s="1847"/>
      <c r="D237" s="1848" t="s">
        <v>934</v>
      </c>
      <c r="E237" s="1856"/>
      <c r="F237" s="1849"/>
      <c r="G237" s="1225" t="s">
        <v>1109</v>
      </c>
      <c r="H237" s="1857"/>
      <c r="I237" s="1857"/>
      <c r="J237" s="1857"/>
      <c r="K237" s="1857"/>
      <c r="L237" s="1852">
        <f ca="1">IFERROR(OFFSET(A1_集計2024,$A237,7)+OFFSET(A1_集計2024,$A237,8),0)</f>
        <v>0</v>
      </c>
      <c r="M237" s="1852">
        <f ca="1">IFERROR(OFFSET(A1_集計2025,$A237,7)+OFFSET(A1_集計2025,$A237,8),0)</f>
        <v>0</v>
      </c>
      <c r="N237" s="1852">
        <f ca="1">IFERROR(OFFSET(A1_集計2026,$A237,7)+OFFSET(A1_集計2026,$A237,8),0)</f>
        <v>0</v>
      </c>
      <c r="O237" s="1852">
        <f ca="1">IFERROR(OFFSET(A1_集計2027,$A237,7)+OFFSET(A1_集計2027,$A237,8),0)</f>
        <v>0</v>
      </c>
      <c r="P237" s="1852">
        <f ca="1">IFERROR(OFFSET(A1_集計2024,$A237,7),0)</f>
        <v>0</v>
      </c>
      <c r="Q237" s="1852">
        <f ca="1">IFERROR(OFFSET(A1_集計2025,$A237,7),0)</f>
        <v>0</v>
      </c>
      <c r="R237" s="1852">
        <f ca="1">IFERROR(OFFSET(A1_集計2026,$A237,7),0)</f>
        <v>0</v>
      </c>
      <c r="S237" s="1852">
        <f ca="1">IFERROR(OFFSET(A1_集計2027,$A237,7),0)</f>
        <v>0</v>
      </c>
      <c r="T237" s="1852">
        <f ca="1">IFERROR(OFFSET(A1_集計2024,$A237,8),0)</f>
        <v>0</v>
      </c>
      <c r="U237" s="1852">
        <f ca="1">IFERROR(OFFSET(A1_集計2025,$A237,8),0)</f>
        <v>0</v>
      </c>
      <c r="V237" s="1852">
        <f ca="1">IFERROR(OFFSET(A1_集計2026,$A237,8),0)</f>
        <v>0</v>
      </c>
      <c r="W237" s="1852">
        <f ca="1">IFERROR(OFFSET(A1_集計2027,$A237,8),0)</f>
        <v>0</v>
      </c>
      <c r="X237" s="1868"/>
      <c r="Y237" s="1868"/>
      <c r="Z237" s="1868"/>
      <c r="AA237" s="1868"/>
      <c r="AB237" s="1868"/>
      <c r="AC237" s="1868"/>
      <c r="AD237" s="1868"/>
      <c r="AE237" s="1868"/>
      <c r="AF237" s="1868"/>
      <c r="AG237" s="1868"/>
      <c r="AH237" s="1868"/>
      <c r="AI237" s="1868"/>
      <c r="AJ237" s="1868"/>
      <c r="AK237" s="1868"/>
      <c r="AL237" s="1868"/>
      <c r="AM237" s="1868"/>
      <c r="AN237" s="1868"/>
      <c r="AO237" s="1868"/>
      <c r="AP237" s="1868"/>
      <c r="AQ237" s="1868"/>
      <c r="AR237" s="1868"/>
      <c r="AS237" s="1868"/>
      <c r="AT237" s="1868"/>
      <c r="AU237" s="1868"/>
      <c r="AV237" s="1868"/>
      <c r="AW237" s="1868"/>
      <c r="AX237" s="1868"/>
      <c r="AY237" s="1868"/>
      <c r="AZ237" s="1868"/>
      <c r="BA237" s="1868"/>
      <c r="BB237" s="1868"/>
      <c r="BC237" s="1868"/>
      <c r="BD237" s="1868"/>
      <c r="BE237" s="1868"/>
      <c r="BF237" s="1868"/>
      <c r="BG237" s="1868"/>
      <c r="BH237" s="1868"/>
      <c r="BI237" s="1868"/>
      <c r="BJ237" s="1868"/>
      <c r="BK237" s="1868"/>
      <c r="BL237" s="1868"/>
      <c r="BM237" s="1868"/>
      <c r="BN237" s="1868"/>
      <c r="BO237" s="1868"/>
    </row>
    <row r="238" spans="1:68" ht="20.100000000000001" hidden="1" customHeight="1" outlineLevel="1">
      <c r="A238" s="1842">
        <v>200</v>
      </c>
      <c r="B238" s="1854"/>
      <c r="C238" s="1847"/>
      <c r="D238" s="1848" t="s">
        <v>935</v>
      </c>
      <c r="E238" s="1858" t="str">
        <f ca="1">参考2_エネ使用量経年!E131</f>
        <v/>
      </c>
      <c r="F238" s="1849"/>
      <c r="G238" s="1225" t="s">
        <v>1109</v>
      </c>
      <c r="H238" s="1850">
        <f ca="1">IFERROR(OFFSET(貼付け_2024実績,$A238,16),"")</f>
        <v>0</v>
      </c>
      <c r="I238" s="1850">
        <f ca="1">IFERROR(OFFSET(貼付け_2025実績,$A238,16),"")</f>
        <v>0</v>
      </c>
      <c r="J238" s="1850">
        <f ca="1">IFERROR(OFFSET(貼付け_2026実績,$A238,16),"")</f>
        <v>0</v>
      </c>
      <c r="K238" s="1850">
        <f ca="1">IFERROR(OFFSET(貼付け_2027実績,$A238,16),"")</f>
        <v>0</v>
      </c>
      <c r="L238" s="1852">
        <f ca="1">IFERROR($H238*44/12*参考2_エネ使用量経年!$H131*参考2_エネ使用量経年!L131,"")</f>
        <v>0</v>
      </c>
      <c r="M238" s="1852">
        <f ca="1">IFERROR($I238*44/12*参考2_エネ使用量経年!$I131*参考2_エネ使用量経年!M131,"")</f>
        <v>0</v>
      </c>
      <c r="N238" s="1852">
        <f ca="1">IFERROR($J238*44/12*参考2_エネ使用量経年!$J131*参考2_エネ使用量経年!N131,"")</f>
        <v>0</v>
      </c>
      <c r="O238" s="1852">
        <f ca="1">IFERROR($K238*44/12*参考2_エネ使用量経年!$K131*参考2_エネ使用量経年!O131,"")</f>
        <v>0</v>
      </c>
      <c r="P238" s="1852">
        <f ca="1">IFERROR($H238*44/12*参考2_エネ使用量経年!$H131*参考2_エネ使用量経年!P131,"")</f>
        <v>0</v>
      </c>
      <c r="Q238" s="1852">
        <f ca="1">IFERROR($I238*44/12*参考2_エネ使用量経年!$I131*参考2_エネ使用量経年!Q131,"")</f>
        <v>0</v>
      </c>
      <c r="R238" s="1852">
        <f ca="1">IFERROR($J238*44/12*参考2_エネ使用量経年!$J131*参考2_エネ使用量経年!R131,"")</f>
        <v>0</v>
      </c>
      <c r="S238" s="1852">
        <f ca="1">IFERROR($K238*44/12*参考2_エネ使用量経年!$K131*参考2_エネ使用量経年!S131,"")</f>
        <v>0</v>
      </c>
      <c r="T238" s="1852">
        <f ca="1">IFERROR($H238*44/12*参考2_エネ使用量経年!$H131*参考2_エネ使用量経年!T131,"")</f>
        <v>0</v>
      </c>
      <c r="U238" s="1852">
        <f ca="1">IFERROR($I238*44/12*参考2_エネ使用量経年!$I131*参考2_エネ使用量経年!U131,"")</f>
        <v>0</v>
      </c>
      <c r="V238" s="1852">
        <f ca="1">IFERROR($J238*44/12*参考2_エネ使用量経年!$J131*参考2_エネ使用量経年!V131,"")</f>
        <v>0</v>
      </c>
      <c r="W238" s="1852">
        <f ca="1">IFERROR($K238*44/12*参考2_エネ使用量経年!$K131*参考2_エネ使用量経年!W131,"")</f>
        <v>0</v>
      </c>
      <c r="X238" s="1868"/>
      <c r="Y238" s="1868"/>
      <c r="Z238" s="1868"/>
      <c r="AA238" s="1868"/>
      <c r="AB238" s="1868"/>
      <c r="AC238" s="1868"/>
      <c r="AD238" s="1868"/>
      <c r="AE238" s="1868"/>
      <c r="AF238" s="1868"/>
      <c r="AG238" s="1868"/>
      <c r="AH238" s="1868"/>
      <c r="AI238" s="1868"/>
      <c r="AJ238" s="1868"/>
      <c r="AK238" s="1868"/>
      <c r="AL238" s="1868"/>
      <c r="AM238" s="1868"/>
      <c r="AN238" s="1868"/>
      <c r="AO238" s="1868"/>
      <c r="AP238" s="1868"/>
      <c r="AQ238" s="1868"/>
      <c r="AR238" s="1868"/>
      <c r="AS238" s="1868"/>
      <c r="AT238" s="1868"/>
      <c r="AU238" s="1868"/>
      <c r="AV238" s="1868"/>
      <c r="AW238" s="1868"/>
      <c r="AX238" s="1868"/>
      <c r="AY238" s="1868"/>
      <c r="AZ238" s="1868"/>
      <c r="BA238" s="1868"/>
      <c r="BB238" s="1868"/>
      <c r="BC238" s="1868"/>
      <c r="BD238" s="1868"/>
      <c r="BE238" s="1868"/>
      <c r="BF238" s="1868"/>
      <c r="BG238" s="1868"/>
      <c r="BH238" s="1868"/>
      <c r="BI238" s="1868"/>
      <c r="BJ238" s="1868"/>
      <c r="BK238" s="1868"/>
      <c r="BL238" s="1868"/>
      <c r="BM238" s="1868"/>
      <c r="BN238" s="1868"/>
      <c r="BO238" s="1868"/>
    </row>
    <row r="239" spans="1:68" ht="20.100000000000001" hidden="1" customHeight="1" outlineLevel="1">
      <c r="A239" s="1842">
        <v>40</v>
      </c>
      <c r="B239" s="1854"/>
      <c r="C239" s="1847" t="s">
        <v>1161</v>
      </c>
      <c r="D239" s="1848" t="s">
        <v>564</v>
      </c>
      <c r="E239" s="1848"/>
      <c r="F239" s="1849"/>
      <c r="G239" s="1225" t="s">
        <v>1109</v>
      </c>
      <c r="H239" s="1850">
        <f ca="1">IFERROR(OFFSET(貼付け_2024実績,$A239,6),"")</f>
        <v>0</v>
      </c>
      <c r="I239" s="1850">
        <f ca="1">IFERROR(OFFSET(貼付け_2025実績,$A239,6),"")</f>
        <v>0</v>
      </c>
      <c r="J239" s="1850">
        <f ca="1">IFERROR(OFFSET(貼付け_2026実績,$A239,6),"")</f>
        <v>0</v>
      </c>
      <c r="K239" s="1850">
        <f ca="1">IFERROR(OFFSET(貼付け_2027実績,$A239,6),"")</f>
        <v>0</v>
      </c>
      <c r="L239" s="1852">
        <f ca="1">IFERROR($H239*44/12*参考2_エネ使用量経年!$H132*参考2_エネ使用量経年!L132,"")</f>
        <v>0</v>
      </c>
      <c r="M239" s="1852">
        <f ca="1">IFERROR($I239*44/12*参考2_エネ使用量経年!$I132*参考2_エネ使用量経年!M132,"")</f>
        <v>0</v>
      </c>
      <c r="N239" s="1852">
        <f ca="1">IFERROR($J239*44/12*参考2_エネ使用量経年!$J132*参考2_エネ使用量経年!N132,"")</f>
        <v>0</v>
      </c>
      <c r="O239" s="1852">
        <f ca="1">IFERROR($K239*44/12*参考2_エネ使用量経年!$K132*参考2_エネ使用量経年!O132,"")</f>
        <v>0</v>
      </c>
      <c r="P239" s="1852">
        <f ca="1">IFERROR($H239*44/12*参考2_エネ使用量経年!$H132*参考2_エネ使用量経年!P132,"")</f>
        <v>0</v>
      </c>
      <c r="Q239" s="1852">
        <f ca="1">IFERROR($I239*44/12*参考2_エネ使用量経年!$I132*参考2_エネ使用量経年!Q132,"")</f>
        <v>0</v>
      </c>
      <c r="R239" s="1852">
        <f ca="1">IFERROR($J239*44/12*参考2_エネ使用量経年!$J132*参考2_エネ使用量経年!R132,"")</f>
        <v>0</v>
      </c>
      <c r="S239" s="1852">
        <f ca="1">IFERROR($K239*44/12*参考2_エネ使用量経年!$K132*参考2_エネ使用量経年!S132,"")</f>
        <v>0</v>
      </c>
      <c r="T239" s="1852">
        <f ca="1">IFERROR($H239*44/12*参考2_エネ使用量経年!$H132*参考2_エネ使用量経年!T132,"")</f>
        <v>0</v>
      </c>
      <c r="U239" s="1852">
        <f ca="1">IFERROR($I239*44/12*参考2_エネ使用量経年!$I132*参考2_エネ使用量経年!U132,"")</f>
        <v>0</v>
      </c>
      <c r="V239" s="1852">
        <f ca="1">IFERROR($J239*44/12*参考2_エネ使用量経年!$J132*参考2_エネ使用量経年!V132,"")</f>
        <v>0</v>
      </c>
      <c r="W239" s="1852">
        <f ca="1">IFERROR($K239*44/12*参考2_エネ使用量経年!$K132*参考2_エネ使用量経年!W132,"")</f>
        <v>0</v>
      </c>
      <c r="X239" s="1868"/>
      <c r="Y239" s="1868"/>
      <c r="Z239" s="1868"/>
      <c r="AA239" s="1868"/>
      <c r="AB239" s="1868"/>
      <c r="AC239" s="1868"/>
      <c r="AD239" s="1868"/>
      <c r="AE239" s="1868"/>
      <c r="AF239" s="1868"/>
      <c r="AG239" s="1868"/>
      <c r="AH239" s="1868"/>
      <c r="AI239" s="1868"/>
      <c r="AJ239" s="1868"/>
      <c r="AK239" s="1868"/>
      <c r="AL239" s="1868"/>
      <c r="AM239" s="1868"/>
      <c r="AN239" s="1868"/>
      <c r="AO239" s="1868"/>
      <c r="AP239" s="1868"/>
      <c r="AQ239" s="1868"/>
      <c r="AR239" s="1868"/>
      <c r="AS239" s="1868"/>
      <c r="AT239" s="1868"/>
      <c r="AU239" s="1868"/>
      <c r="AV239" s="1868"/>
      <c r="AW239" s="1868"/>
      <c r="AX239" s="1868"/>
      <c r="AY239" s="1868"/>
      <c r="AZ239" s="1868"/>
      <c r="BA239" s="1868"/>
      <c r="BB239" s="1868"/>
      <c r="BC239" s="1868"/>
      <c r="BD239" s="1868"/>
      <c r="BE239" s="1868"/>
      <c r="BF239" s="1868"/>
      <c r="BG239" s="1868"/>
      <c r="BH239" s="1868"/>
      <c r="BI239" s="1868"/>
      <c r="BJ239" s="1868"/>
      <c r="BK239" s="1868"/>
      <c r="BL239" s="1868"/>
      <c r="BM239" s="1868"/>
      <c r="BN239" s="1868"/>
      <c r="BO239" s="1868"/>
    </row>
    <row r="240" spans="1:68" ht="20.100000000000001" hidden="1" customHeight="1" outlineLevel="1">
      <c r="A240" s="1842">
        <v>41</v>
      </c>
      <c r="B240" s="1854"/>
      <c r="C240" s="1847"/>
      <c r="D240" s="1848" t="s">
        <v>565</v>
      </c>
      <c r="E240" s="1848"/>
      <c r="F240" s="1849"/>
      <c r="G240" s="1225" t="s">
        <v>1109</v>
      </c>
      <c r="H240" s="1850">
        <f ca="1">IFERROR(OFFSET(貼付け_2024実績,$A240,6),"")</f>
        <v>0</v>
      </c>
      <c r="I240" s="1850">
        <f ca="1">IFERROR(OFFSET(貼付け_2025実績,$A240,6),"")</f>
        <v>0</v>
      </c>
      <c r="J240" s="1850">
        <f ca="1">IFERROR(OFFSET(貼付け_2026実績,$A240,6),"")</f>
        <v>0</v>
      </c>
      <c r="K240" s="1850">
        <f ca="1">IFERROR(OFFSET(貼付け_2027実績,$A240,6),"")</f>
        <v>0</v>
      </c>
      <c r="L240" s="1852">
        <f ca="1">IFERROR($H240*44/12*参考2_エネ使用量経年!$H133*参考2_エネ使用量経年!L133,"")</f>
        <v>0</v>
      </c>
      <c r="M240" s="1852">
        <f ca="1">IFERROR($I240*44/12*参考2_エネ使用量経年!$I133*参考2_エネ使用量経年!M133,"")</f>
        <v>0</v>
      </c>
      <c r="N240" s="1852">
        <f ca="1">IFERROR($J240*44/12*参考2_エネ使用量経年!$J133*参考2_エネ使用量経年!N133,"")</f>
        <v>0</v>
      </c>
      <c r="O240" s="1852">
        <f ca="1">IFERROR($K240*44/12*参考2_エネ使用量経年!$K133*参考2_エネ使用量経年!O133,"")</f>
        <v>0</v>
      </c>
      <c r="P240" s="1852">
        <f ca="1">IFERROR($H240*44/12*参考2_エネ使用量経年!$H133*参考2_エネ使用量経年!P133,"")</f>
        <v>0</v>
      </c>
      <c r="Q240" s="1852">
        <f ca="1">IFERROR($I240*44/12*参考2_エネ使用量経年!$I133*参考2_エネ使用量経年!Q133,"")</f>
        <v>0</v>
      </c>
      <c r="R240" s="1852">
        <f ca="1">IFERROR($J240*44/12*参考2_エネ使用量経年!$J133*参考2_エネ使用量経年!R133,"")</f>
        <v>0</v>
      </c>
      <c r="S240" s="1852">
        <f ca="1">IFERROR($K240*44/12*参考2_エネ使用量経年!$K133*参考2_エネ使用量経年!S133,"")</f>
        <v>0</v>
      </c>
      <c r="T240" s="1852">
        <f ca="1">IFERROR($H240*44/12*参考2_エネ使用量経年!$H133*参考2_エネ使用量経年!T133,"")</f>
        <v>0</v>
      </c>
      <c r="U240" s="1852">
        <f ca="1">IFERROR($I240*44/12*参考2_エネ使用量経年!$I133*参考2_エネ使用量経年!U133,"")</f>
        <v>0</v>
      </c>
      <c r="V240" s="1852">
        <f ca="1">IFERROR($J240*44/12*参考2_エネ使用量経年!$J133*参考2_エネ使用量経年!V133,"")</f>
        <v>0</v>
      </c>
      <c r="W240" s="1852">
        <f ca="1">IFERROR($K240*44/12*参考2_エネ使用量経年!$K133*参考2_エネ使用量経年!W133,"")</f>
        <v>0</v>
      </c>
      <c r="X240" s="1868"/>
      <c r="Y240" s="1868"/>
      <c r="Z240" s="1868"/>
      <c r="AA240" s="1868"/>
      <c r="AB240" s="1868"/>
      <c r="AC240" s="1868"/>
      <c r="AD240" s="1868"/>
      <c r="AE240" s="1868"/>
      <c r="AF240" s="1868"/>
      <c r="AG240" s="1868"/>
      <c r="AH240" s="1868"/>
      <c r="AI240" s="1868"/>
      <c r="AJ240" s="1868"/>
      <c r="AK240" s="1868"/>
      <c r="AL240" s="1868"/>
      <c r="AM240" s="1868"/>
      <c r="AN240" s="1868"/>
      <c r="AO240" s="1868"/>
      <c r="AP240" s="1868"/>
      <c r="AQ240" s="1868"/>
      <c r="AR240" s="1868"/>
      <c r="AS240" s="1868"/>
      <c r="AT240" s="1868"/>
      <c r="AU240" s="1868"/>
      <c r="AV240" s="1868"/>
      <c r="AW240" s="1868"/>
      <c r="AX240" s="1868"/>
      <c r="AY240" s="1868"/>
      <c r="AZ240" s="1868"/>
      <c r="BA240" s="1868"/>
      <c r="BB240" s="1868"/>
      <c r="BC240" s="1868"/>
      <c r="BD240" s="1868"/>
      <c r="BE240" s="1868"/>
      <c r="BF240" s="1868"/>
      <c r="BG240" s="1868"/>
      <c r="BH240" s="1868"/>
      <c r="BI240" s="1868"/>
      <c r="BJ240" s="1868"/>
      <c r="BK240" s="1868"/>
      <c r="BL240" s="1868"/>
      <c r="BM240" s="1868"/>
      <c r="BN240" s="1868"/>
      <c r="BO240" s="1868"/>
    </row>
    <row r="241" spans="1:68" ht="20.100000000000001" hidden="1" customHeight="1" outlineLevel="1">
      <c r="A241" s="1842">
        <v>52</v>
      </c>
      <c r="B241" s="1854"/>
      <c r="C241" s="1847"/>
      <c r="D241" s="1848" t="s">
        <v>947</v>
      </c>
      <c r="E241" s="1848"/>
      <c r="F241" s="1849"/>
      <c r="G241" s="1225" t="s">
        <v>1109</v>
      </c>
      <c r="H241" s="1850">
        <f ca="1">IFERROR(OFFSET(貼付け_2024実績,$A241,6),"")</f>
        <v>0</v>
      </c>
      <c r="I241" s="1850">
        <f ca="1">IFERROR(OFFSET(貼付け_2025実績,$A241,6),"")</f>
        <v>0</v>
      </c>
      <c r="J241" s="1850">
        <f ca="1">IFERROR(OFFSET(貼付け_2026実績,$A241,6),"")</f>
        <v>0</v>
      </c>
      <c r="K241" s="1850">
        <f ca="1">IFERROR(OFFSET(貼付け_2027実績,$A241,6),"")</f>
        <v>0</v>
      </c>
      <c r="L241" s="1852">
        <f ca="1">IFERROR($H241*44/12*参考2_エネ使用量経年!$H134*参考2_エネ使用量経年!L134,"")</f>
        <v>0</v>
      </c>
      <c r="M241" s="1852">
        <f ca="1">IFERROR($I241*44/12*参考2_エネ使用量経年!$I134*参考2_エネ使用量経年!M134,"")</f>
        <v>0</v>
      </c>
      <c r="N241" s="1852">
        <f ca="1">IFERROR($J241*44/12*参考2_エネ使用量経年!$J134*参考2_エネ使用量経年!N134,"")</f>
        <v>0</v>
      </c>
      <c r="O241" s="1852">
        <f ca="1">IFERROR($K241*44/12*参考2_エネ使用量経年!$K134*参考2_エネ使用量経年!O134,"")</f>
        <v>0</v>
      </c>
      <c r="P241" s="1852">
        <f ca="1">IFERROR($H241*44/12*参考2_エネ使用量経年!$H134*参考2_エネ使用量経年!P134,"")</f>
        <v>0</v>
      </c>
      <c r="Q241" s="1852">
        <f ca="1">IFERROR($I241*44/12*参考2_エネ使用量経年!$I134*参考2_エネ使用量経年!Q134,"")</f>
        <v>0</v>
      </c>
      <c r="R241" s="1852">
        <f ca="1">IFERROR($J241*44/12*参考2_エネ使用量経年!$J134*参考2_エネ使用量経年!R134,"")</f>
        <v>0</v>
      </c>
      <c r="S241" s="1852">
        <f ca="1">IFERROR($K241*44/12*参考2_エネ使用量経年!$K134*参考2_エネ使用量経年!S134,"")</f>
        <v>0</v>
      </c>
      <c r="T241" s="1852">
        <f ca="1">IFERROR($H241*44/12*参考2_エネ使用量経年!$H134*参考2_エネ使用量経年!T134,"")</f>
        <v>0</v>
      </c>
      <c r="U241" s="1852">
        <f ca="1">IFERROR($I241*44/12*参考2_エネ使用量経年!$I134*参考2_エネ使用量経年!U134,"")</f>
        <v>0</v>
      </c>
      <c r="V241" s="1852">
        <f ca="1">IFERROR($J241*44/12*参考2_エネ使用量経年!$J134*参考2_エネ使用量経年!V134,"")</f>
        <v>0</v>
      </c>
      <c r="W241" s="1852">
        <f ca="1">IFERROR($K241*44/12*参考2_エネ使用量経年!$K134*参考2_エネ使用量経年!W134,"")</f>
        <v>0</v>
      </c>
      <c r="X241" s="1868"/>
      <c r="Y241" s="1868"/>
      <c r="Z241" s="1868"/>
      <c r="AA241" s="1868"/>
      <c r="AB241" s="1868"/>
      <c r="AC241" s="1868"/>
      <c r="AD241" s="1868"/>
      <c r="AE241" s="1868"/>
      <c r="AF241" s="1868"/>
      <c r="AG241" s="1868"/>
      <c r="AH241" s="1868"/>
      <c r="AI241" s="1868"/>
      <c r="AJ241" s="1868"/>
      <c r="AK241" s="1868"/>
      <c r="AL241" s="1868"/>
      <c r="AM241" s="1868"/>
      <c r="AN241" s="1868"/>
      <c r="AO241" s="1868"/>
      <c r="AP241" s="1868"/>
      <c r="AQ241" s="1868"/>
      <c r="AR241" s="1868"/>
      <c r="AS241" s="1868"/>
      <c r="AT241" s="1868"/>
      <c r="AU241" s="1868"/>
      <c r="AV241" s="1868"/>
      <c r="AW241" s="1868"/>
      <c r="AX241" s="1868"/>
      <c r="AY241" s="1868"/>
      <c r="AZ241" s="1868"/>
      <c r="BA241" s="1868"/>
      <c r="BB241" s="1868"/>
      <c r="BC241" s="1868"/>
      <c r="BD241" s="1868"/>
      <c r="BE241" s="1868"/>
      <c r="BF241" s="1868"/>
      <c r="BG241" s="1868"/>
      <c r="BH241" s="1868"/>
      <c r="BI241" s="1868"/>
      <c r="BJ241" s="1868"/>
      <c r="BK241" s="1868"/>
      <c r="BL241" s="1868"/>
      <c r="BM241" s="1868"/>
      <c r="BN241" s="1868"/>
      <c r="BO241" s="1868"/>
    </row>
    <row r="242" spans="1:68" ht="20.100000000000001" hidden="1" customHeight="1" outlineLevel="1">
      <c r="A242" s="1842">
        <v>53</v>
      </c>
      <c r="B242" s="1854"/>
      <c r="C242" s="1847"/>
      <c r="D242" s="1848" t="s">
        <v>569</v>
      </c>
      <c r="E242" s="1848"/>
      <c r="F242" s="1849"/>
      <c r="G242" s="1225" t="s">
        <v>1109</v>
      </c>
      <c r="H242" s="1850">
        <f ca="1">IFERROR(OFFSET(貼付け_2024実績,$A242,6),"")</f>
        <v>0</v>
      </c>
      <c r="I242" s="1850">
        <f ca="1">IFERROR(OFFSET(貼付け_2025実績,$A242,6),"")</f>
        <v>0</v>
      </c>
      <c r="J242" s="1850">
        <f ca="1">IFERROR(OFFSET(貼付け_2026実績,$A242,6),"")</f>
        <v>0</v>
      </c>
      <c r="K242" s="1850">
        <f ca="1">IFERROR(OFFSET(貼付け_2027実績,$A242,6),"")</f>
        <v>0</v>
      </c>
      <c r="L242" s="1852">
        <f ca="1">IFERROR($H242*44/12*参考2_エネ使用量経年!$H135*参考2_エネ使用量経年!L135,"")</f>
        <v>0</v>
      </c>
      <c r="M242" s="1852">
        <f ca="1">IFERROR($I242*44/12*参考2_エネ使用量経年!$I135*参考2_エネ使用量経年!M135,"")</f>
        <v>0</v>
      </c>
      <c r="N242" s="1852">
        <f ca="1">IFERROR($J242*44/12*参考2_エネ使用量経年!$J135*参考2_エネ使用量経年!N135,"")</f>
        <v>0</v>
      </c>
      <c r="O242" s="1852">
        <f ca="1">IFERROR($K242*44/12*参考2_エネ使用量経年!$K135*参考2_エネ使用量経年!O135,"")</f>
        <v>0</v>
      </c>
      <c r="P242" s="1852">
        <f ca="1">IFERROR($H242*44/12*参考2_エネ使用量経年!$H135*参考2_エネ使用量経年!P135,"")</f>
        <v>0</v>
      </c>
      <c r="Q242" s="1852">
        <f ca="1">IFERROR($I242*44/12*参考2_エネ使用量経年!$I135*参考2_エネ使用量経年!Q135,"")</f>
        <v>0</v>
      </c>
      <c r="R242" s="1852">
        <f ca="1">IFERROR($J242*44/12*参考2_エネ使用量経年!$J135*参考2_エネ使用量経年!R135,"")</f>
        <v>0</v>
      </c>
      <c r="S242" s="1852">
        <f ca="1">IFERROR($K242*44/12*参考2_エネ使用量経年!$K135*参考2_エネ使用量経年!S135,"")</f>
        <v>0</v>
      </c>
      <c r="T242" s="1852">
        <f ca="1">IFERROR($H242*44/12*参考2_エネ使用量経年!$H135*参考2_エネ使用量経年!T135,"")</f>
        <v>0</v>
      </c>
      <c r="U242" s="1852">
        <f ca="1">IFERROR($I242*44/12*参考2_エネ使用量経年!$I135*参考2_エネ使用量経年!U135,"")</f>
        <v>0</v>
      </c>
      <c r="V242" s="1852">
        <f ca="1">IFERROR($J242*44/12*参考2_エネ使用量経年!$J135*参考2_エネ使用量経年!V135,"")</f>
        <v>0</v>
      </c>
      <c r="W242" s="1852">
        <f ca="1">IFERROR($K242*44/12*参考2_エネ使用量経年!$K135*参考2_エネ使用量経年!W135,"")</f>
        <v>0</v>
      </c>
      <c r="X242" s="1868"/>
      <c r="Y242" s="1868"/>
      <c r="Z242" s="1868"/>
      <c r="AA242" s="1868"/>
      <c r="AB242" s="1868"/>
      <c r="AC242" s="1868"/>
      <c r="AD242" s="1868"/>
      <c r="AE242" s="1868"/>
      <c r="AF242" s="1868"/>
      <c r="AG242" s="1868"/>
      <c r="AH242" s="1868"/>
      <c r="AI242" s="1868"/>
      <c r="AJ242" s="1868"/>
      <c r="AK242" s="1868"/>
      <c r="AL242" s="1868"/>
      <c r="AM242" s="1868"/>
      <c r="AN242" s="1868"/>
      <c r="AO242" s="1868"/>
      <c r="AP242" s="1868"/>
      <c r="AQ242" s="1868"/>
      <c r="AR242" s="1868"/>
      <c r="AS242" s="1868"/>
      <c r="AT242" s="1868"/>
      <c r="AU242" s="1868"/>
      <c r="AV242" s="1868"/>
      <c r="AW242" s="1868"/>
      <c r="AX242" s="1868"/>
      <c r="AY242" s="1868"/>
      <c r="AZ242" s="1868"/>
      <c r="BA242" s="1868"/>
      <c r="BB242" s="1868"/>
      <c r="BC242" s="1868"/>
      <c r="BD242" s="1868"/>
      <c r="BE242" s="1868"/>
      <c r="BF242" s="1868"/>
      <c r="BG242" s="1868"/>
      <c r="BH242" s="1868"/>
      <c r="BI242" s="1868"/>
      <c r="BJ242" s="1868"/>
      <c r="BK242" s="1868"/>
      <c r="BL242" s="1868"/>
      <c r="BM242" s="1868"/>
      <c r="BN242" s="1868"/>
      <c r="BO242" s="1868"/>
    </row>
    <row r="243" spans="1:68" ht="20.100000000000001" hidden="1" customHeight="1" outlineLevel="1">
      <c r="A243" s="1842">
        <v>200</v>
      </c>
      <c r="B243" s="1854"/>
      <c r="C243" s="1847"/>
      <c r="D243" s="1848" t="s">
        <v>948</v>
      </c>
      <c r="E243" s="1858" t="str">
        <f ca="1">参考2_エネ使用量経年!E136</f>
        <v/>
      </c>
      <c r="F243" s="1860"/>
      <c r="G243" s="1225" t="s">
        <v>1109</v>
      </c>
      <c r="H243" s="1850">
        <f ca="1">IFERROR(OFFSET(貼付け_2024実績,$A243,16),"")</f>
        <v>0</v>
      </c>
      <c r="I243" s="1850">
        <f ca="1">IFERROR(OFFSET(貼付け_2025実績,$A243,16),"")</f>
        <v>0</v>
      </c>
      <c r="J243" s="1850">
        <f ca="1">IFERROR(OFFSET(貼付け_2026実績,$A243,16),"")</f>
        <v>0</v>
      </c>
      <c r="K243" s="1850">
        <f ca="1">IFERROR(OFFSET(貼付け_2027実績,$A243,16),"")</f>
        <v>0</v>
      </c>
      <c r="L243" s="1852">
        <f ca="1">IFERROR($H243*44/12*参考2_エネ使用量経年!$H136*参考2_エネ使用量経年!L136,"")</f>
        <v>0</v>
      </c>
      <c r="M243" s="1852">
        <f ca="1">IFERROR($I243*44/12*参考2_エネ使用量経年!$I136*参考2_エネ使用量経年!M136,"")</f>
        <v>0</v>
      </c>
      <c r="N243" s="1852">
        <f ca="1">IFERROR($J243*44/12*参考2_エネ使用量経年!$J136*参考2_エネ使用量経年!N136,"")</f>
        <v>0</v>
      </c>
      <c r="O243" s="1852">
        <f ca="1">IFERROR($K243*44/12*参考2_エネ使用量経年!$K136*参考2_エネ使用量経年!O136,"")</f>
        <v>0</v>
      </c>
      <c r="P243" s="1852">
        <f ca="1">IFERROR($H243*44/12*参考2_エネ使用量経年!$H136*参考2_エネ使用量経年!P136,"")</f>
        <v>0</v>
      </c>
      <c r="Q243" s="1852">
        <f ca="1">IFERROR($I243*44/12*参考2_エネ使用量経年!$I136*参考2_エネ使用量経年!Q136,"")</f>
        <v>0</v>
      </c>
      <c r="R243" s="1852">
        <f ca="1">IFERROR($J243*44/12*参考2_エネ使用量経年!$J136*参考2_エネ使用量経年!R136,"")</f>
        <v>0</v>
      </c>
      <c r="S243" s="1852">
        <f ca="1">IFERROR($K243*44/12*参考2_エネ使用量経年!$K136*参考2_エネ使用量経年!S136,"")</f>
        <v>0</v>
      </c>
      <c r="T243" s="1852">
        <f ca="1">IFERROR($H243*44/12*参考2_エネ使用量経年!$H136*参考2_エネ使用量経年!T136,"")</f>
        <v>0</v>
      </c>
      <c r="U243" s="1852">
        <f ca="1">IFERROR($I243*44/12*参考2_エネ使用量経年!$I136*参考2_エネ使用量経年!U136,"")</f>
        <v>0</v>
      </c>
      <c r="V243" s="1852">
        <f ca="1">IFERROR($J243*44/12*参考2_エネ使用量経年!$J136*参考2_エネ使用量経年!V136,"")</f>
        <v>0</v>
      </c>
      <c r="W243" s="1852">
        <f ca="1">IFERROR($K243*44/12*参考2_エネ使用量経年!$K136*参考2_エネ使用量経年!W136,"")</f>
        <v>0</v>
      </c>
      <c r="X243" s="1868"/>
      <c r="Y243" s="1868"/>
      <c r="Z243" s="1868"/>
      <c r="AA243" s="1868"/>
      <c r="AB243" s="1868"/>
      <c r="AC243" s="1868"/>
      <c r="AD243" s="1868"/>
      <c r="AE243" s="1868"/>
      <c r="AF243" s="1868"/>
      <c r="AG243" s="1868"/>
      <c r="AH243" s="1868"/>
      <c r="AI243" s="1868"/>
      <c r="AJ243" s="1868"/>
      <c r="AK243" s="1868"/>
      <c r="AL243" s="1868"/>
      <c r="AM243" s="1868"/>
      <c r="AN243" s="1868"/>
      <c r="AO243" s="1868"/>
      <c r="AP243" s="1868"/>
      <c r="AQ243" s="1868"/>
      <c r="AR243" s="1868"/>
      <c r="AS243" s="1868"/>
      <c r="AT243" s="1868"/>
      <c r="AU243" s="1868"/>
      <c r="AV243" s="1868"/>
      <c r="AW243" s="1868"/>
      <c r="AX243" s="1868"/>
      <c r="AY243" s="1868"/>
      <c r="AZ243" s="1868"/>
      <c r="BA243" s="1868"/>
      <c r="BB243" s="1868"/>
      <c r="BC243" s="1868"/>
      <c r="BD243" s="1868"/>
      <c r="BE243" s="1868"/>
      <c r="BF243" s="1868"/>
      <c r="BG243" s="1868"/>
      <c r="BH243" s="1868"/>
      <c r="BI243" s="1868"/>
      <c r="BJ243" s="1868"/>
      <c r="BK243" s="1868"/>
      <c r="BL243" s="1868"/>
      <c r="BM243" s="1868"/>
      <c r="BN243" s="1868"/>
      <c r="BO243" s="1868"/>
    </row>
    <row r="244" spans="1:68" ht="20.100000000000001" hidden="1" customHeight="1" outlineLevel="1">
      <c r="A244" s="1842">
        <v>15</v>
      </c>
      <c r="B244" s="1846" t="s">
        <v>964</v>
      </c>
      <c r="C244" s="1870" t="s">
        <v>965</v>
      </c>
      <c r="D244" s="1871"/>
      <c r="E244" s="1856"/>
      <c r="F244" s="1863"/>
      <c r="G244" s="1225" t="s">
        <v>1109</v>
      </c>
      <c r="H244" s="1857"/>
      <c r="I244" s="1857"/>
      <c r="J244" s="1857"/>
      <c r="K244" s="1857"/>
      <c r="L244" s="1888">
        <f ca="1">IFERROR(OFFSET(A1_集計2024,$A244,7)+OFFSET(A1_集計2024,$A244,8),0)</f>
        <v>0</v>
      </c>
      <c r="M244" s="1888">
        <f ca="1">IFERROR(OFFSET(A1_集計2025,$A244,7)+OFFSET(A1_集計2025,$A244,8),0)</f>
        <v>0</v>
      </c>
      <c r="N244" s="1888">
        <f ca="1">IFERROR(OFFSET(A1_集計2026,$A244,7)+OFFSET(A1_集計2026,$A244,8),0)</f>
        <v>0</v>
      </c>
      <c r="O244" s="1888">
        <f ca="1">IFERROR(OFFSET(A1_集計2027,$A244,7)+OFFSET(A1_集計2027,$A244,8),0)</f>
        <v>0</v>
      </c>
      <c r="P244" s="1852">
        <f ca="1">IFERROR(OFFSET(A1_集計2024,$A244,7),0)</f>
        <v>0</v>
      </c>
      <c r="Q244" s="1852">
        <f ca="1">IFERROR(OFFSET(A1_集計2025,$A244,7),0)</f>
        <v>0</v>
      </c>
      <c r="R244" s="1852">
        <f ca="1">IFERROR(OFFSET(A1_集計2026,$A244,7),0)</f>
        <v>0</v>
      </c>
      <c r="S244" s="1852">
        <f ca="1">IFERROR(OFFSET(A1_集計2027,$A244,7),0)</f>
        <v>0</v>
      </c>
      <c r="T244" s="1852">
        <f ca="1">IFERROR(OFFSET(A1_集計2024,$A244,8),0)</f>
        <v>0</v>
      </c>
      <c r="U244" s="1852">
        <f ca="1">IFERROR(OFFSET(A1_集計2025,$A244,8),0)</f>
        <v>0</v>
      </c>
      <c r="V244" s="1852">
        <f ca="1">IFERROR(OFFSET(A1_集計2026,$A244,8),0)</f>
        <v>0</v>
      </c>
      <c r="W244" s="1852">
        <f ca="1">IFERROR(OFFSET(A1_集計2027,$A244,8),0)</f>
        <v>0</v>
      </c>
      <c r="X244" s="1868"/>
      <c r="Y244" s="1868"/>
      <c r="Z244" s="1868"/>
      <c r="AA244" s="1868"/>
      <c r="AB244" s="1868"/>
      <c r="AC244" s="1868"/>
      <c r="AD244" s="1868"/>
      <c r="AE244" s="1868"/>
      <c r="AF244" s="1868"/>
      <c r="AG244" s="1868"/>
      <c r="AH244" s="1868"/>
      <c r="AI244" s="1868"/>
      <c r="AJ244" s="1868"/>
      <c r="AK244" s="1868"/>
      <c r="AL244" s="1868"/>
      <c r="AM244" s="1868"/>
      <c r="AN244" s="1868"/>
      <c r="AO244" s="1868"/>
      <c r="AP244" s="1868"/>
      <c r="AQ244" s="1868"/>
      <c r="AR244" s="1868"/>
      <c r="AS244" s="1868"/>
      <c r="AT244" s="1868"/>
      <c r="AU244" s="1868"/>
      <c r="AV244" s="1868"/>
      <c r="AW244" s="1868"/>
      <c r="AX244" s="1868"/>
      <c r="AY244" s="1868"/>
      <c r="AZ244" s="1868"/>
      <c r="BA244" s="1868"/>
      <c r="BB244" s="1868"/>
      <c r="BC244" s="1868"/>
      <c r="BD244" s="1868"/>
      <c r="BE244" s="1868"/>
      <c r="BF244" s="1868"/>
      <c r="BG244" s="1868"/>
      <c r="BH244" s="1868"/>
      <c r="BI244" s="1868"/>
      <c r="BJ244" s="1868"/>
      <c r="BK244" s="1868"/>
      <c r="BL244" s="1868"/>
      <c r="BM244" s="1868"/>
      <c r="BN244" s="1868"/>
      <c r="BO244" s="1868"/>
      <c r="BP244" s="1862"/>
    </row>
    <row r="245" spans="1:68" ht="20.100000000000001" hidden="1" customHeight="1" outlineLevel="1">
      <c r="A245" s="1842">
        <v>74</v>
      </c>
      <c r="B245" s="1854"/>
      <c r="C245" s="1847" t="s">
        <v>967</v>
      </c>
      <c r="D245" s="1864" t="s">
        <v>968</v>
      </c>
      <c r="E245" s="1848"/>
      <c r="F245" s="1863"/>
      <c r="G245" s="1225" t="s">
        <v>1109</v>
      </c>
      <c r="H245" s="1850">
        <f ca="1">IFERROR(OFFSET(貼付け_2024実績,$A245,6),"")</f>
        <v>0</v>
      </c>
      <c r="I245" s="1850">
        <f ca="1">IFERROR(OFFSET(貼付け_2025実績,$A245,6),"")</f>
        <v>0</v>
      </c>
      <c r="J245" s="1850">
        <f ca="1">IFERROR(OFFSET(貼付け_2026実績,$A245,6),"")</f>
        <v>0</v>
      </c>
      <c r="K245" s="1850">
        <f ca="1">IFERROR(OFFSET(貼付け_2027実績,$A245,6),"")</f>
        <v>0</v>
      </c>
      <c r="L245" s="1888">
        <f ca="1">IFERROR($H245*参考2_エネ使用量経年!L138*1000,"")</f>
        <v>0</v>
      </c>
      <c r="M245" s="1888">
        <f ca="1">IFERROR($I245*参考2_エネ使用量経年!M138*1000,"")</f>
        <v>0</v>
      </c>
      <c r="N245" s="1888">
        <f ca="1">IFERROR($J245*参考2_エネ使用量経年!N138*1000,"")</f>
        <v>0</v>
      </c>
      <c r="O245" s="1888">
        <f ca="1">IFERROR($K245*参考2_エネ使用量経年!O138*1000,"")</f>
        <v>0</v>
      </c>
      <c r="P245" s="1852">
        <f ca="1">IFERROR($H245*参考2_エネ使用量経年!P138*1000,"")</f>
        <v>0</v>
      </c>
      <c r="Q245" s="1852">
        <f ca="1">IFERROR($I245*参考2_エネ使用量経年!Q138*1000,"")</f>
        <v>0</v>
      </c>
      <c r="R245" s="1852">
        <f ca="1">IFERROR($J245*参考2_エネ使用量経年!R138*1000,"")</f>
        <v>0</v>
      </c>
      <c r="S245" s="1852">
        <f ca="1">IFERROR($K245*参考2_エネ使用量経年!S138*1000,"")</f>
        <v>0</v>
      </c>
      <c r="T245" s="1852">
        <f ca="1">IFERROR($H245*参考2_エネ使用量経年!T138*1000,"")</f>
        <v>0</v>
      </c>
      <c r="U245" s="1852">
        <f ca="1">IFERROR($I245*参考2_エネ使用量経年!U138*1000,"")</f>
        <v>0</v>
      </c>
      <c r="V245" s="1852">
        <f ca="1">IFERROR($J245*参考2_エネ使用量経年!V138*1000,"")</f>
        <v>0</v>
      </c>
      <c r="W245" s="1852">
        <f ca="1">IFERROR($K245*参考2_エネ使用量経年!W138*1000,"")</f>
        <v>0</v>
      </c>
      <c r="X245" s="1868"/>
      <c r="Y245" s="1868"/>
      <c r="Z245" s="1868"/>
      <c r="AA245" s="1868"/>
      <c r="AB245" s="1868"/>
      <c r="AC245" s="1868"/>
      <c r="AD245" s="1868"/>
      <c r="AE245" s="1868"/>
      <c r="AF245" s="1868"/>
      <c r="AG245" s="1868"/>
      <c r="AH245" s="1868"/>
      <c r="AI245" s="1868"/>
      <c r="AJ245" s="1868"/>
      <c r="AK245" s="1868"/>
      <c r="AL245" s="1868"/>
      <c r="AM245" s="1868"/>
      <c r="AN245" s="1868"/>
      <c r="AO245" s="1868"/>
      <c r="AP245" s="1868"/>
      <c r="AQ245" s="1868"/>
      <c r="AR245" s="1868"/>
      <c r="AS245" s="1868"/>
      <c r="AT245" s="1868"/>
      <c r="AU245" s="1868"/>
      <c r="AV245" s="1868"/>
      <c r="AW245" s="1868"/>
      <c r="AX245" s="1868"/>
      <c r="AY245" s="1868"/>
      <c r="AZ245" s="1868"/>
      <c r="BA245" s="1868"/>
      <c r="BB245" s="1868"/>
      <c r="BC245" s="1868"/>
      <c r="BD245" s="1868"/>
      <c r="BE245" s="1868"/>
      <c r="BF245" s="1868"/>
      <c r="BG245" s="1868"/>
      <c r="BH245" s="1868"/>
      <c r="BI245" s="1868"/>
      <c r="BJ245" s="1868"/>
      <c r="BK245" s="1868"/>
      <c r="BL245" s="1868"/>
      <c r="BM245" s="1868"/>
      <c r="BN245" s="1868"/>
      <c r="BO245" s="1868"/>
      <c r="BP245" s="1862"/>
    </row>
    <row r="246" spans="1:68" ht="20.100000000000001" hidden="1" customHeight="1" outlineLevel="1">
      <c r="A246" s="1842">
        <v>76</v>
      </c>
      <c r="B246" s="1854"/>
      <c r="C246" s="1847"/>
      <c r="D246" s="1869" t="s">
        <v>969</v>
      </c>
      <c r="E246" s="1848"/>
      <c r="F246" s="1863"/>
      <c r="G246" s="1225" t="s">
        <v>1109</v>
      </c>
      <c r="H246" s="1850">
        <f ca="1">IFERROR(OFFSET(貼付け_2024実績,$A246,6),"")</f>
        <v>0</v>
      </c>
      <c r="I246" s="1850">
        <f ca="1">IFERROR(OFFSET(貼付け_2025実績,$A246,6),"")</f>
        <v>0</v>
      </c>
      <c r="J246" s="1850">
        <f ca="1">IFERROR(OFFSET(貼付け_2026実績,$A246,6),"")</f>
        <v>0</v>
      </c>
      <c r="K246" s="1850">
        <f ca="1">IFERROR(OFFSET(貼付け_2027実績,$A246,6),"")</f>
        <v>0</v>
      </c>
      <c r="L246" s="1888">
        <f ca="1">IFERROR($H246*参考2_エネ使用量経年!L139*1000,"")</f>
        <v>0</v>
      </c>
      <c r="M246" s="1888">
        <f ca="1">IFERROR($I246*参考2_エネ使用量経年!M139*1000,"")</f>
        <v>0</v>
      </c>
      <c r="N246" s="1888">
        <f ca="1">IFERROR($J246*参考2_エネ使用量経年!N139*1000,"")</f>
        <v>0</v>
      </c>
      <c r="O246" s="1888">
        <f ca="1">IFERROR($K246*参考2_エネ使用量経年!O139*1000,"")</f>
        <v>0</v>
      </c>
      <c r="P246" s="1852">
        <f ca="1">IFERROR($H246*参考2_エネ使用量経年!P139*1000,"")</f>
        <v>0</v>
      </c>
      <c r="Q246" s="1852">
        <f ca="1">IFERROR($I246*参考2_エネ使用量経年!Q139*1000,"")</f>
        <v>0</v>
      </c>
      <c r="R246" s="1852">
        <f ca="1">IFERROR($J246*参考2_エネ使用量経年!R139*1000,"")</f>
        <v>0</v>
      </c>
      <c r="S246" s="1852">
        <f ca="1">IFERROR($K246*参考2_エネ使用量経年!S139*1000,"")</f>
        <v>0</v>
      </c>
      <c r="T246" s="1852">
        <f ca="1">IFERROR($H246*参考2_エネ使用量経年!T139*1000,"")</f>
        <v>0</v>
      </c>
      <c r="U246" s="1852">
        <f ca="1">IFERROR($I246*参考2_エネ使用量経年!U139*1000,"")</f>
        <v>0</v>
      </c>
      <c r="V246" s="1852">
        <f ca="1">IFERROR($J246*参考2_エネ使用量経年!V139*1000,"")</f>
        <v>0</v>
      </c>
      <c r="W246" s="1852">
        <f ca="1">IFERROR($K246*参考2_エネ使用量経年!W139*1000,"")</f>
        <v>0</v>
      </c>
      <c r="X246" s="1868"/>
      <c r="Y246" s="1868"/>
      <c r="Z246" s="1868"/>
      <c r="AA246" s="1868"/>
      <c r="AB246" s="1868"/>
      <c r="AC246" s="1868"/>
      <c r="AD246" s="1868"/>
      <c r="AE246" s="1868"/>
      <c r="AF246" s="1868"/>
      <c r="AG246" s="1868"/>
      <c r="AH246" s="1868"/>
      <c r="AI246" s="1868"/>
      <c r="AJ246" s="1868"/>
      <c r="AK246" s="1868"/>
      <c r="AL246" s="1868"/>
      <c r="AM246" s="1868"/>
      <c r="AN246" s="1868"/>
      <c r="AO246" s="1868"/>
      <c r="AP246" s="1868"/>
      <c r="AQ246" s="1868"/>
      <c r="AR246" s="1868"/>
      <c r="AS246" s="1868"/>
      <c r="AT246" s="1868"/>
      <c r="AU246" s="1868"/>
      <c r="AV246" s="1868"/>
      <c r="AW246" s="1868"/>
      <c r="AX246" s="1868"/>
      <c r="AY246" s="1868"/>
      <c r="AZ246" s="1868"/>
      <c r="BA246" s="1868"/>
      <c r="BB246" s="1868"/>
      <c r="BC246" s="1868"/>
      <c r="BD246" s="1868"/>
      <c r="BE246" s="1868"/>
      <c r="BF246" s="1868"/>
      <c r="BG246" s="1868"/>
      <c r="BH246" s="1868"/>
      <c r="BI246" s="1868"/>
      <c r="BJ246" s="1868"/>
      <c r="BK246" s="1868"/>
      <c r="BL246" s="1868"/>
      <c r="BM246" s="1868"/>
      <c r="BN246" s="1868"/>
      <c r="BO246" s="1868"/>
      <c r="BP246" s="1862"/>
    </row>
    <row r="247" spans="1:68" ht="20.100000000000001" hidden="1" customHeight="1" outlineLevel="1">
      <c r="A247" s="1842">
        <v>202</v>
      </c>
      <c r="B247" s="1854"/>
      <c r="C247" s="1847"/>
      <c r="D247" s="1869" t="s">
        <v>970</v>
      </c>
      <c r="E247" s="1858" t="str">
        <f ca="1">参考2_エネ使用量経年!E140</f>
        <v/>
      </c>
      <c r="F247" s="1860"/>
      <c r="G247" s="1225" t="s">
        <v>1109</v>
      </c>
      <c r="H247" s="1850">
        <f ca="1">IFERROR(OFFSET(貼付け_2024実績,$A247,16),"")</f>
        <v>0</v>
      </c>
      <c r="I247" s="1850">
        <f ca="1">IFERROR(OFFSET(貼付け_2025実績,$A247,16),"")</f>
        <v>0</v>
      </c>
      <c r="J247" s="1850">
        <f ca="1">IFERROR(OFFSET(貼付け_2026実績,$A247,16),"")</f>
        <v>0</v>
      </c>
      <c r="K247" s="1850">
        <f ca="1">IFERROR(OFFSET(貼付け_2027実績,$A247,16),"")</f>
        <v>0</v>
      </c>
      <c r="L247" s="1888">
        <f ca="1">IFERROR($H247*参考2_エネ使用量経年!L140*1000,"")</f>
        <v>0</v>
      </c>
      <c r="M247" s="1888">
        <f ca="1">IFERROR($I247*参考2_エネ使用量経年!M140*1000,"")</f>
        <v>0</v>
      </c>
      <c r="N247" s="1888">
        <f ca="1">IFERROR($J247*参考2_エネ使用量経年!N140*1000,"")</f>
        <v>0</v>
      </c>
      <c r="O247" s="1888">
        <f ca="1">IFERROR($K247*参考2_エネ使用量経年!O140*1000,"")</f>
        <v>0</v>
      </c>
      <c r="P247" s="1852">
        <f ca="1">IFERROR($H247*参考2_エネ使用量経年!P140*1000,"")</f>
        <v>0</v>
      </c>
      <c r="Q247" s="1852">
        <f ca="1">IFERROR($I247*参考2_エネ使用量経年!Q140*1000,"")</f>
        <v>0</v>
      </c>
      <c r="R247" s="1852">
        <f ca="1">IFERROR($J247*参考2_エネ使用量経年!R140*1000,"")</f>
        <v>0</v>
      </c>
      <c r="S247" s="1852">
        <f ca="1">IFERROR($K247*参考2_エネ使用量経年!S140*1000,"")</f>
        <v>0</v>
      </c>
      <c r="T247" s="1852">
        <f ca="1">IFERROR($H247*参考2_エネ使用量経年!T140*1000,"")</f>
        <v>0</v>
      </c>
      <c r="U247" s="1852">
        <f ca="1">IFERROR($I247*参考2_エネ使用量経年!U140*1000,"")</f>
        <v>0</v>
      </c>
      <c r="V247" s="1852">
        <f ca="1">IFERROR($J247*参考2_エネ使用量経年!V140*1000,"")</f>
        <v>0</v>
      </c>
      <c r="W247" s="1852">
        <f ca="1">IFERROR($K247*参考2_エネ使用量経年!W140*1000,"")</f>
        <v>0</v>
      </c>
      <c r="X247" s="1868"/>
      <c r="Y247" s="1868"/>
      <c r="Z247" s="1868"/>
      <c r="AA247" s="1868"/>
      <c r="AB247" s="1868"/>
      <c r="AC247" s="1868"/>
      <c r="AD247" s="1868"/>
      <c r="AE247" s="1868"/>
      <c r="AF247" s="1868"/>
      <c r="AG247" s="1868"/>
      <c r="AH247" s="1868"/>
      <c r="AI247" s="1868"/>
      <c r="AJ247" s="1868"/>
      <c r="AK247" s="1868"/>
      <c r="AL247" s="1868"/>
      <c r="AM247" s="1868"/>
      <c r="AN247" s="1868"/>
      <c r="AO247" s="1868"/>
      <c r="AP247" s="1868"/>
      <c r="AQ247" s="1868"/>
      <c r="AR247" s="1868"/>
      <c r="AS247" s="1868"/>
      <c r="AT247" s="1868"/>
      <c r="AU247" s="1868"/>
      <c r="AV247" s="1868"/>
      <c r="AW247" s="1868"/>
      <c r="AX247" s="1868"/>
      <c r="AY247" s="1868"/>
      <c r="AZ247" s="1868"/>
      <c r="BA247" s="1868"/>
      <c r="BB247" s="1868"/>
      <c r="BC247" s="1868"/>
      <c r="BD247" s="1868"/>
      <c r="BE247" s="1868"/>
      <c r="BF247" s="1868"/>
      <c r="BG247" s="1868"/>
      <c r="BH247" s="1868"/>
      <c r="BI247" s="1868"/>
      <c r="BJ247" s="1868"/>
      <c r="BK247" s="1868"/>
      <c r="BL247" s="1868"/>
      <c r="BM247" s="1868"/>
      <c r="BN247" s="1868"/>
      <c r="BO247" s="1868"/>
      <c r="BP247" s="1862"/>
    </row>
    <row r="248" spans="1:68" ht="20.100000000000001" hidden="1" customHeight="1" outlineLevel="1">
      <c r="A248" s="1842">
        <v>203</v>
      </c>
      <c r="B248" s="1854"/>
      <c r="C248" s="1847"/>
      <c r="D248" s="1872" t="s">
        <v>972</v>
      </c>
      <c r="E248" s="1858" t="str">
        <f ca="1">参考2_エネ使用量経年!E141</f>
        <v/>
      </c>
      <c r="F248" s="1860"/>
      <c r="G248" s="1225" t="s">
        <v>1109</v>
      </c>
      <c r="H248" s="1850">
        <f ca="1">IFERROR(OFFSET(貼付け_2024実績,$A248,16),"")</f>
        <v>0</v>
      </c>
      <c r="I248" s="1850">
        <f ca="1">IFERROR(OFFSET(貼付け_2025実績,$A248,16),"")</f>
        <v>0</v>
      </c>
      <c r="J248" s="1850">
        <f ca="1">IFERROR(OFFSET(貼付け_2026実績,$A248,16),"")</f>
        <v>0</v>
      </c>
      <c r="K248" s="1850">
        <f ca="1">IFERROR(OFFSET(貼付け_2027実績,$A248,16),"")</f>
        <v>0</v>
      </c>
      <c r="L248" s="1888">
        <f ca="1">IFERROR($H248*参考2_エネ使用量経年!L141*1000,"")</f>
        <v>0</v>
      </c>
      <c r="M248" s="1888">
        <f ca="1">IFERROR($I248*参考2_エネ使用量経年!M141*1000,"")</f>
        <v>0</v>
      </c>
      <c r="N248" s="1888">
        <f ca="1">IFERROR($J248*参考2_エネ使用量経年!N141*1000,"")</f>
        <v>0</v>
      </c>
      <c r="O248" s="1888">
        <f ca="1">IFERROR($K248*参考2_エネ使用量経年!O141*1000,"")</f>
        <v>0</v>
      </c>
      <c r="P248" s="1852">
        <f ca="1">IFERROR($H248*参考2_エネ使用量経年!P141*1000,"")</f>
        <v>0</v>
      </c>
      <c r="Q248" s="1852">
        <f ca="1">IFERROR($I248*参考2_エネ使用量経年!Q141*1000,"")</f>
        <v>0</v>
      </c>
      <c r="R248" s="1852">
        <f ca="1">IFERROR($J248*参考2_エネ使用量経年!R141*1000,"")</f>
        <v>0</v>
      </c>
      <c r="S248" s="1852">
        <f ca="1">IFERROR($K248*参考2_エネ使用量経年!S141*1000,"")</f>
        <v>0</v>
      </c>
      <c r="T248" s="1852">
        <f ca="1">IFERROR($H248*参考2_エネ使用量経年!T141*1000,"")</f>
        <v>0</v>
      </c>
      <c r="U248" s="1852">
        <f ca="1">IFERROR($I248*参考2_エネ使用量経年!U141*1000,"")</f>
        <v>0</v>
      </c>
      <c r="V248" s="1852">
        <f ca="1">IFERROR($J248*参考2_エネ使用量経年!V141*1000,"")</f>
        <v>0</v>
      </c>
      <c r="W248" s="1852">
        <f ca="1">IFERROR($K248*参考2_エネ使用量経年!W141*1000,"")</f>
        <v>0</v>
      </c>
      <c r="X248" s="1868"/>
      <c r="Y248" s="1868"/>
      <c r="Z248" s="1868"/>
      <c r="AA248" s="1868"/>
      <c r="AB248" s="1868"/>
      <c r="AC248" s="1868"/>
      <c r="AD248" s="1868"/>
      <c r="AE248" s="1868"/>
      <c r="AF248" s="1868"/>
      <c r="AG248" s="1868"/>
      <c r="AH248" s="1868"/>
      <c r="AI248" s="1868"/>
      <c r="AJ248" s="1868"/>
      <c r="AK248" s="1868"/>
      <c r="AL248" s="1868"/>
      <c r="AM248" s="1868"/>
      <c r="AN248" s="1868"/>
      <c r="AO248" s="1868"/>
      <c r="AP248" s="1868"/>
      <c r="AQ248" s="1868"/>
      <c r="AR248" s="1868"/>
      <c r="AS248" s="1868"/>
      <c r="AT248" s="1868"/>
      <c r="AU248" s="1868"/>
      <c r="AV248" s="1868"/>
      <c r="AW248" s="1868"/>
      <c r="AX248" s="1868"/>
      <c r="AY248" s="1868"/>
      <c r="AZ248" s="1868"/>
      <c r="BA248" s="1868"/>
      <c r="BB248" s="1868"/>
      <c r="BC248" s="1868"/>
      <c r="BD248" s="1868"/>
      <c r="BE248" s="1868"/>
      <c r="BF248" s="1868"/>
      <c r="BG248" s="1868"/>
      <c r="BH248" s="1868"/>
      <c r="BI248" s="1868"/>
      <c r="BJ248" s="1868"/>
      <c r="BK248" s="1868"/>
      <c r="BL248" s="1868"/>
      <c r="BM248" s="1868"/>
      <c r="BN248" s="1868"/>
      <c r="BO248" s="1868"/>
      <c r="BP248" s="1862"/>
    </row>
    <row r="249" spans="1:68" ht="19.5" customHeight="1" collapsed="1">
      <c r="A249" s="1842"/>
      <c r="B249" s="1884" t="s">
        <v>1110</v>
      </c>
      <c r="C249" s="1879"/>
      <c r="D249" s="1885" t="s">
        <v>1111</v>
      </c>
      <c r="E249" s="1886"/>
      <c r="F249" s="1887" t="s">
        <v>47</v>
      </c>
      <c r="G249" s="1225" t="s">
        <v>1109</v>
      </c>
      <c r="H249" s="1867"/>
      <c r="I249" s="1867"/>
      <c r="J249" s="1867"/>
      <c r="K249" s="1867"/>
      <c r="L249" s="1851">
        <f t="shared" ref="L249:W249" ca="1" si="110">SUM(L230:L243)</f>
        <v>0</v>
      </c>
      <c r="M249" s="1851">
        <f t="shared" ca="1" si="110"/>
        <v>0</v>
      </c>
      <c r="N249" s="1851">
        <f t="shared" ca="1" si="110"/>
        <v>0</v>
      </c>
      <c r="O249" s="1851">
        <f t="shared" ca="1" si="110"/>
        <v>0</v>
      </c>
      <c r="P249" s="1852">
        <f t="shared" ca="1" si="110"/>
        <v>0</v>
      </c>
      <c r="Q249" s="1852">
        <f t="shared" ca="1" si="110"/>
        <v>0</v>
      </c>
      <c r="R249" s="1852">
        <f t="shared" ca="1" si="110"/>
        <v>0</v>
      </c>
      <c r="S249" s="1852">
        <f t="shared" ca="1" si="110"/>
        <v>0</v>
      </c>
      <c r="T249" s="1852">
        <f t="shared" ca="1" si="110"/>
        <v>0</v>
      </c>
      <c r="U249" s="1852">
        <f t="shared" ca="1" si="110"/>
        <v>0</v>
      </c>
      <c r="V249" s="1852">
        <f t="shared" ca="1" si="110"/>
        <v>0</v>
      </c>
      <c r="W249" s="1852">
        <f t="shared" ca="1" si="110"/>
        <v>0</v>
      </c>
      <c r="X249" s="1868"/>
      <c r="Y249" s="1868"/>
      <c r="Z249" s="1868"/>
      <c r="AA249" s="1868"/>
      <c r="AB249" s="1868"/>
      <c r="AC249" s="1868"/>
      <c r="AD249" s="1868"/>
      <c r="AE249" s="1868"/>
      <c r="AF249" s="1868"/>
      <c r="AG249" s="1868"/>
      <c r="AH249" s="1868"/>
      <c r="AI249" s="1868"/>
      <c r="AJ249" s="1868"/>
      <c r="AK249" s="1868"/>
      <c r="AL249" s="1868"/>
      <c r="AM249" s="1868"/>
      <c r="AN249" s="1868"/>
      <c r="AO249" s="1868"/>
      <c r="AP249" s="1868"/>
      <c r="AQ249" s="1868"/>
      <c r="AR249" s="1868"/>
      <c r="AS249" s="1868"/>
      <c r="AT249" s="1868"/>
      <c r="AU249" s="1868"/>
      <c r="AV249" s="1868"/>
      <c r="AW249" s="1868"/>
      <c r="AX249" s="1868"/>
      <c r="AY249" s="1868"/>
      <c r="AZ249" s="1868"/>
      <c r="BA249" s="1868"/>
      <c r="BB249" s="1868"/>
      <c r="BC249" s="1868"/>
      <c r="BD249" s="1868"/>
      <c r="BE249" s="1868"/>
      <c r="BF249" s="1868"/>
      <c r="BG249" s="1868"/>
      <c r="BH249" s="1868"/>
      <c r="BI249" s="1868"/>
      <c r="BJ249" s="1868"/>
      <c r="BK249" s="1868"/>
      <c r="BL249" s="1868"/>
      <c r="BM249" s="1868"/>
      <c r="BN249" s="1868"/>
      <c r="BO249" s="1868"/>
      <c r="BP249" s="1862"/>
    </row>
    <row r="250" spans="1:68" ht="21">
      <c r="A250" s="1842"/>
      <c r="B250" s="1890" t="s">
        <v>1162</v>
      </c>
      <c r="C250" s="1893"/>
      <c r="D250" s="1885" t="s">
        <v>1116</v>
      </c>
      <c r="E250" s="1892"/>
      <c r="F250" s="1887" t="s">
        <v>1047</v>
      </c>
      <c r="G250" s="1225" t="s">
        <v>1109</v>
      </c>
      <c r="H250" s="1867"/>
      <c r="I250" s="1867"/>
      <c r="J250" s="1867"/>
      <c r="K250" s="1867"/>
      <c r="L250" s="1851">
        <f t="shared" ref="L250:W250" ca="1" si="111">SUM(L244:L248)</f>
        <v>0</v>
      </c>
      <c r="M250" s="1851">
        <f t="shared" ca="1" si="111"/>
        <v>0</v>
      </c>
      <c r="N250" s="1851">
        <f t="shared" ca="1" si="111"/>
        <v>0</v>
      </c>
      <c r="O250" s="1851">
        <f t="shared" ca="1" si="111"/>
        <v>0</v>
      </c>
      <c r="P250" s="1852">
        <f t="shared" ca="1" si="111"/>
        <v>0</v>
      </c>
      <c r="Q250" s="1852">
        <f t="shared" ca="1" si="111"/>
        <v>0</v>
      </c>
      <c r="R250" s="1852">
        <f t="shared" ca="1" si="111"/>
        <v>0</v>
      </c>
      <c r="S250" s="1852">
        <f t="shared" ca="1" si="111"/>
        <v>0</v>
      </c>
      <c r="T250" s="1852">
        <f t="shared" ca="1" si="111"/>
        <v>0</v>
      </c>
      <c r="U250" s="1852">
        <f t="shared" ca="1" si="111"/>
        <v>0</v>
      </c>
      <c r="V250" s="1852">
        <f t="shared" ca="1" si="111"/>
        <v>0</v>
      </c>
      <c r="W250" s="1852">
        <f t="shared" ca="1" si="111"/>
        <v>0</v>
      </c>
      <c r="X250" s="1868"/>
      <c r="Y250" s="1868"/>
      <c r="Z250" s="1868"/>
      <c r="AA250" s="1868"/>
      <c r="AB250" s="1868"/>
      <c r="AC250" s="1868"/>
      <c r="AD250" s="1868"/>
      <c r="AE250" s="1868"/>
      <c r="AF250" s="1868"/>
      <c r="AG250" s="1868"/>
      <c r="AH250" s="1868"/>
      <c r="AI250" s="1868"/>
      <c r="AJ250" s="1868"/>
      <c r="AK250" s="1868"/>
      <c r="AL250" s="1868"/>
      <c r="AM250" s="1868"/>
      <c r="AN250" s="1868"/>
      <c r="AO250" s="1868"/>
      <c r="AP250" s="1868"/>
      <c r="AQ250" s="1868"/>
      <c r="AR250" s="1868"/>
      <c r="AS250" s="1868"/>
      <c r="AT250" s="1868"/>
      <c r="AU250" s="1868"/>
      <c r="AV250" s="1868"/>
      <c r="AW250" s="1868"/>
      <c r="AX250" s="1868"/>
      <c r="AY250" s="1868"/>
      <c r="AZ250" s="1868"/>
      <c r="BA250" s="1868"/>
      <c r="BB250" s="1868"/>
      <c r="BC250" s="1868"/>
      <c r="BD250" s="1868"/>
      <c r="BE250" s="1868"/>
      <c r="BF250" s="1868"/>
      <c r="BG250" s="1868"/>
      <c r="BH250" s="1868"/>
      <c r="BI250" s="1868"/>
      <c r="BJ250" s="1868"/>
      <c r="BK250" s="1868"/>
      <c r="BL250" s="1868"/>
      <c r="BM250" s="1868"/>
      <c r="BN250" s="1868"/>
      <c r="BO250" s="1868"/>
      <c r="BP250" s="1862"/>
    </row>
    <row r="251" spans="1:68" ht="21" customHeight="1">
      <c r="A251" s="1842">
        <v>153</v>
      </c>
      <c r="B251" s="1897" t="s">
        <v>1118</v>
      </c>
      <c r="C251" s="1898" t="s">
        <v>1119</v>
      </c>
      <c r="D251" s="1885" t="s">
        <v>1120</v>
      </c>
      <c r="E251" s="1895"/>
      <c r="F251" s="1863" t="s">
        <v>988</v>
      </c>
      <c r="G251" s="1225" t="s">
        <v>1109</v>
      </c>
      <c r="H251" s="1867"/>
      <c r="I251" s="1867"/>
      <c r="J251" s="1867"/>
      <c r="K251" s="1867"/>
      <c r="L251" s="1851">
        <f t="shared" ref="L251:L264" ca="1" si="112">SUM(P251,T251)</f>
        <v>0</v>
      </c>
      <c r="M251" s="1851">
        <f t="shared" ref="M251:M264" ca="1" si="113">SUM(Q251,U251)</f>
        <v>0</v>
      </c>
      <c r="N251" s="1851">
        <f t="shared" ref="N251:N264" ca="1" si="114">SUM(R251,V251)</f>
        <v>0</v>
      </c>
      <c r="O251" s="1851">
        <f t="shared" ref="O251:O264" ca="1" si="115">SUM(S251,W251)</f>
        <v>0</v>
      </c>
      <c r="P251" s="1888">
        <f t="shared" ref="P251:P264" ca="1" si="116">IFERROR(SUM(OFFSET(貼付け_2024実績,$A251,11,1,2)),"")</f>
        <v>0</v>
      </c>
      <c r="Q251" s="1888">
        <f t="shared" ref="Q251:Q264" ca="1" si="117">IFERROR(SUM(OFFSET(貼付け_2025実績,$A251,11,1,2)),"")</f>
        <v>0</v>
      </c>
      <c r="R251" s="1888">
        <f t="shared" ref="R251:R264" ca="1" si="118">IFERROR(SUM(OFFSET(貼付け_2026実績,$A251,11,1,2)),"")</f>
        <v>0</v>
      </c>
      <c r="S251" s="1888">
        <f t="shared" ref="S251:S264" ca="1" si="119">IFERROR(SUM(OFFSET(貼付け_2027実績,$A251,11,1,2)),"")</f>
        <v>0</v>
      </c>
      <c r="T251" s="1888">
        <f t="shared" ref="T251:T264" ca="1" si="120">IFERROR(OFFSET(貼付け_2024実績,$A251,10),"")</f>
        <v>0</v>
      </c>
      <c r="U251" s="1888">
        <f t="shared" ref="U251:U264" ca="1" si="121">IFERROR(OFFSET(貼付け_2025実績,$A251,10),"")</f>
        <v>0</v>
      </c>
      <c r="V251" s="1888">
        <f t="shared" ref="V251:V264" ca="1" si="122">IFERROR(OFFSET(貼付け_2026実績,$A251,10),"")</f>
        <v>0</v>
      </c>
      <c r="W251" s="1888">
        <f t="shared" ref="W251:W264" ca="1" si="123">IFERROR(OFFSET(貼付け_2027実績,$A251,10),"")</f>
        <v>0</v>
      </c>
      <c r="X251" s="1868"/>
      <c r="Y251" s="1868"/>
      <c r="Z251" s="1868"/>
      <c r="AA251" s="1868"/>
      <c r="AB251" s="1868"/>
      <c r="AC251" s="1868"/>
      <c r="AD251" s="1868"/>
      <c r="AE251" s="1868"/>
      <c r="AF251" s="1868"/>
      <c r="AG251" s="1868"/>
      <c r="AH251" s="1868"/>
      <c r="AI251" s="1868"/>
      <c r="AJ251" s="1868"/>
      <c r="AK251" s="1868"/>
      <c r="AL251" s="1868"/>
      <c r="AM251" s="1868"/>
      <c r="AN251" s="1868"/>
      <c r="AO251" s="1868"/>
      <c r="AP251" s="1868"/>
      <c r="AQ251" s="1868"/>
      <c r="AR251" s="1868"/>
      <c r="AS251" s="1868"/>
      <c r="AT251" s="1868"/>
      <c r="AU251" s="1868"/>
      <c r="AV251" s="1868"/>
      <c r="AW251" s="1868"/>
      <c r="AX251" s="1868"/>
      <c r="AY251" s="1868"/>
      <c r="AZ251" s="1868"/>
      <c r="BA251" s="1868"/>
      <c r="BB251" s="1868"/>
      <c r="BC251" s="1868"/>
      <c r="BD251" s="1868"/>
      <c r="BE251" s="1868"/>
      <c r="BF251" s="1868"/>
      <c r="BG251" s="1868"/>
      <c r="BH251" s="1868"/>
      <c r="BI251" s="1868"/>
      <c r="BJ251" s="1868"/>
      <c r="BK251" s="1868"/>
      <c r="BL251" s="1868"/>
      <c r="BM251" s="1868"/>
      <c r="BN251" s="1868"/>
      <c r="BO251" s="1868"/>
      <c r="BP251" s="1862"/>
    </row>
    <row r="252" spans="1:68" ht="21" customHeight="1">
      <c r="A252" s="1842">
        <v>154</v>
      </c>
      <c r="B252" s="1905"/>
      <c r="C252" s="1906"/>
      <c r="D252" s="1885" t="s">
        <v>1122</v>
      </c>
      <c r="E252" s="1895"/>
      <c r="F252" s="1863" t="s">
        <v>991</v>
      </c>
      <c r="G252" s="1225" t="s">
        <v>1109</v>
      </c>
      <c r="H252" s="1867"/>
      <c r="I252" s="1867"/>
      <c r="J252" s="1867"/>
      <c r="K252" s="1867"/>
      <c r="L252" s="1851">
        <f t="shared" ca="1" si="112"/>
        <v>0</v>
      </c>
      <c r="M252" s="1851">
        <f t="shared" ca="1" si="113"/>
        <v>0</v>
      </c>
      <c r="N252" s="1851">
        <f t="shared" ca="1" si="114"/>
        <v>0</v>
      </c>
      <c r="O252" s="1851">
        <f t="shared" ca="1" si="115"/>
        <v>0</v>
      </c>
      <c r="P252" s="1888">
        <f t="shared" ca="1" si="116"/>
        <v>0</v>
      </c>
      <c r="Q252" s="1888">
        <f t="shared" ca="1" si="117"/>
        <v>0</v>
      </c>
      <c r="R252" s="1888">
        <f t="shared" ca="1" si="118"/>
        <v>0</v>
      </c>
      <c r="S252" s="1888">
        <f t="shared" ca="1" si="119"/>
        <v>0</v>
      </c>
      <c r="T252" s="1888">
        <f t="shared" ca="1" si="120"/>
        <v>0</v>
      </c>
      <c r="U252" s="1888">
        <f t="shared" ca="1" si="121"/>
        <v>0</v>
      </c>
      <c r="V252" s="1888">
        <f t="shared" ca="1" si="122"/>
        <v>0</v>
      </c>
      <c r="W252" s="1888">
        <f t="shared" ca="1" si="123"/>
        <v>0</v>
      </c>
      <c r="X252" s="1868"/>
      <c r="Y252" s="1868"/>
      <c r="Z252" s="1868"/>
      <c r="AA252" s="1868"/>
      <c r="AB252" s="1868"/>
      <c r="AC252" s="1868"/>
      <c r="AD252" s="1868"/>
      <c r="AE252" s="1868"/>
      <c r="AF252" s="1868"/>
      <c r="AG252" s="1868"/>
      <c r="AH252" s="1868"/>
      <c r="AI252" s="1868"/>
      <c r="AJ252" s="1868"/>
      <c r="AK252" s="1868"/>
      <c r="AL252" s="1868"/>
      <c r="AM252" s="1868"/>
      <c r="AN252" s="1868"/>
      <c r="AO252" s="1868"/>
      <c r="AP252" s="1868"/>
      <c r="AQ252" s="1868"/>
      <c r="AR252" s="1868"/>
      <c r="AS252" s="1868"/>
      <c r="AT252" s="1868"/>
      <c r="AU252" s="1868"/>
      <c r="AV252" s="1868"/>
      <c r="AW252" s="1868"/>
      <c r="AX252" s="1868"/>
      <c r="AY252" s="1868"/>
      <c r="AZ252" s="1868"/>
      <c r="BA252" s="1868"/>
      <c r="BB252" s="1868"/>
      <c r="BC252" s="1868"/>
      <c r="BD252" s="1868"/>
      <c r="BE252" s="1868"/>
      <c r="BF252" s="1868"/>
      <c r="BG252" s="1868"/>
      <c r="BH252" s="1868"/>
      <c r="BI252" s="1868"/>
      <c r="BJ252" s="1868"/>
      <c r="BK252" s="1868"/>
      <c r="BL252" s="1868"/>
      <c r="BM252" s="1868"/>
      <c r="BN252" s="1868"/>
      <c r="BO252" s="1868"/>
      <c r="BP252" s="1862"/>
    </row>
    <row r="253" spans="1:68">
      <c r="A253" s="1842">
        <v>155</v>
      </c>
      <c r="B253" s="1905"/>
      <c r="C253" s="1906"/>
      <c r="D253" s="1970" t="s">
        <v>1123</v>
      </c>
      <c r="E253" s="1913" t="s">
        <v>1124</v>
      </c>
      <c r="F253" s="1863" t="s">
        <v>994</v>
      </c>
      <c r="G253" s="1225" t="s">
        <v>583</v>
      </c>
      <c r="H253" s="1867"/>
      <c r="I253" s="1867"/>
      <c r="J253" s="1867"/>
      <c r="K253" s="1867"/>
      <c r="L253" s="1851">
        <f t="shared" ca="1" si="112"/>
        <v>0</v>
      </c>
      <c r="M253" s="1851">
        <f t="shared" ca="1" si="113"/>
        <v>0</v>
      </c>
      <c r="N253" s="1851">
        <f t="shared" ca="1" si="114"/>
        <v>0</v>
      </c>
      <c r="O253" s="1851">
        <f t="shared" ca="1" si="115"/>
        <v>0</v>
      </c>
      <c r="P253" s="1888">
        <f t="shared" ca="1" si="116"/>
        <v>0</v>
      </c>
      <c r="Q253" s="1888">
        <f t="shared" ca="1" si="117"/>
        <v>0</v>
      </c>
      <c r="R253" s="1888">
        <f t="shared" ca="1" si="118"/>
        <v>0</v>
      </c>
      <c r="S253" s="1888">
        <f t="shared" ca="1" si="119"/>
        <v>0</v>
      </c>
      <c r="T253" s="1851">
        <f t="shared" ca="1" si="120"/>
        <v>0</v>
      </c>
      <c r="U253" s="1851">
        <f t="shared" ca="1" si="121"/>
        <v>0</v>
      </c>
      <c r="V253" s="1851">
        <f t="shared" ca="1" si="122"/>
        <v>0</v>
      </c>
      <c r="W253" s="1851">
        <f t="shared" ca="1" si="123"/>
        <v>0</v>
      </c>
      <c r="X253" s="1868"/>
      <c r="Y253" s="1868"/>
      <c r="Z253" s="1868"/>
      <c r="AA253" s="1868"/>
      <c r="AB253" s="1868"/>
      <c r="AC253" s="1868"/>
      <c r="AD253" s="1868"/>
      <c r="AE253" s="1868"/>
      <c r="AF253" s="1868"/>
      <c r="AG253" s="1868"/>
      <c r="AH253" s="1868"/>
      <c r="AI253" s="1868"/>
      <c r="AJ253" s="1868"/>
      <c r="AK253" s="1868"/>
      <c r="AL253" s="1868"/>
      <c r="AM253" s="1868"/>
      <c r="AN253" s="1868"/>
      <c r="AO253" s="1868"/>
      <c r="AP253" s="1868"/>
      <c r="AQ253" s="1868"/>
      <c r="AR253" s="1868"/>
      <c r="AS253" s="1868"/>
      <c r="AT253" s="1868"/>
      <c r="AU253" s="1868"/>
      <c r="AV253" s="1868"/>
      <c r="AW253" s="1868"/>
      <c r="AX253" s="1868"/>
      <c r="AY253" s="1868"/>
      <c r="AZ253" s="1868"/>
      <c r="BA253" s="1868"/>
      <c r="BB253" s="1868"/>
      <c r="BC253" s="1868"/>
      <c r="BD253" s="1868"/>
      <c r="BE253" s="1868"/>
      <c r="BF253" s="1868"/>
      <c r="BG253" s="1868"/>
      <c r="BH253" s="1868"/>
      <c r="BI253" s="1868"/>
      <c r="BJ253" s="1868"/>
      <c r="BK253" s="1868"/>
      <c r="BL253" s="1868"/>
      <c r="BM253" s="1868"/>
      <c r="BN253" s="1868"/>
      <c r="BO253" s="1868"/>
      <c r="BP253" s="1862"/>
    </row>
    <row r="254" spans="1:68">
      <c r="A254" s="1842">
        <v>156</v>
      </c>
      <c r="B254" s="1905"/>
      <c r="C254" s="1906"/>
      <c r="D254" s="1971"/>
      <c r="E254" s="1915"/>
      <c r="F254" s="1863"/>
      <c r="G254" s="1225" t="s">
        <v>587</v>
      </c>
      <c r="H254" s="1867"/>
      <c r="I254" s="1867"/>
      <c r="J254" s="1867"/>
      <c r="K254" s="1867"/>
      <c r="L254" s="1851">
        <f t="shared" ca="1" si="112"/>
        <v>0</v>
      </c>
      <c r="M254" s="1851">
        <f t="shared" ca="1" si="113"/>
        <v>0</v>
      </c>
      <c r="N254" s="1851">
        <f t="shared" ca="1" si="114"/>
        <v>0</v>
      </c>
      <c r="O254" s="1851">
        <f t="shared" ca="1" si="115"/>
        <v>0</v>
      </c>
      <c r="P254" s="1888">
        <f t="shared" ca="1" si="116"/>
        <v>0</v>
      </c>
      <c r="Q254" s="1888">
        <f t="shared" ca="1" si="117"/>
        <v>0</v>
      </c>
      <c r="R254" s="1888">
        <f t="shared" ca="1" si="118"/>
        <v>0</v>
      </c>
      <c r="S254" s="1888">
        <f t="shared" ca="1" si="119"/>
        <v>0</v>
      </c>
      <c r="T254" s="1851">
        <f t="shared" ca="1" si="120"/>
        <v>0</v>
      </c>
      <c r="U254" s="1851">
        <f t="shared" ca="1" si="121"/>
        <v>0</v>
      </c>
      <c r="V254" s="1851">
        <f t="shared" ca="1" si="122"/>
        <v>0</v>
      </c>
      <c r="W254" s="1851">
        <f t="shared" ca="1" si="123"/>
        <v>0</v>
      </c>
      <c r="X254" s="1868"/>
      <c r="Y254" s="1868"/>
      <c r="Z254" s="1868"/>
      <c r="AA254" s="1868"/>
      <c r="AB254" s="1868"/>
      <c r="AC254" s="1868"/>
      <c r="AD254" s="1868"/>
      <c r="AE254" s="1868"/>
      <c r="AF254" s="1868"/>
      <c r="AG254" s="1868"/>
      <c r="AH254" s="1868"/>
      <c r="AI254" s="1868"/>
      <c r="AJ254" s="1868"/>
      <c r="AK254" s="1868"/>
      <c r="AL254" s="1868"/>
      <c r="AM254" s="1868"/>
      <c r="AN254" s="1868"/>
      <c r="AO254" s="1868"/>
      <c r="AP254" s="1868"/>
      <c r="AQ254" s="1868"/>
      <c r="AR254" s="1868"/>
      <c r="AS254" s="1868"/>
      <c r="AT254" s="1868"/>
      <c r="AU254" s="1868"/>
      <c r="AV254" s="1868"/>
      <c r="AW254" s="1868"/>
      <c r="AX254" s="1868"/>
      <c r="AY254" s="1868"/>
      <c r="AZ254" s="1868"/>
      <c r="BA254" s="1868"/>
      <c r="BB254" s="1868"/>
      <c r="BC254" s="1868"/>
      <c r="BD254" s="1868"/>
      <c r="BE254" s="1868"/>
      <c r="BF254" s="1868"/>
      <c r="BG254" s="1868"/>
      <c r="BH254" s="1868"/>
      <c r="BI254" s="1868"/>
      <c r="BJ254" s="1868"/>
      <c r="BK254" s="1868"/>
      <c r="BL254" s="1868"/>
      <c r="BM254" s="1868"/>
      <c r="BN254" s="1868"/>
      <c r="BO254" s="1868"/>
      <c r="BP254" s="1862"/>
    </row>
    <row r="255" spans="1:68" ht="21" customHeight="1">
      <c r="A255" s="1842">
        <v>157</v>
      </c>
      <c r="B255" s="1905"/>
      <c r="C255" s="1906"/>
      <c r="D255" s="1971"/>
      <c r="E255" s="1913" t="s">
        <v>1126</v>
      </c>
      <c r="F255" s="1863" t="s">
        <v>997</v>
      </c>
      <c r="G255" s="1225" t="s">
        <v>583</v>
      </c>
      <c r="H255" s="1867"/>
      <c r="I255" s="1867"/>
      <c r="J255" s="1867"/>
      <c r="K255" s="1867"/>
      <c r="L255" s="1851">
        <f t="shared" ca="1" si="112"/>
        <v>0</v>
      </c>
      <c r="M255" s="1851">
        <f t="shared" ca="1" si="113"/>
        <v>0</v>
      </c>
      <c r="N255" s="1851">
        <f t="shared" ca="1" si="114"/>
        <v>0</v>
      </c>
      <c r="O255" s="1851">
        <f t="shared" ca="1" si="115"/>
        <v>0</v>
      </c>
      <c r="P255" s="1888">
        <f t="shared" ca="1" si="116"/>
        <v>0</v>
      </c>
      <c r="Q255" s="1888">
        <f t="shared" ca="1" si="117"/>
        <v>0</v>
      </c>
      <c r="R255" s="1888">
        <f t="shared" ca="1" si="118"/>
        <v>0</v>
      </c>
      <c r="S255" s="1888">
        <f t="shared" ca="1" si="119"/>
        <v>0</v>
      </c>
      <c r="T255" s="1851">
        <f t="shared" ca="1" si="120"/>
        <v>0</v>
      </c>
      <c r="U255" s="1851">
        <f t="shared" ca="1" si="121"/>
        <v>0</v>
      </c>
      <c r="V255" s="1851">
        <f t="shared" ca="1" si="122"/>
        <v>0</v>
      </c>
      <c r="W255" s="1851">
        <f t="shared" ca="1" si="123"/>
        <v>0</v>
      </c>
      <c r="X255" s="1868"/>
      <c r="Y255" s="1868"/>
      <c r="Z255" s="1868"/>
      <c r="AA255" s="1868"/>
      <c r="AB255" s="1868"/>
      <c r="AC255" s="1868"/>
      <c r="AD255" s="1868"/>
      <c r="AE255" s="1868"/>
      <c r="AF255" s="1868"/>
      <c r="AG255" s="1868"/>
      <c r="AH255" s="1868"/>
      <c r="AI255" s="1868"/>
      <c r="AJ255" s="1868"/>
      <c r="AK255" s="1868"/>
      <c r="AL255" s="1868"/>
      <c r="AM255" s="1868"/>
      <c r="AN255" s="1868"/>
      <c r="AO255" s="1868"/>
      <c r="AP255" s="1868"/>
      <c r="AQ255" s="1868"/>
      <c r="AR255" s="1868"/>
      <c r="AS255" s="1868"/>
      <c r="AT255" s="1868"/>
      <c r="AU255" s="1868"/>
      <c r="AV255" s="1868"/>
      <c r="AW255" s="1868"/>
      <c r="AX255" s="1868"/>
      <c r="AY255" s="1868"/>
      <c r="AZ255" s="1868"/>
      <c r="BA255" s="1868"/>
      <c r="BB255" s="1868"/>
      <c r="BC255" s="1868"/>
      <c r="BD255" s="1868"/>
      <c r="BE255" s="1868"/>
      <c r="BF255" s="1868"/>
      <c r="BG255" s="1868"/>
      <c r="BH255" s="1868"/>
      <c r="BI255" s="1868"/>
      <c r="BJ255" s="1868"/>
      <c r="BK255" s="1868"/>
      <c r="BL255" s="1868"/>
      <c r="BM255" s="1868"/>
      <c r="BN255" s="1868"/>
      <c r="BO255" s="1868"/>
      <c r="BP255" s="1862"/>
    </row>
    <row r="256" spans="1:68" ht="21" customHeight="1">
      <c r="A256" s="1842">
        <v>158</v>
      </c>
      <c r="B256" s="1905"/>
      <c r="C256" s="1906"/>
      <c r="D256" s="1971"/>
      <c r="E256" s="1915"/>
      <c r="F256" s="1863"/>
      <c r="G256" s="1225" t="s">
        <v>0</v>
      </c>
      <c r="H256" s="1867"/>
      <c r="I256" s="1867"/>
      <c r="J256" s="1867"/>
      <c r="K256" s="1867"/>
      <c r="L256" s="1851">
        <f t="shared" ca="1" si="112"/>
        <v>0</v>
      </c>
      <c r="M256" s="1851">
        <f t="shared" ca="1" si="113"/>
        <v>0</v>
      </c>
      <c r="N256" s="1851">
        <f t="shared" ca="1" si="114"/>
        <v>0</v>
      </c>
      <c r="O256" s="1851">
        <f t="shared" ca="1" si="115"/>
        <v>0</v>
      </c>
      <c r="P256" s="1888">
        <f t="shared" ca="1" si="116"/>
        <v>0</v>
      </c>
      <c r="Q256" s="1888">
        <f t="shared" ca="1" si="117"/>
        <v>0</v>
      </c>
      <c r="R256" s="1888">
        <f t="shared" ca="1" si="118"/>
        <v>0</v>
      </c>
      <c r="S256" s="1888">
        <f t="shared" ca="1" si="119"/>
        <v>0</v>
      </c>
      <c r="T256" s="1851">
        <f t="shared" ca="1" si="120"/>
        <v>0</v>
      </c>
      <c r="U256" s="1851">
        <f t="shared" ca="1" si="121"/>
        <v>0</v>
      </c>
      <c r="V256" s="1851">
        <f t="shared" ca="1" si="122"/>
        <v>0</v>
      </c>
      <c r="W256" s="1851">
        <f t="shared" ca="1" si="123"/>
        <v>0</v>
      </c>
      <c r="X256" s="1868"/>
      <c r="Y256" s="1868"/>
      <c r="Z256" s="1868"/>
      <c r="AA256" s="1868"/>
      <c r="AB256" s="1868"/>
      <c r="AC256" s="1868"/>
      <c r="AD256" s="1868"/>
      <c r="AE256" s="1868"/>
      <c r="AF256" s="1868"/>
      <c r="AG256" s="1868"/>
      <c r="AH256" s="1868"/>
      <c r="AI256" s="1868"/>
      <c r="AJ256" s="1868"/>
      <c r="AK256" s="1868"/>
      <c r="AL256" s="1868"/>
      <c r="AM256" s="1868"/>
      <c r="AN256" s="1868"/>
      <c r="AO256" s="1868"/>
      <c r="AP256" s="1868"/>
      <c r="AQ256" s="1868"/>
      <c r="AR256" s="1868"/>
      <c r="AS256" s="1868"/>
      <c r="AT256" s="1868"/>
      <c r="AU256" s="1868"/>
      <c r="AV256" s="1868"/>
      <c r="AW256" s="1868"/>
      <c r="AX256" s="1868"/>
      <c r="AY256" s="1868"/>
      <c r="AZ256" s="1868"/>
      <c r="BA256" s="1868"/>
      <c r="BB256" s="1868"/>
      <c r="BC256" s="1868"/>
      <c r="BD256" s="1868"/>
      <c r="BE256" s="1868"/>
      <c r="BF256" s="1868"/>
      <c r="BG256" s="1868"/>
      <c r="BH256" s="1868"/>
      <c r="BI256" s="1868"/>
      <c r="BJ256" s="1868"/>
      <c r="BK256" s="1868"/>
      <c r="BL256" s="1868"/>
      <c r="BM256" s="1868"/>
      <c r="BN256" s="1868"/>
      <c r="BO256" s="1868"/>
      <c r="BP256" s="1862"/>
    </row>
    <row r="257" spans="1:68">
      <c r="A257" s="1842">
        <v>159</v>
      </c>
      <c r="B257" s="1905"/>
      <c r="C257" s="1906"/>
      <c r="D257" s="1972"/>
      <c r="E257" s="1918" t="s">
        <v>1127</v>
      </c>
      <c r="F257" s="1863" t="s">
        <v>1003</v>
      </c>
      <c r="G257" s="1225" t="s">
        <v>583</v>
      </c>
      <c r="H257" s="1867"/>
      <c r="I257" s="1867"/>
      <c r="J257" s="1867"/>
      <c r="K257" s="1867"/>
      <c r="L257" s="1851">
        <f t="shared" ca="1" si="112"/>
        <v>0</v>
      </c>
      <c r="M257" s="1851">
        <f t="shared" ca="1" si="113"/>
        <v>0</v>
      </c>
      <c r="N257" s="1851">
        <f t="shared" ca="1" si="114"/>
        <v>0</v>
      </c>
      <c r="O257" s="1851">
        <f t="shared" ca="1" si="115"/>
        <v>0</v>
      </c>
      <c r="P257" s="1888">
        <f t="shared" ca="1" si="116"/>
        <v>0</v>
      </c>
      <c r="Q257" s="1888">
        <f t="shared" ca="1" si="117"/>
        <v>0</v>
      </c>
      <c r="R257" s="1888">
        <f t="shared" ca="1" si="118"/>
        <v>0</v>
      </c>
      <c r="S257" s="1888">
        <f t="shared" ca="1" si="119"/>
        <v>0</v>
      </c>
      <c r="T257" s="1851">
        <f t="shared" ca="1" si="120"/>
        <v>0</v>
      </c>
      <c r="U257" s="1851">
        <f t="shared" ca="1" si="121"/>
        <v>0</v>
      </c>
      <c r="V257" s="1851">
        <f t="shared" ca="1" si="122"/>
        <v>0</v>
      </c>
      <c r="W257" s="1851">
        <f t="shared" ca="1" si="123"/>
        <v>0</v>
      </c>
      <c r="X257" s="1868"/>
      <c r="Y257" s="1868"/>
      <c r="Z257" s="1868"/>
      <c r="AA257" s="1868"/>
      <c r="AB257" s="1868"/>
      <c r="AC257" s="1868"/>
      <c r="AD257" s="1868"/>
      <c r="AE257" s="1868"/>
      <c r="AF257" s="1868"/>
      <c r="AG257" s="1868"/>
      <c r="AH257" s="1868"/>
      <c r="AI257" s="1868"/>
      <c r="AJ257" s="1868"/>
      <c r="AK257" s="1868"/>
      <c r="AL257" s="1868"/>
      <c r="AM257" s="1868"/>
      <c r="AN257" s="1868"/>
      <c r="AO257" s="1868"/>
      <c r="AP257" s="1868"/>
      <c r="AQ257" s="1868"/>
      <c r="AR257" s="1868"/>
      <c r="AS257" s="1868"/>
      <c r="AT257" s="1868"/>
      <c r="AU257" s="1868"/>
      <c r="AV257" s="1868"/>
      <c r="AW257" s="1868"/>
      <c r="AX257" s="1868"/>
      <c r="AY257" s="1868"/>
      <c r="AZ257" s="1868"/>
      <c r="BA257" s="1868"/>
      <c r="BB257" s="1868"/>
      <c r="BC257" s="1868"/>
      <c r="BD257" s="1868"/>
      <c r="BE257" s="1868"/>
      <c r="BF257" s="1868"/>
      <c r="BG257" s="1868"/>
      <c r="BH257" s="1868"/>
      <c r="BI257" s="1868"/>
      <c r="BJ257" s="1868"/>
      <c r="BK257" s="1868"/>
      <c r="BL257" s="1868"/>
      <c r="BM257" s="1868"/>
      <c r="BN257" s="1868"/>
      <c r="BO257" s="1868"/>
      <c r="BP257" s="1862"/>
    </row>
    <row r="258" spans="1:68">
      <c r="A258" s="1842">
        <v>160</v>
      </c>
      <c r="B258" s="1905"/>
      <c r="C258" s="1906"/>
      <c r="D258" s="1919" t="s">
        <v>1128</v>
      </c>
      <c r="E258" s="1920" t="s">
        <v>1129</v>
      </c>
      <c r="F258" s="1863" t="s">
        <v>1007</v>
      </c>
      <c r="G258" s="1225" t="s">
        <v>583</v>
      </c>
      <c r="H258" s="1867"/>
      <c r="I258" s="1867"/>
      <c r="J258" s="1867"/>
      <c r="K258" s="1867"/>
      <c r="L258" s="1851">
        <f t="shared" ca="1" si="112"/>
        <v>0</v>
      </c>
      <c r="M258" s="1851">
        <f t="shared" ca="1" si="113"/>
        <v>0</v>
      </c>
      <c r="N258" s="1851">
        <f t="shared" ca="1" si="114"/>
        <v>0</v>
      </c>
      <c r="O258" s="1851">
        <f t="shared" ca="1" si="115"/>
        <v>0</v>
      </c>
      <c r="P258" s="1888">
        <f t="shared" ca="1" si="116"/>
        <v>0</v>
      </c>
      <c r="Q258" s="1888">
        <f t="shared" ca="1" si="117"/>
        <v>0</v>
      </c>
      <c r="R258" s="1888">
        <f t="shared" ca="1" si="118"/>
        <v>0</v>
      </c>
      <c r="S258" s="1888">
        <f t="shared" ca="1" si="119"/>
        <v>0</v>
      </c>
      <c r="T258" s="1851">
        <f t="shared" ca="1" si="120"/>
        <v>0</v>
      </c>
      <c r="U258" s="1851">
        <f t="shared" ca="1" si="121"/>
        <v>0</v>
      </c>
      <c r="V258" s="1851">
        <f t="shared" ca="1" si="122"/>
        <v>0</v>
      </c>
      <c r="W258" s="1851">
        <f t="shared" ca="1" si="123"/>
        <v>0</v>
      </c>
      <c r="X258" s="1868"/>
      <c r="Y258" s="1868"/>
      <c r="Z258" s="1868"/>
      <c r="AA258" s="1868"/>
      <c r="AB258" s="1868"/>
      <c r="AC258" s="1868"/>
      <c r="AD258" s="1868"/>
      <c r="AE258" s="1868"/>
      <c r="AF258" s="1868"/>
      <c r="AG258" s="1868"/>
      <c r="AH258" s="1868"/>
      <c r="AI258" s="1868"/>
      <c r="AJ258" s="1868"/>
      <c r="AK258" s="1868"/>
      <c r="AL258" s="1868"/>
      <c r="AM258" s="1868"/>
      <c r="AN258" s="1868"/>
      <c r="AO258" s="1868"/>
      <c r="AP258" s="1868"/>
      <c r="AQ258" s="1868"/>
      <c r="AR258" s="1868"/>
      <c r="AS258" s="1868"/>
      <c r="AT258" s="1868"/>
      <c r="AU258" s="1868"/>
      <c r="AV258" s="1868"/>
      <c r="AW258" s="1868"/>
      <c r="AX258" s="1868"/>
      <c r="AY258" s="1868"/>
      <c r="AZ258" s="1868"/>
      <c r="BA258" s="1868"/>
      <c r="BB258" s="1868"/>
      <c r="BC258" s="1868"/>
      <c r="BD258" s="1868"/>
      <c r="BE258" s="1868"/>
      <c r="BF258" s="1868"/>
      <c r="BG258" s="1868"/>
      <c r="BH258" s="1868"/>
      <c r="BI258" s="1868"/>
      <c r="BJ258" s="1868"/>
      <c r="BK258" s="1868"/>
      <c r="BL258" s="1868"/>
      <c r="BM258" s="1868"/>
      <c r="BN258" s="1868"/>
      <c r="BO258" s="1868"/>
      <c r="BP258" s="1862"/>
    </row>
    <row r="259" spans="1:68">
      <c r="A259" s="1842">
        <v>161</v>
      </c>
      <c r="B259" s="1905"/>
      <c r="C259" s="1906"/>
      <c r="D259" s="1921"/>
      <c r="E259" s="1922"/>
      <c r="F259" s="1863"/>
      <c r="G259" s="1225" t="s">
        <v>587</v>
      </c>
      <c r="H259" s="1867"/>
      <c r="I259" s="1867"/>
      <c r="J259" s="1867"/>
      <c r="K259" s="1867"/>
      <c r="L259" s="1851">
        <f t="shared" ca="1" si="112"/>
        <v>0</v>
      </c>
      <c r="M259" s="1851">
        <f t="shared" ca="1" si="113"/>
        <v>0</v>
      </c>
      <c r="N259" s="1851">
        <f t="shared" ca="1" si="114"/>
        <v>0</v>
      </c>
      <c r="O259" s="1851">
        <f t="shared" ca="1" si="115"/>
        <v>0</v>
      </c>
      <c r="P259" s="1888">
        <f t="shared" ca="1" si="116"/>
        <v>0</v>
      </c>
      <c r="Q259" s="1888">
        <f t="shared" ca="1" si="117"/>
        <v>0</v>
      </c>
      <c r="R259" s="1888">
        <f t="shared" ca="1" si="118"/>
        <v>0</v>
      </c>
      <c r="S259" s="1888">
        <f t="shared" ca="1" si="119"/>
        <v>0</v>
      </c>
      <c r="T259" s="1851">
        <f t="shared" ca="1" si="120"/>
        <v>0</v>
      </c>
      <c r="U259" s="1851">
        <f t="shared" ca="1" si="121"/>
        <v>0</v>
      </c>
      <c r="V259" s="1851">
        <f t="shared" ca="1" si="122"/>
        <v>0</v>
      </c>
      <c r="W259" s="1851">
        <f t="shared" ca="1" si="123"/>
        <v>0</v>
      </c>
      <c r="X259" s="1868"/>
      <c r="Y259" s="1868"/>
      <c r="Z259" s="1868"/>
      <c r="AA259" s="1868"/>
      <c r="AB259" s="1868"/>
      <c r="AC259" s="1868"/>
      <c r="AD259" s="1868"/>
      <c r="AE259" s="1868"/>
      <c r="AF259" s="1868"/>
      <c r="AG259" s="1868"/>
      <c r="AH259" s="1868"/>
      <c r="AI259" s="1868"/>
      <c r="AJ259" s="1868"/>
      <c r="AK259" s="1868"/>
      <c r="AL259" s="1868"/>
      <c r="AM259" s="1868"/>
      <c r="AN259" s="1868"/>
      <c r="AO259" s="1868"/>
      <c r="AP259" s="1868"/>
      <c r="AQ259" s="1868"/>
      <c r="AR259" s="1868"/>
      <c r="AS259" s="1868"/>
      <c r="AT259" s="1868"/>
      <c r="AU259" s="1868"/>
      <c r="AV259" s="1868"/>
      <c r="AW259" s="1868"/>
      <c r="AX259" s="1868"/>
      <c r="AY259" s="1868"/>
      <c r="AZ259" s="1868"/>
      <c r="BA259" s="1868"/>
      <c r="BB259" s="1868"/>
      <c r="BC259" s="1868"/>
      <c r="BD259" s="1868"/>
      <c r="BE259" s="1868"/>
      <c r="BF259" s="1868"/>
      <c r="BG259" s="1868"/>
      <c r="BH259" s="1868"/>
      <c r="BI259" s="1868"/>
      <c r="BJ259" s="1868"/>
      <c r="BK259" s="1868"/>
      <c r="BL259" s="1868"/>
      <c r="BM259" s="1868"/>
      <c r="BN259" s="1868"/>
      <c r="BO259" s="1868"/>
      <c r="BP259" s="1862"/>
    </row>
    <row r="260" spans="1:68" ht="21" customHeight="1">
      <c r="A260" s="1842">
        <v>162</v>
      </c>
      <c r="B260" s="1905"/>
      <c r="C260" s="1906"/>
      <c r="D260" s="1921"/>
      <c r="E260" s="1923" t="s">
        <v>1130</v>
      </c>
      <c r="F260" s="1863" t="s">
        <v>1009</v>
      </c>
      <c r="G260" s="1225" t="s">
        <v>583</v>
      </c>
      <c r="H260" s="1867"/>
      <c r="I260" s="1867"/>
      <c r="J260" s="1867"/>
      <c r="K260" s="1867"/>
      <c r="L260" s="1851">
        <f t="shared" ca="1" si="112"/>
        <v>0</v>
      </c>
      <c r="M260" s="1851">
        <f t="shared" ca="1" si="113"/>
        <v>0</v>
      </c>
      <c r="N260" s="1851">
        <f t="shared" ca="1" si="114"/>
        <v>0</v>
      </c>
      <c r="O260" s="1851">
        <f t="shared" ca="1" si="115"/>
        <v>0</v>
      </c>
      <c r="P260" s="1888">
        <f t="shared" ca="1" si="116"/>
        <v>0</v>
      </c>
      <c r="Q260" s="1888">
        <f t="shared" ca="1" si="117"/>
        <v>0</v>
      </c>
      <c r="R260" s="1888">
        <f t="shared" ca="1" si="118"/>
        <v>0</v>
      </c>
      <c r="S260" s="1888">
        <f t="shared" ca="1" si="119"/>
        <v>0</v>
      </c>
      <c r="T260" s="1851">
        <f t="shared" ca="1" si="120"/>
        <v>0</v>
      </c>
      <c r="U260" s="1851">
        <f t="shared" ca="1" si="121"/>
        <v>0</v>
      </c>
      <c r="V260" s="1851">
        <f t="shared" ca="1" si="122"/>
        <v>0</v>
      </c>
      <c r="W260" s="1851">
        <f t="shared" ca="1" si="123"/>
        <v>0</v>
      </c>
      <c r="X260" s="1868"/>
      <c r="Y260" s="1868"/>
      <c r="Z260" s="1868"/>
      <c r="AA260" s="1868"/>
      <c r="AB260" s="1868"/>
      <c r="AC260" s="1868"/>
      <c r="AD260" s="1868"/>
      <c r="AE260" s="1868"/>
      <c r="AF260" s="1868"/>
      <c r="AG260" s="1868"/>
      <c r="AH260" s="1868"/>
      <c r="AI260" s="1868"/>
      <c r="AJ260" s="1868"/>
      <c r="AK260" s="1868"/>
      <c r="AL260" s="1868"/>
      <c r="AM260" s="1868"/>
      <c r="AN260" s="1868"/>
      <c r="AO260" s="1868"/>
      <c r="AP260" s="1868"/>
      <c r="AQ260" s="1868"/>
      <c r="AR260" s="1868"/>
      <c r="AS260" s="1868"/>
      <c r="AT260" s="1868"/>
      <c r="AU260" s="1868"/>
      <c r="AV260" s="1868"/>
      <c r="AW260" s="1868"/>
      <c r="AX260" s="1868"/>
      <c r="AY260" s="1868"/>
      <c r="AZ260" s="1868"/>
      <c r="BA260" s="1868"/>
      <c r="BB260" s="1868"/>
      <c r="BC260" s="1868"/>
      <c r="BD260" s="1868"/>
      <c r="BE260" s="1868"/>
      <c r="BF260" s="1868"/>
      <c r="BG260" s="1868"/>
      <c r="BH260" s="1868"/>
      <c r="BI260" s="1868"/>
      <c r="BJ260" s="1868"/>
      <c r="BK260" s="1868"/>
      <c r="BL260" s="1868"/>
      <c r="BM260" s="1868"/>
      <c r="BN260" s="1868"/>
      <c r="BO260" s="1868"/>
      <c r="BP260" s="1862"/>
    </row>
    <row r="261" spans="1:68">
      <c r="A261" s="1842">
        <v>163</v>
      </c>
      <c r="B261" s="1905"/>
      <c r="C261" s="1906"/>
      <c r="D261" s="1924"/>
      <c r="E261" s="1925"/>
      <c r="F261" s="1863"/>
      <c r="G261" s="1225" t="s">
        <v>0</v>
      </c>
      <c r="H261" s="1867"/>
      <c r="I261" s="1867"/>
      <c r="J261" s="1867"/>
      <c r="K261" s="1867"/>
      <c r="L261" s="1851">
        <f t="shared" ca="1" si="112"/>
        <v>0</v>
      </c>
      <c r="M261" s="1851">
        <f t="shared" ca="1" si="113"/>
        <v>0</v>
      </c>
      <c r="N261" s="1851">
        <f t="shared" ca="1" si="114"/>
        <v>0</v>
      </c>
      <c r="O261" s="1851">
        <f t="shared" ca="1" si="115"/>
        <v>0</v>
      </c>
      <c r="P261" s="1888">
        <f t="shared" ca="1" si="116"/>
        <v>0</v>
      </c>
      <c r="Q261" s="1888">
        <f t="shared" ca="1" si="117"/>
        <v>0</v>
      </c>
      <c r="R261" s="1888">
        <f t="shared" ca="1" si="118"/>
        <v>0</v>
      </c>
      <c r="S261" s="1888">
        <f t="shared" ca="1" si="119"/>
        <v>0</v>
      </c>
      <c r="T261" s="1851">
        <f t="shared" ca="1" si="120"/>
        <v>0</v>
      </c>
      <c r="U261" s="1851">
        <f t="shared" ca="1" si="121"/>
        <v>0</v>
      </c>
      <c r="V261" s="1851">
        <f t="shared" ca="1" si="122"/>
        <v>0</v>
      </c>
      <c r="W261" s="1851">
        <f t="shared" ca="1" si="123"/>
        <v>0</v>
      </c>
      <c r="X261" s="1868"/>
      <c r="Y261" s="1868"/>
      <c r="Z261" s="1868"/>
      <c r="AA261" s="1868"/>
      <c r="AB261" s="1868"/>
      <c r="AC261" s="1868"/>
      <c r="AD261" s="1868"/>
      <c r="AE261" s="1868"/>
      <c r="AF261" s="1868"/>
      <c r="AG261" s="1868"/>
      <c r="AH261" s="1868"/>
      <c r="AI261" s="1868"/>
      <c r="AJ261" s="1868"/>
      <c r="AK261" s="1868"/>
      <c r="AL261" s="1868"/>
      <c r="AM261" s="1868"/>
      <c r="AN261" s="1868"/>
      <c r="AO261" s="1868"/>
      <c r="AP261" s="1868"/>
      <c r="AQ261" s="1868"/>
      <c r="AR261" s="1868"/>
      <c r="AS261" s="1868"/>
      <c r="AT261" s="1868"/>
      <c r="AU261" s="1868"/>
      <c r="AV261" s="1868"/>
      <c r="AW261" s="1868"/>
      <c r="AX261" s="1868"/>
      <c r="AY261" s="1868"/>
      <c r="AZ261" s="1868"/>
      <c r="BA261" s="1868"/>
      <c r="BB261" s="1868"/>
      <c r="BC261" s="1868"/>
      <c r="BD261" s="1868"/>
      <c r="BE261" s="1868"/>
      <c r="BF261" s="1868"/>
      <c r="BG261" s="1868"/>
      <c r="BH261" s="1868"/>
      <c r="BI261" s="1868"/>
      <c r="BJ261" s="1868"/>
      <c r="BK261" s="1868"/>
      <c r="BL261" s="1868"/>
      <c r="BM261" s="1868"/>
      <c r="BN261" s="1868"/>
      <c r="BO261" s="1868"/>
      <c r="BP261" s="1862"/>
    </row>
    <row r="262" spans="1:68" ht="19.5" customHeight="1">
      <c r="A262" s="1842">
        <v>164</v>
      </c>
      <c r="B262" s="1905"/>
      <c r="C262" s="1926"/>
      <c r="D262" s="1927" t="s">
        <v>1131</v>
      </c>
      <c r="E262" s="1928" t="str">
        <f ca="1">E214</f>
        <v/>
      </c>
      <c r="F262" s="1863" t="s">
        <v>1015</v>
      </c>
      <c r="G262" s="1225" t="s">
        <v>1109</v>
      </c>
      <c r="H262" s="1867"/>
      <c r="I262" s="1867"/>
      <c r="J262" s="1867"/>
      <c r="K262" s="1867"/>
      <c r="L262" s="1851">
        <f t="shared" ca="1" si="112"/>
        <v>0</v>
      </c>
      <c r="M262" s="1851">
        <f t="shared" ca="1" si="113"/>
        <v>0</v>
      </c>
      <c r="N262" s="1851">
        <f t="shared" ca="1" si="114"/>
        <v>0</v>
      </c>
      <c r="O262" s="1851">
        <f t="shared" ca="1" si="115"/>
        <v>0</v>
      </c>
      <c r="P262" s="1888">
        <f t="shared" ca="1" si="116"/>
        <v>0</v>
      </c>
      <c r="Q262" s="1888">
        <f t="shared" ca="1" si="117"/>
        <v>0</v>
      </c>
      <c r="R262" s="1888">
        <f t="shared" ca="1" si="118"/>
        <v>0</v>
      </c>
      <c r="S262" s="1888">
        <f t="shared" ca="1" si="119"/>
        <v>0</v>
      </c>
      <c r="T262" s="1851">
        <f t="shared" ca="1" si="120"/>
        <v>0</v>
      </c>
      <c r="U262" s="1851">
        <f t="shared" ca="1" si="121"/>
        <v>0</v>
      </c>
      <c r="V262" s="1851">
        <f t="shared" ca="1" si="122"/>
        <v>0</v>
      </c>
      <c r="W262" s="1851">
        <f t="shared" ca="1" si="123"/>
        <v>0</v>
      </c>
      <c r="X262" s="1868"/>
      <c r="Y262" s="1868"/>
      <c r="Z262" s="1868"/>
      <c r="AA262" s="1868"/>
      <c r="AB262" s="1868"/>
      <c r="AC262" s="1868"/>
      <c r="AD262" s="1868"/>
      <c r="AE262" s="1868"/>
      <c r="AF262" s="1868"/>
      <c r="AG262" s="1868"/>
      <c r="AH262" s="1868"/>
      <c r="AI262" s="1868"/>
      <c r="AJ262" s="1868"/>
      <c r="AK262" s="1868"/>
      <c r="AL262" s="1868"/>
      <c r="AM262" s="1868"/>
      <c r="AN262" s="1868"/>
      <c r="AO262" s="1868"/>
      <c r="AP262" s="1868"/>
      <c r="AQ262" s="1868"/>
      <c r="AR262" s="1868"/>
      <c r="AS262" s="1868"/>
      <c r="AT262" s="1868"/>
      <c r="AU262" s="1868"/>
      <c r="AV262" s="1868"/>
      <c r="AW262" s="1868"/>
      <c r="AX262" s="1868"/>
      <c r="AY262" s="1868"/>
      <c r="AZ262" s="1868"/>
      <c r="BA262" s="1868"/>
      <c r="BB262" s="1868"/>
      <c r="BC262" s="1868"/>
      <c r="BD262" s="1868"/>
      <c r="BE262" s="1868"/>
      <c r="BF262" s="1868"/>
      <c r="BG262" s="1868"/>
      <c r="BH262" s="1868"/>
      <c r="BI262" s="1868"/>
      <c r="BJ262" s="1868"/>
      <c r="BK262" s="1868"/>
      <c r="BL262" s="1868"/>
      <c r="BM262" s="1868"/>
      <c r="BN262" s="1868"/>
      <c r="BO262" s="1868"/>
      <c r="BP262" s="1862"/>
    </row>
    <row r="263" spans="1:68" ht="21">
      <c r="A263" s="1842">
        <v>165</v>
      </c>
      <c r="B263" s="1905"/>
      <c r="C263" s="1929" t="s">
        <v>1132</v>
      </c>
      <c r="D263" s="1930"/>
      <c r="E263" s="1930"/>
      <c r="F263" s="1863" t="s">
        <v>1017</v>
      </c>
      <c r="G263" s="1225" t="s">
        <v>1109</v>
      </c>
      <c r="H263" s="1931" t="s">
        <v>1133</v>
      </c>
      <c r="I263" s="1932"/>
      <c r="J263" s="1932"/>
      <c r="K263" s="1933"/>
      <c r="L263" s="1851">
        <f t="shared" ca="1" si="112"/>
        <v>0</v>
      </c>
      <c r="M263" s="1851">
        <f t="shared" ca="1" si="113"/>
        <v>0</v>
      </c>
      <c r="N263" s="1851">
        <f t="shared" ca="1" si="114"/>
        <v>0</v>
      </c>
      <c r="O263" s="1851">
        <f t="shared" ca="1" si="115"/>
        <v>0</v>
      </c>
      <c r="P263" s="1888">
        <f t="shared" ca="1" si="116"/>
        <v>0</v>
      </c>
      <c r="Q263" s="1888">
        <f t="shared" ca="1" si="117"/>
        <v>0</v>
      </c>
      <c r="R263" s="1888">
        <f t="shared" ca="1" si="118"/>
        <v>0</v>
      </c>
      <c r="S263" s="1888">
        <f t="shared" ca="1" si="119"/>
        <v>0</v>
      </c>
      <c r="T263" s="1851">
        <f t="shared" ca="1" si="120"/>
        <v>0</v>
      </c>
      <c r="U263" s="1851">
        <f t="shared" ca="1" si="121"/>
        <v>0</v>
      </c>
      <c r="V263" s="1851">
        <f t="shared" ca="1" si="122"/>
        <v>0</v>
      </c>
      <c r="W263" s="1851">
        <f t="shared" ca="1" si="123"/>
        <v>0</v>
      </c>
      <c r="X263" s="1868"/>
      <c r="Y263" s="1868"/>
      <c r="Z263" s="1868"/>
      <c r="AA263" s="1868"/>
      <c r="AB263" s="1868"/>
      <c r="AC263" s="1868"/>
      <c r="AD263" s="1868"/>
      <c r="AE263" s="1868"/>
      <c r="AF263" s="1868"/>
      <c r="AG263" s="1868"/>
      <c r="AH263" s="1868"/>
      <c r="AI263" s="1868"/>
      <c r="AJ263" s="1868"/>
      <c r="AK263" s="1868"/>
      <c r="AL263" s="1868"/>
      <c r="AM263" s="1868"/>
      <c r="AN263" s="1868"/>
      <c r="AO263" s="1868"/>
      <c r="AP263" s="1868"/>
      <c r="AQ263" s="1868"/>
      <c r="AR263" s="1868"/>
      <c r="AS263" s="1868"/>
      <c r="AT263" s="1868"/>
      <c r="AU263" s="1868"/>
      <c r="AV263" s="1868"/>
      <c r="AW263" s="1868"/>
      <c r="AX263" s="1868"/>
      <c r="AY263" s="1868"/>
      <c r="AZ263" s="1868"/>
      <c r="BA263" s="1868"/>
      <c r="BB263" s="1868"/>
      <c r="BC263" s="1868"/>
      <c r="BD263" s="1868"/>
      <c r="BE263" s="1868"/>
      <c r="BF263" s="1868"/>
      <c r="BG263" s="1868"/>
      <c r="BH263" s="1868"/>
      <c r="BI263" s="1868"/>
      <c r="BJ263" s="1868"/>
      <c r="BK263" s="1868"/>
      <c r="BL263" s="1868"/>
      <c r="BM263" s="1868"/>
      <c r="BN263" s="1868"/>
      <c r="BO263" s="1868"/>
      <c r="BP263" s="1862"/>
    </row>
    <row r="264" spans="1:68" ht="19.5" customHeight="1">
      <c r="A264" s="1842">
        <v>166</v>
      </c>
      <c r="B264" s="1905"/>
      <c r="C264" s="1934" t="s">
        <v>1134</v>
      </c>
      <c r="D264" s="1919" t="s">
        <v>1163</v>
      </c>
      <c r="E264" s="1899" t="s">
        <v>1136</v>
      </c>
      <c r="F264" s="1863"/>
      <c r="G264" s="1225" t="s">
        <v>1125</v>
      </c>
      <c r="H264" s="1935">
        <f ca="1">H106</f>
        <v>0</v>
      </c>
      <c r="I264" s="1935">
        <f ca="1">I106</f>
        <v>0</v>
      </c>
      <c r="J264" s="1935">
        <f ca="1">J106</f>
        <v>0</v>
      </c>
      <c r="K264" s="1935">
        <f ca="1">K106</f>
        <v>0</v>
      </c>
      <c r="L264" s="1851">
        <f t="shared" ca="1" si="112"/>
        <v>0</v>
      </c>
      <c r="M264" s="1851">
        <f t="shared" ca="1" si="113"/>
        <v>0</v>
      </c>
      <c r="N264" s="1851">
        <f t="shared" ca="1" si="114"/>
        <v>0</v>
      </c>
      <c r="O264" s="1851">
        <f t="shared" ca="1" si="115"/>
        <v>0</v>
      </c>
      <c r="P264" s="1888">
        <f t="shared" ca="1" si="116"/>
        <v>0</v>
      </c>
      <c r="Q264" s="1888">
        <f t="shared" ca="1" si="117"/>
        <v>0</v>
      </c>
      <c r="R264" s="1888">
        <f t="shared" ca="1" si="118"/>
        <v>0</v>
      </c>
      <c r="S264" s="1888">
        <f t="shared" ca="1" si="119"/>
        <v>0</v>
      </c>
      <c r="T264" s="1851">
        <f t="shared" ca="1" si="120"/>
        <v>0</v>
      </c>
      <c r="U264" s="1851">
        <f t="shared" ca="1" si="121"/>
        <v>0</v>
      </c>
      <c r="V264" s="1851">
        <f t="shared" ca="1" si="122"/>
        <v>0</v>
      </c>
      <c r="W264" s="1851">
        <f t="shared" ca="1" si="123"/>
        <v>0</v>
      </c>
      <c r="X264" s="1868"/>
      <c r="Y264" s="1868"/>
      <c r="Z264" s="1868"/>
      <c r="AA264" s="1868"/>
      <c r="AB264" s="1868"/>
      <c r="AC264" s="1868"/>
      <c r="AD264" s="1868"/>
      <c r="AE264" s="1868"/>
      <c r="AF264" s="1868"/>
      <c r="AG264" s="1868"/>
      <c r="AH264" s="1868"/>
      <c r="AI264" s="1868"/>
      <c r="AJ264" s="1868"/>
      <c r="AK264" s="1868"/>
      <c r="AL264" s="1868"/>
      <c r="AM264" s="1868"/>
      <c r="AN264" s="1868"/>
      <c r="AO264" s="1868"/>
      <c r="AP264" s="1868"/>
      <c r="AQ264" s="1868"/>
      <c r="AR264" s="1868"/>
      <c r="AS264" s="1868"/>
      <c r="AT264" s="1868"/>
      <c r="AU264" s="1868"/>
      <c r="AV264" s="1868"/>
      <c r="AW264" s="1868"/>
      <c r="AX264" s="1868"/>
      <c r="AY264" s="1868"/>
      <c r="AZ264" s="1868"/>
      <c r="BA264" s="1868"/>
      <c r="BB264" s="1868"/>
      <c r="BC264" s="1868"/>
      <c r="BD264" s="1868"/>
      <c r="BE264" s="1868"/>
      <c r="BF264" s="1868"/>
      <c r="BG264" s="1868"/>
      <c r="BH264" s="1868"/>
      <c r="BI264" s="1868"/>
      <c r="BJ264" s="1868"/>
      <c r="BK264" s="1868"/>
      <c r="BL264" s="1868"/>
      <c r="BM264" s="1868"/>
      <c r="BN264" s="1868"/>
      <c r="BO264" s="1868"/>
      <c r="BP264" s="1862"/>
    </row>
    <row r="265" spans="1:68" ht="21">
      <c r="A265" s="1842"/>
      <c r="B265" s="1905"/>
      <c r="C265" s="1936"/>
      <c r="D265" s="1924"/>
      <c r="E265" s="1899" t="s">
        <v>1137</v>
      </c>
      <c r="F265" s="1863"/>
      <c r="G265" s="1225" t="s">
        <v>1109</v>
      </c>
      <c r="H265" s="1931" t="s">
        <v>1138</v>
      </c>
      <c r="I265" s="1932"/>
      <c r="J265" s="1932"/>
      <c r="K265" s="1933"/>
      <c r="L265" s="1851">
        <f ca="1">ROUNDDOWN(L264*H264*H266,0)</f>
        <v>0</v>
      </c>
      <c r="M265" s="1851">
        <f ca="1">ROUNDDOWN(M264*I264*I266,0)</f>
        <v>0</v>
      </c>
      <c r="N265" s="1851">
        <f ca="1">ROUNDDOWN(N264*J264*J266,0)</f>
        <v>0</v>
      </c>
      <c r="O265" s="1851">
        <f ca="1">ROUNDDOWN(O264*K264*K266,0)</f>
        <v>0</v>
      </c>
      <c r="P265" s="1888">
        <f ca="1">ROUNDDOWN(P264*H264*H266,0)</f>
        <v>0</v>
      </c>
      <c r="Q265" s="1888">
        <f ca="1">ROUNDDOWN(Q264*I264*I266,0)</f>
        <v>0</v>
      </c>
      <c r="R265" s="1888">
        <f ca="1">ROUNDDOWN(R264*J264*J266,0)</f>
        <v>0</v>
      </c>
      <c r="S265" s="1888">
        <f ca="1">ROUNDDOWN(S264*K264*K266,0)</f>
        <v>0</v>
      </c>
      <c r="T265" s="1851">
        <f ca="1">ROUNDDOWN(T264*H264*H266,0)</f>
        <v>0</v>
      </c>
      <c r="U265" s="1851">
        <f ca="1">ROUNDDOWN(U264*I264*I266,0)</f>
        <v>0</v>
      </c>
      <c r="V265" s="1851">
        <f ca="1">ROUNDDOWN(V264*J264*J266,0)</f>
        <v>0</v>
      </c>
      <c r="W265" s="1851">
        <f ca="1">ROUNDDOWN(W264*K264*K266,0)</f>
        <v>0</v>
      </c>
      <c r="X265" s="1868"/>
      <c r="Y265" s="1868"/>
      <c r="Z265" s="1868"/>
      <c r="AA265" s="1868"/>
      <c r="AB265" s="1868"/>
      <c r="AC265" s="1868"/>
      <c r="AD265" s="1868"/>
      <c r="AE265" s="1868"/>
      <c r="AF265" s="1868"/>
      <c r="AG265" s="1868"/>
      <c r="AH265" s="1868"/>
      <c r="AI265" s="1868"/>
      <c r="AJ265" s="1868"/>
      <c r="AK265" s="1868"/>
      <c r="AL265" s="1868"/>
      <c r="AM265" s="1868"/>
      <c r="AN265" s="1868"/>
      <c r="AO265" s="1868"/>
      <c r="AP265" s="1868"/>
      <c r="AQ265" s="1868"/>
      <c r="AR265" s="1868"/>
      <c r="AS265" s="1868"/>
      <c r="AT265" s="1868"/>
      <c r="AU265" s="1868"/>
      <c r="AV265" s="1868"/>
      <c r="AW265" s="1868"/>
      <c r="AX265" s="1868"/>
      <c r="AY265" s="1868"/>
      <c r="AZ265" s="1868"/>
      <c r="BA265" s="1868"/>
      <c r="BB265" s="1868"/>
      <c r="BC265" s="1868"/>
      <c r="BD265" s="1868"/>
      <c r="BE265" s="1868"/>
      <c r="BF265" s="1868"/>
      <c r="BG265" s="1868"/>
      <c r="BH265" s="1868"/>
      <c r="BI265" s="1868"/>
      <c r="BJ265" s="1868"/>
      <c r="BK265" s="1868"/>
      <c r="BL265" s="1868"/>
      <c r="BM265" s="1868"/>
      <c r="BN265" s="1868"/>
      <c r="BO265" s="1868"/>
      <c r="BP265" s="1862"/>
    </row>
    <row r="266" spans="1:68">
      <c r="A266" s="1842">
        <v>167</v>
      </c>
      <c r="B266" s="1905"/>
      <c r="C266" s="1936"/>
      <c r="D266" s="1919" t="s">
        <v>1164</v>
      </c>
      <c r="E266" s="1899" t="s">
        <v>1136</v>
      </c>
      <c r="F266" s="1863"/>
      <c r="G266" s="1225" t="s">
        <v>1125</v>
      </c>
      <c r="H266" s="1935">
        <f ca="1">H108</f>
        <v>0</v>
      </c>
      <c r="I266" s="1935">
        <f ca="1">I108</f>
        <v>0</v>
      </c>
      <c r="J266" s="1935">
        <f ca="1">J108</f>
        <v>0</v>
      </c>
      <c r="K266" s="1935">
        <f ca="1">K108</f>
        <v>0</v>
      </c>
      <c r="L266" s="1851">
        <f ca="1">SUM(P266,T266)</f>
        <v>0</v>
      </c>
      <c r="M266" s="1851">
        <f ca="1">SUM(Q266,U266)</f>
        <v>0</v>
      </c>
      <c r="N266" s="1851">
        <f ca="1">SUM(R266,V266)</f>
        <v>0</v>
      </c>
      <c r="O266" s="1851">
        <f ca="1">SUM(S266,W266)</f>
        <v>0</v>
      </c>
      <c r="P266" s="1888">
        <f ca="1">IFERROR(SUM(OFFSET(貼付け_2024実績,$A266,11,1,2)),"")</f>
        <v>0</v>
      </c>
      <c r="Q266" s="1888">
        <f ca="1">IFERROR(SUM(OFFSET(貼付け_2025実績,$A266,11,1,2)),"")</f>
        <v>0</v>
      </c>
      <c r="R266" s="1888">
        <f ca="1">IFERROR(SUM(OFFSET(貼付け_2026実績,$A266,11,1,2)),"")</f>
        <v>0</v>
      </c>
      <c r="S266" s="1888">
        <f ca="1">IFERROR(SUM(OFFSET(貼付け_2027実績,$A266,11,1,2)),"")</f>
        <v>0</v>
      </c>
      <c r="T266" s="1851">
        <f ca="1">IFERROR(OFFSET(貼付け_2024実績,$A266,10),"")</f>
        <v>0</v>
      </c>
      <c r="U266" s="1851">
        <f ca="1">IFERROR(OFFSET(貼付け_2025実績,$A266,10),"")</f>
        <v>0</v>
      </c>
      <c r="V266" s="1851">
        <f ca="1">IFERROR(OFFSET(貼付け_2026実績,$A266,10),"")</f>
        <v>0</v>
      </c>
      <c r="W266" s="1851">
        <f ca="1">IFERROR(OFFSET(貼付け_2027実績,$A266,10),"")</f>
        <v>0</v>
      </c>
      <c r="X266" s="1868"/>
      <c r="Y266" s="1868"/>
      <c r="Z266" s="1868"/>
      <c r="AA266" s="1868"/>
      <c r="AB266" s="1868"/>
      <c r="AC266" s="1868"/>
      <c r="AD266" s="1868"/>
      <c r="AE266" s="1868"/>
      <c r="AF266" s="1868"/>
      <c r="AG266" s="1868"/>
      <c r="AH266" s="1868"/>
      <c r="AI266" s="1868"/>
      <c r="AJ266" s="1868"/>
      <c r="AK266" s="1868"/>
      <c r="AL266" s="1868"/>
      <c r="AM266" s="1868"/>
      <c r="AN266" s="1868"/>
      <c r="AO266" s="1868"/>
      <c r="AP266" s="1868"/>
      <c r="AQ266" s="1868"/>
      <c r="AR266" s="1868"/>
      <c r="AS266" s="1868"/>
      <c r="AT266" s="1868"/>
      <c r="AU266" s="1868"/>
      <c r="AV266" s="1868"/>
      <c r="AW266" s="1868"/>
      <c r="AX266" s="1868"/>
      <c r="AY266" s="1868"/>
      <c r="AZ266" s="1868"/>
      <c r="BA266" s="1868"/>
      <c r="BB266" s="1868"/>
      <c r="BC266" s="1868"/>
      <c r="BD266" s="1868"/>
      <c r="BE266" s="1868"/>
      <c r="BF266" s="1868"/>
      <c r="BG266" s="1868"/>
      <c r="BH266" s="1868"/>
      <c r="BI266" s="1868"/>
      <c r="BJ266" s="1868"/>
      <c r="BK266" s="1868"/>
      <c r="BL266" s="1868"/>
      <c r="BM266" s="1868"/>
      <c r="BN266" s="1868"/>
      <c r="BO266" s="1868"/>
      <c r="BP266" s="1862"/>
    </row>
    <row r="267" spans="1:68" ht="21">
      <c r="A267" s="1842"/>
      <c r="B267" s="1905"/>
      <c r="C267" s="1936"/>
      <c r="D267" s="1924"/>
      <c r="E267" s="1899" t="s">
        <v>1137</v>
      </c>
      <c r="F267" s="1863"/>
      <c r="G267" s="1225" t="s">
        <v>1109</v>
      </c>
      <c r="H267" s="1931" t="s">
        <v>1140</v>
      </c>
      <c r="I267" s="1932"/>
      <c r="J267" s="1932"/>
      <c r="K267" s="1933"/>
      <c r="L267" s="1851">
        <f ca="1">ROUNDDOWN(L266*$H264*$H268,0)</f>
        <v>0</v>
      </c>
      <c r="M267" s="1851">
        <f ca="1">ROUNDDOWN(M266*$I264*$I268,0)</f>
        <v>0</v>
      </c>
      <c r="N267" s="1851">
        <f ca="1">ROUNDDOWN(N266*$J264*$J268,0)</f>
        <v>0</v>
      </c>
      <c r="O267" s="1851">
        <f ca="1">ROUNDDOWN(O266*$K264*$K268,0)</f>
        <v>0</v>
      </c>
      <c r="P267" s="1973">
        <f ca="1">ROUNDDOWN(P266*$H264*$H268,0)</f>
        <v>0</v>
      </c>
      <c r="Q267" s="1888">
        <f ca="1">ROUNDDOWN(Q266*$I264*$I268,0)</f>
        <v>0</v>
      </c>
      <c r="R267" s="1888">
        <f ca="1">ROUNDDOWN(R266*$J264*$J268,0)</f>
        <v>0</v>
      </c>
      <c r="S267" s="1888">
        <f ca="1">ROUNDDOWN(S266*$K264*$K268,0)</f>
        <v>0</v>
      </c>
      <c r="T267" s="1851">
        <f ca="1">ROUNDDOWN(T266*$H264*$H268,0)</f>
        <v>0</v>
      </c>
      <c r="U267" s="1851">
        <f ca="1">ROUNDDOWN(U266*$I264*$I268,0)</f>
        <v>0</v>
      </c>
      <c r="V267" s="1851">
        <f ca="1">ROUNDDOWN(V266*$J264*$J268,0)</f>
        <v>0</v>
      </c>
      <c r="W267" s="1851">
        <f ca="1">ROUNDDOWN(W266*$K264*$K268,0)</f>
        <v>0</v>
      </c>
      <c r="X267" s="1868"/>
      <c r="Y267" s="1868"/>
      <c r="Z267" s="1868"/>
      <c r="AA267" s="1868"/>
      <c r="AB267" s="1868"/>
      <c r="AC267" s="1868"/>
      <c r="AD267" s="1868"/>
      <c r="AE267" s="1868"/>
      <c r="AF267" s="1868"/>
      <c r="AG267" s="1868"/>
      <c r="AH267" s="1868"/>
      <c r="AI267" s="1868"/>
      <c r="AJ267" s="1868"/>
      <c r="AK267" s="1868"/>
      <c r="AL267" s="1868"/>
      <c r="AM267" s="1868"/>
      <c r="AN267" s="1868"/>
      <c r="AO267" s="1868"/>
      <c r="AP267" s="1868"/>
      <c r="AQ267" s="1868"/>
      <c r="AR267" s="1868"/>
      <c r="AS267" s="1868"/>
      <c r="AT267" s="1868"/>
      <c r="AU267" s="1868"/>
      <c r="AV267" s="1868"/>
      <c r="AW267" s="1868"/>
      <c r="AX267" s="1868"/>
      <c r="AY267" s="1868"/>
      <c r="AZ267" s="1868"/>
      <c r="BA267" s="1868"/>
      <c r="BB267" s="1868"/>
      <c r="BC267" s="1868"/>
      <c r="BD267" s="1868"/>
      <c r="BE267" s="1868"/>
      <c r="BF267" s="1868"/>
      <c r="BG267" s="1868"/>
      <c r="BH267" s="1868"/>
      <c r="BI267" s="1868"/>
      <c r="BJ267" s="1868"/>
      <c r="BK267" s="1868"/>
      <c r="BL267" s="1868"/>
      <c r="BM267" s="1868"/>
      <c r="BN267" s="1868"/>
      <c r="BO267" s="1868"/>
      <c r="BP267" s="1862"/>
    </row>
    <row r="268" spans="1:68">
      <c r="A268" s="1842">
        <v>168</v>
      </c>
      <c r="B268" s="1905"/>
      <c r="C268" s="1936"/>
      <c r="D268" s="1919" t="s">
        <v>1165</v>
      </c>
      <c r="E268" s="1899" t="s">
        <v>1136</v>
      </c>
      <c r="F268" s="1863"/>
      <c r="G268" s="1225" t="s">
        <v>1125</v>
      </c>
      <c r="H268" s="1935">
        <f ca="1">H110</f>
        <v>0</v>
      </c>
      <c r="I268" s="1935">
        <f ca="1">I110</f>
        <v>0</v>
      </c>
      <c r="J268" s="1935">
        <f ca="1">J110</f>
        <v>0</v>
      </c>
      <c r="K268" s="1935">
        <f ca="1">K110</f>
        <v>0</v>
      </c>
      <c r="L268" s="1851">
        <f ca="1">SUM(P268,T268)</f>
        <v>0</v>
      </c>
      <c r="M268" s="1851">
        <f ca="1">SUM(Q268,U268)</f>
        <v>0</v>
      </c>
      <c r="N268" s="1851">
        <f ca="1">SUM(R268,V268)</f>
        <v>0</v>
      </c>
      <c r="O268" s="1851">
        <f ca="1">SUM(S268,W268)</f>
        <v>0</v>
      </c>
      <c r="P268" s="1888">
        <f ca="1">IFERROR(SUM(OFFSET(貼付け_2024実績,$A268,11,1,2)),"")</f>
        <v>0</v>
      </c>
      <c r="Q268" s="1888">
        <f ca="1">IFERROR(SUM(OFFSET(貼付け_2025実績,$A268,11,1,2)),"")</f>
        <v>0</v>
      </c>
      <c r="R268" s="1888">
        <f ca="1">IFERROR(SUM(OFFSET(貼付け_2026実績,$A268,11,1,2)),"")</f>
        <v>0</v>
      </c>
      <c r="S268" s="1888">
        <f ca="1">IFERROR(SUM(OFFSET(貼付け_2027実績,$A268,11,1,2)),"")</f>
        <v>0</v>
      </c>
      <c r="T268" s="1851">
        <f ca="1">IFERROR(OFFSET(貼付け_2024実績,$A268,10),"")</f>
        <v>0</v>
      </c>
      <c r="U268" s="1851">
        <f ca="1">IFERROR(OFFSET(貼付け_2025実績,$A268,10),"")</f>
        <v>0</v>
      </c>
      <c r="V268" s="1851">
        <f ca="1">IFERROR(OFFSET(貼付け_2026実績,$A268,10),"")</f>
        <v>0</v>
      </c>
      <c r="W268" s="1851">
        <f ca="1">IFERROR(OFFSET(貼付け_2027実績,$A268,10),"")</f>
        <v>0</v>
      </c>
      <c r="X268" s="1868"/>
      <c r="Y268" s="1868"/>
      <c r="Z268" s="1868"/>
      <c r="AA268" s="1868"/>
      <c r="AB268" s="1868"/>
      <c r="AC268" s="1868"/>
      <c r="AD268" s="1868"/>
      <c r="AE268" s="1868"/>
      <c r="AF268" s="1868"/>
      <c r="AG268" s="1868"/>
      <c r="AH268" s="1868"/>
      <c r="AI268" s="1868"/>
      <c r="AJ268" s="1868"/>
      <c r="AK268" s="1868"/>
      <c r="AL268" s="1868"/>
      <c r="AM268" s="1868"/>
      <c r="AN268" s="1868"/>
      <c r="AO268" s="1868"/>
      <c r="AP268" s="1868"/>
      <c r="AQ268" s="1868"/>
      <c r="AR268" s="1868"/>
      <c r="AS268" s="1868"/>
      <c r="AT268" s="1868"/>
      <c r="AU268" s="1868"/>
      <c r="AV268" s="1868"/>
      <c r="AW268" s="1868"/>
      <c r="AX268" s="1868"/>
      <c r="AY268" s="1868"/>
      <c r="AZ268" s="1868"/>
      <c r="BA268" s="1868"/>
      <c r="BB268" s="1868"/>
      <c r="BC268" s="1868"/>
      <c r="BD268" s="1868"/>
      <c r="BE268" s="1868"/>
      <c r="BF268" s="1868"/>
      <c r="BG268" s="1868"/>
      <c r="BH268" s="1868"/>
      <c r="BI268" s="1868"/>
      <c r="BJ268" s="1868"/>
      <c r="BK268" s="1868"/>
      <c r="BL268" s="1868"/>
      <c r="BM268" s="1868"/>
      <c r="BN268" s="1868"/>
      <c r="BO268" s="1868"/>
      <c r="BP268" s="1862"/>
    </row>
    <row r="269" spans="1:68" ht="21">
      <c r="A269" s="1842"/>
      <c r="B269" s="1905"/>
      <c r="C269" s="1936"/>
      <c r="D269" s="1924"/>
      <c r="E269" s="1899" t="s">
        <v>1137</v>
      </c>
      <c r="F269" s="1863"/>
      <c r="G269" s="1225" t="s">
        <v>1109</v>
      </c>
      <c r="H269" s="1938"/>
      <c r="I269" s="1938"/>
      <c r="J269" s="1938"/>
      <c r="K269" s="1938"/>
      <c r="L269" s="1851">
        <f ca="1">ROUNDDOWN(L268*$H264*$H268,0)</f>
        <v>0</v>
      </c>
      <c r="M269" s="1851">
        <f ca="1">ROUNDDOWN(M268*$I264*$I268,0)</f>
        <v>0</v>
      </c>
      <c r="N269" s="1851">
        <f ca="1">ROUNDDOWN(N268*$J264*$J268,0)</f>
        <v>0</v>
      </c>
      <c r="O269" s="1851">
        <f ca="1">ROUNDDOWN(O268*$K264*$K268,0)</f>
        <v>0</v>
      </c>
      <c r="P269" s="1888">
        <f ca="1">ROUNDDOWN(P268*$H264*$H268,0)</f>
        <v>0</v>
      </c>
      <c r="Q269" s="1888">
        <f ca="1">ROUNDDOWN(Q268*$I264*$I268,0)</f>
        <v>0</v>
      </c>
      <c r="R269" s="1888">
        <f ca="1">ROUNDDOWN(R268*$J264*$J268,0)</f>
        <v>0</v>
      </c>
      <c r="S269" s="1888">
        <f ca="1">ROUNDDOWN(S268*$K264*$K268,0)</f>
        <v>0</v>
      </c>
      <c r="T269" s="1888">
        <f ca="1">ROUNDDOWN(T268*$H264*$H268,0)</f>
        <v>0</v>
      </c>
      <c r="U269" s="1888">
        <f ca="1">ROUNDDOWN(U268*$I264*$I268,0)</f>
        <v>0</v>
      </c>
      <c r="V269" s="1888">
        <f ca="1">ROUNDDOWN(V268*$J264*$J268,0)</f>
        <v>0</v>
      </c>
      <c r="W269" s="1888">
        <f ca="1">ROUNDDOWN(W268*$K264*$K268,0)</f>
        <v>0</v>
      </c>
      <c r="X269" s="1868"/>
      <c r="Y269" s="1868"/>
      <c r="Z269" s="1868"/>
      <c r="AA269" s="1868"/>
      <c r="AB269" s="1868"/>
      <c r="AC269" s="1868"/>
      <c r="AD269" s="1868"/>
      <c r="AE269" s="1868"/>
      <c r="AF269" s="1868"/>
      <c r="AG269" s="1868"/>
      <c r="AH269" s="1868"/>
      <c r="AI269" s="1868"/>
      <c r="AJ269" s="1868"/>
      <c r="AK269" s="1868"/>
      <c r="AL269" s="1868"/>
      <c r="AM269" s="1868"/>
      <c r="AN269" s="1868"/>
      <c r="AO269" s="1868"/>
      <c r="AP269" s="1868"/>
      <c r="AQ269" s="1868"/>
      <c r="AR269" s="1868"/>
      <c r="AS269" s="1868"/>
      <c r="AT269" s="1868"/>
      <c r="AU269" s="1868"/>
      <c r="AV269" s="1868"/>
      <c r="AW269" s="1868"/>
      <c r="AX269" s="1868"/>
      <c r="AY269" s="1868"/>
      <c r="AZ269" s="1868"/>
      <c r="BA269" s="1868"/>
      <c r="BB269" s="1868"/>
      <c r="BC269" s="1868"/>
      <c r="BD269" s="1868"/>
      <c r="BE269" s="1868"/>
      <c r="BF269" s="1868"/>
      <c r="BG269" s="1868"/>
      <c r="BH269" s="1868"/>
      <c r="BI269" s="1868"/>
      <c r="BJ269" s="1868"/>
      <c r="BK269" s="1868"/>
      <c r="BL269" s="1868"/>
      <c r="BM269" s="1868"/>
      <c r="BN269" s="1868"/>
      <c r="BO269" s="1868"/>
      <c r="BP269" s="1862"/>
    </row>
    <row r="270" spans="1:68">
      <c r="A270" s="1842"/>
      <c r="B270" s="1905"/>
      <c r="C270" s="1936"/>
      <c r="D270" s="1939" t="s">
        <v>992</v>
      </c>
      <c r="E270" s="1899" t="s">
        <v>1136</v>
      </c>
      <c r="F270" s="1863" t="s">
        <v>1019</v>
      </c>
      <c r="G270" s="1225" t="s">
        <v>1125</v>
      </c>
      <c r="H270" s="1867"/>
      <c r="I270" s="1867"/>
      <c r="J270" s="1867"/>
      <c r="K270" s="1867"/>
      <c r="L270" s="1888">
        <f ca="1">SUM(P270,T270)</f>
        <v>0</v>
      </c>
      <c r="M270" s="1888">
        <f ca="1">SUM(Q270,U270)</f>
        <v>0</v>
      </c>
      <c r="N270" s="1888">
        <f ca="1">SUM(R270,V270)</f>
        <v>0</v>
      </c>
      <c r="O270" s="1888">
        <f ca="1">SUM(S270,W270)</f>
        <v>0</v>
      </c>
      <c r="P270" s="1888">
        <f t="shared" ref="P270:W271" ca="1" si="124">SUM(P264,P266,P268)</f>
        <v>0</v>
      </c>
      <c r="Q270" s="1888">
        <f t="shared" ca="1" si="124"/>
        <v>0</v>
      </c>
      <c r="R270" s="1888">
        <f t="shared" ca="1" si="124"/>
        <v>0</v>
      </c>
      <c r="S270" s="1888">
        <f t="shared" ca="1" si="124"/>
        <v>0</v>
      </c>
      <c r="T270" s="1888">
        <f t="shared" ca="1" si="124"/>
        <v>0</v>
      </c>
      <c r="U270" s="1888">
        <f t="shared" ca="1" si="124"/>
        <v>0</v>
      </c>
      <c r="V270" s="1888">
        <f t="shared" ca="1" si="124"/>
        <v>0</v>
      </c>
      <c r="W270" s="1888">
        <f t="shared" ca="1" si="124"/>
        <v>0</v>
      </c>
      <c r="X270" s="1868"/>
      <c r="Y270" s="1868"/>
      <c r="Z270" s="1868"/>
      <c r="AA270" s="1868"/>
      <c r="AB270" s="1868"/>
      <c r="AC270" s="1868"/>
      <c r="AD270" s="1868"/>
      <c r="AE270" s="1868"/>
      <c r="AF270" s="1868"/>
      <c r="AG270" s="1868"/>
      <c r="AH270" s="1868"/>
      <c r="AI270" s="1868"/>
      <c r="AJ270" s="1868"/>
      <c r="AK270" s="1868"/>
      <c r="AL270" s="1868"/>
      <c r="AM270" s="1868"/>
      <c r="AN270" s="1868"/>
      <c r="AO270" s="1868"/>
      <c r="AP270" s="1868"/>
      <c r="AQ270" s="1868"/>
      <c r="AR270" s="1868"/>
      <c r="AS270" s="1868"/>
      <c r="AT270" s="1868"/>
      <c r="AU270" s="1868"/>
      <c r="AV270" s="1868"/>
      <c r="AW270" s="1868"/>
      <c r="AX270" s="1868"/>
      <c r="AY270" s="1868"/>
      <c r="AZ270" s="1868"/>
      <c r="BA270" s="1868"/>
      <c r="BB270" s="1868"/>
      <c r="BC270" s="1868"/>
      <c r="BD270" s="1868"/>
      <c r="BE270" s="1868"/>
      <c r="BF270" s="1868"/>
      <c r="BG270" s="1868"/>
      <c r="BH270" s="1868"/>
      <c r="BI270" s="1868"/>
      <c r="BJ270" s="1868"/>
      <c r="BK270" s="1868"/>
      <c r="BL270" s="1868"/>
      <c r="BM270" s="1868"/>
      <c r="BN270" s="1868"/>
      <c r="BO270" s="1868"/>
      <c r="BP270" s="1862"/>
    </row>
    <row r="271" spans="1:68" ht="21">
      <c r="A271" s="1842"/>
      <c r="B271" s="1905"/>
      <c r="C271" s="1940"/>
      <c r="D271" s="1941"/>
      <c r="E271" s="1899" t="s">
        <v>1137</v>
      </c>
      <c r="F271" s="1863" t="s">
        <v>1021</v>
      </c>
      <c r="G271" s="1225" t="s">
        <v>1109</v>
      </c>
      <c r="H271" s="1867"/>
      <c r="I271" s="1867"/>
      <c r="J271" s="1867"/>
      <c r="K271" s="1867"/>
      <c r="L271" s="1851">
        <f ca="1">SUM(L265,L267,L269)</f>
        <v>0</v>
      </c>
      <c r="M271" s="1851">
        <f ca="1">SUM(M265,M267,M269)</f>
        <v>0</v>
      </c>
      <c r="N271" s="1851">
        <f ca="1">SUM(N265,N267,N269)</f>
        <v>0</v>
      </c>
      <c r="O271" s="1851">
        <f ca="1">SUM(O265,O267,O269)</f>
        <v>0</v>
      </c>
      <c r="P271" s="1888">
        <f t="shared" ca="1" si="124"/>
        <v>0</v>
      </c>
      <c r="Q271" s="1888">
        <f t="shared" ca="1" si="124"/>
        <v>0</v>
      </c>
      <c r="R271" s="1888">
        <f t="shared" ca="1" si="124"/>
        <v>0</v>
      </c>
      <c r="S271" s="1888">
        <f t="shared" ca="1" si="124"/>
        <v>0</v>
      </c>
      <c r="T271" s="1888">
        <f t="shared" ca="1" si="124"/>
        <v>0</v>
      </c>
      <c r="U271" s="1888">
        <f t="shared" ca="1" si="124"/>
        <v>0</v>
      </c>
      <c r="V271" s="1888">
        <f t="shared" ca="1" si="124"/>
        <v>0</v>
      </c>
      <c r="W271" s="1888">
        <f t="shared" ca="1" si="124"/>
        <v>0</v>
      </c>
      <c r="X271" s="1868"/>
      <c r="Y271" s="1868"/>
      <c r="Z271" s="1868"/>
      <c r="AA271" s="1868"/>
      <c r="AB271" s="1868"/>
      <c r="AC271" s="1868"/>
      <c r="AD271" s="1868"/>
      <c r="AE271" s="1868"/>
      <c r="AF271" s="1868"/>
      <c r="AG271" s="1868"/>
      <c r="AH271" s="1868"/>
      <c r="AI271" s="1868"/>
      <c r="AJ271" s="1868"/>
      <c r="AK271" s="1868"/>
      <c r="AL271" s="1868"/>
      <c r="AM271" s="1868"/>
      <c r="AN271" s="1868"/>
      <c r="AO271" s="1868"/>
      <c r="AP271" s="1868"/>
      <c r="AQ271" s="1868"/>
      <c r="AR271" s="1868"/>
      <c r="AS271" s="1868"/>
      <c r="AT271" s="1868"/>
      <c r="AU271" s="1868"/>
      <c r="AV271" s="1868"/>
      <c r="AW271" s="1868"/>
      <c r="AX271" s="1868"/>
      <c r="AY271" s="1868"/>
      <c r="AZ271" s="1868"/>
      <c r="BA271" s="1868"/>
      <c r="BB271" s="1868"/>
      <c r="BC271" s="1868"/>
      <c r="BD271" s="1868"/>
      <c r="BE271" s="1868"/>
      <c r="BF271" s="1868"/>
      <c r="BG271" s="1868"/>
      <c r="BH271" s="1868"/>
      <c r="BI271" s="1868"/>
      <c r="BJ271" s="1868"/>
      <c r="BK271" s="1868"/>
      <c r="BL271" s="1868"/>
      <c r="BM271" s="1868"/>
      <c r="BN271" s="1868"/>
      <c r="BO271" s="1868"/>
      <c r="BP271" s="1862"/>
    </row>
    <row r="272" spans="1:68" ht="21">
      <c r="A272" s="1842"/>
      <c r="B272" s="1905"/>
      <c r="C272" s="1929" t="s">
        <v>1142</v>
      </c>
      <c r="D272" s="1942"/>
      <c r="E272" s="1900"/>
      <c r="F272" s="1863"/>
      <c r="G272" s="1225" t="s">
        <v>1109</v>
      </c>
      <c r="H272" s="1867"/>
      <c r="I272" s="1867"/>
      <c r="J272" s="1867"/>
      <c r="K272" s="1867"/>
      <c r="L272" s="1851">
        <f t="shared" ref="L272:W272" ca="1" si="125">IF(L253+L258+L271&gt;=L250,L250,L253+L258+L271)</f>
        <v>0</v>
      </c>
      <c r="M272" s="1851">
        <f t="shared" ca="1" si="125"/>
        <v>0</v>
      </c>
      <c r="N272" s="1851">
        <f t="shared" ca="1" si="125"/>
        <v>0</v>
      </c>
      <c r="O272" s="1851">
        <f t="shared" ca="1" si="125"/>
        <v>0</v>
      </c>
      <c r="P272" s="1851">
        <f t="shared" ca="1" si="125"/>
        <v>0</v>
      </c>
      <c r="Q272" s="1851">
        <f t="shared" ca="1" si="125"/>
        <v>0</v>
      </c>
      <c r="R272" s="1851">
        <f t="shared" ca="1" si="125"/>
        <v>0</v>
      </c>
      <c r="S272" s="1851">
        <f t="shared" ca="1" si="125"/>
        <v>0</v>
      </c>
      <c r="T272" s="1851">
        <f t="shared" ca="1" si="125"/>
        <v>0</v>
      </c>
      <c r="U272" s="1851">
        <f t="shared" ca="1" si="125"/>
        <v>0</v>
      </c>
      <c r="V272" s="1851">
        <f t="shared" ca="1" si="125"/>
        <v>0</v>
      </c>
      <c r="W272" s="1851">
        <f t="shared" ca="1" si="125"/>
        <v>0</v>
      </c>
      <c r="X272" s="1868"/>
      <c r="Y272" s="1868"/>
      <c r="Z272" s="1868"/>
      <c r="AA272" s="1868"/>
      <c r="AB272" s="1868"/>
      <c r="AC272" s="1868"/>
      <c r="AD272" s="1868"/>
      <c r="AE272" s="1868"/>
      <c r="AF272" s="1868"/>
      <c r="AG272" s="1868"/>
      <c r="AH272" s="1868"/>
      <c r="AI272" s="1868"/>
      <c r="AJ272" s="1868"/>
      <c r="AK272" s="1868"/>
      <c r="AL272" s="1868"/>
      <c r="AM272" s="1868"/>
      <c r="AN272" s="1868"/>
      <c r="AO272" s="1868"/>
      <c r="AP272" s="1868"/>
      <c r="AQ272" s="1868"/>
      <c r="AR272" s="1868"/>
      <c r="AS272" s="1868"/>
      <c r="AT272" s="1868"/>
      <c r="AU272" s="1868"/>
      <c r="AV272" s="1868"/>
      <c r="AW272" s="1868"/>
      <c r="AX272" s="1868"/>
      <c r="AY272" s="1868"/>
      <c r="AZ272" s="1868"/>
      <c r="BA272" s="1868"/>
      <c r="BB272" s="1868"/>
      <c r="BC272" s="1868"/>
      <c r="BD272" s="1868"/>
      <c r="BE272" s="1868"/>
      <c r="BF272" s="1868"/>
      <c r="BG272" s="1868"/>
      <c r="BH272" s="1868"/>
      <c r="BI272" s="1868"/>
      <c r="BJ272" s="1868"/>
      <c r="BK272" s="1868"/>
      <c r="BL272" s="1868"/>
      <c r="BM272" s="1868"/>
      <c r="BN272" s="1868"/>
      <c r="BO272" s="1868"/>
      <c r="BP272" s="1862"/>
    </row>
    <row r="273" spans="1:68" ht="21">
      <c r="A273" s="1842"/>
      <c r="B273" s="1890" t="s">
        <v>1095</v>
      </c>
      <c r="C273" s="1945"/>
      <c r="D273" s="1895"/>
      <c r="E273" s="1896" t="s">
        <v>1166</v>
      </c>
      <c r="F273" s="1887"/>
      <c r="G273" s="1225" t="s">
        <v>1109</v>
      </c>
      <c r="H273" s="1867"/>
      <c r="I273" s="1867"/>
      <c r="J273" s="1867"/>
      <c r="K273" s="1867"/>
      <c r="L273" s="1851">
        <f ca="1">IF(L249+L250-L272-L262&gt;0,ROUND(L249+L250-L272-L262,2-INT(LOG(L249+L250-L272-L262))),0)</f>
        <v>0</v>
      </c>
      <c r="M273" s="1851">
        <f t="shared" ref="M273:W273" ca="1" si="126">IF(M249+M250-M272-M262&gt;0,ROUND(M249+M250-M272-M262,2-INT(LOG(M249+M250-M272-M262))),0)</f>
        <v>0</v>
      </c>
      <c r="N273" s="1851">
        <f t="shared" ca="1" si="126"/>
        <v>0</v>
      </c>
      <c r="O273" s="1851">
        <f t="shared" ca="1" si="126"/>
        <v>0</v>
      </c>
      <c r="P273" s="1851">
        <f t="shared" ca="1" si="126"/>
        <v>0</v>
      </c>
      <c r="Q273" s="1851">
        <f t="shared" ca="1" si="126"/>
        <v>0</v>
      </c>
      <c r="R273" s="1851">
        <f t="shared" ca="1" si="126"/>
        <v>0</v>
      </c>
      <c r="S273" s="1851">
        <f t="shared" ca="1" si="126"/>
        <v>0</v>
      </c>
      <c r="T273" s="1851">
        <f t="shared" ca="1" si="126"/>
        <v>0</v>
      </c>
      <c r="U273" s="1851">
        <f t="shared" ca="1" si="126"/>
        <v>0</v>
      </c>
      <c r="V273" s="1851">
        <f t="shared" ca="1" si="126"/>
        <v>0</v>
      </c>
      <c r="W273" s="1851">
        <f t="shared" ca="1" si="126"/>
        <v>0</v>
      </c>
      <c r="X273" s="1868"/>
      <c r="Y273" s="1868"/>
      <c r="Z273" s="1868"/>
      <c r="AA273" s="1868"/>
      <c r="AB273" s="1868"/>
      <c r="AC273" s="1868"/>
      <c r="AD273" s="1868"/>
      <c r="AE273" s="1868"/>
      <c r="AF273" s="1868"/>
      <c r="AG273" s="1868"/>
      <c r="AH273" s="1868"/>
      <c r="AI273" s="1868"/>
      <c r="AJ273" s="1868"/>
      <c r="AK273" s="1868"/>
      <c r="AL273" s="1868"/>
      <c r="AM273" s="1868"/>
      <c r="AN273" s="1868"/>
      <c r="AO273" s="1868"/>
      <c r="AP273" s="1868"/>
      <c r="AQ273" s="1868"/>
      <c r="AR273" s="1868"/>
      <c r="AS273" s="1868"/>
      <c r="AT273" s="1868"/>
      <c r="AU273" s="1868"/>
      <c r="AV273" s="1868"/>
      <c r="AW273" s="1868"/>
      <c r="AX273" s="1868"/>
      <c r="AY273" s="1868"/>
      <c r="AZ273" s="1868"/>
      <c r="BA273" s="1868"/>
      <c r="BB273" s="1868"/>
      <c r="BC273" s="1868"/>
      <c r="BD273" s="1868"/>
      <c r="BE273" s="1868"/>
      <c r="BF273" s="1868"/>
      <c r="BG273" s="1868"/>
      <c r="BH273" s="1868"/>
      <c r="BI273" s="1868"/>
      <c r="BJ273" s="1868"/>
      <c r="BK273" s="1868"/>
      <c r="BL273" s="1868"/>
      <c r="BM273" s="1868"/>
      <c r="BN273" s="1868"/>
      <c r="BO273" s="1868"/>
      <c r="BP273" s="1862"/>
    </row>
    <row r="274" spans="1:68" ht="20.100000000000001" customHeight="1">
      <c r="A274" s="1842"/>
      <c r="B274" s="1843">
        <v>2</v>
      </c>
      <c r="C274" s="1844" t="s">
        <v>1096</v>
      </c>
      <c r="D274" s="1839"/>
      <c r="E274" s="1839"/>
      <c r="F274" s="1839"/>
      <c r="G274" s="1839"/>
      <c r="H274" s="1840"/>
      <c r="I274" s="1840"/>
      <c r="J274" s="1840"/>
      <c r="K274" s="1840"/>
      <c r="L274" s="1840"/>
      <c r="M274" s="1840"/>
      <c r="N274" s="1840"/>
      <c r="O274" s="1840"/>
      <c r="P274" s="1840"/>
      <c r="Q274" s="1840"/>
      <c r="R274" s="1840"/>
      <c r="S274" s="1840"/>
      <c r="T274" s="1840"/>
      <c r="U274" s="1840"/>
      <c r="V274" s="1840"/>
      <c r="W274" s="1840"/>
      <c r="X274" s="1841"/>
      <c r="Y274" s="1841"/>
      <c r="Z274" s="1841"/>
      <c r="AA274" s="1841"/>
      <c r="AB274" s="1841"/>
      <c r="AC274" s="1841"/>
      <c r="AD274" s="1841"/>
      <c r="AE274" s="1841"/>
      <c r="AF274" s="1841"/>
      <c r="AG274" s="1841"/>
      <c r="AH274" s="1841"/>
      <c r="AI274" s="1841"/>
      <c r="AJ274" s="1841"/>
      <c r="AK274" s="1841"/>
      <c r="AL274" s="1841"/>
      <c r="AM274" s="1841"/>
      <c r="AN274" s="1841"/>
      <c r="AO274" s="1841"/>
      <c r="AP274" s="1841"/>
      <c r="AQ274" s="1841"/>
      <c r="AR274" s="1841"/>
      <c r="AS274" s="1841"/>
      <c r="AT274" s="1841"/>
      <c r="AU274" s="1841"/>
      <c r="AV274" s="1841"/>
      <c r="AW274" s="1841"/>
      <c r="AX274" s="1841"/>
      <c r="AY274" s="1841"/>
      <c r="AZ274" s="1841"/>
      <c r="BA274" s="1841"/>
      <c r="BB274" s="1841"/>
      <c r="BC274" s="1841"/>
      <c r="BD274" s="1841"/>
      <c r="BE274" s="1841"/>
      <c r="BF274" s="1841"/>
      <c r="BG274" s="1841"/>
      <c r="BH274" s="1841"/>
      <c r="BI274" s="1841"/>
      <c r="BJ274" s="1841"/>
      <c r="BK274" s="1841"/>
      <c r="BL274" s="1841"/>
      <c r="BM274" s="1841"/>
      <c r="BN274" s="1841"/>
      <c r="BO274" s="1841"/>
    </row>
    <row r="275" spans="1:68" ht="20.100000000000001" customHeight="1">
      <c r="A275" s="1842">
        <v>10</v>
      </c>
      <c r="B275" s="1855"/>
      <c r="C275" s="1847"/>
      <c r="D275" s="1848" t="s">
        <v>921</v>
      </c>
      <c r="E275" s="1848"/>
      <c r="F275" s="1849"/>
      <c r="G275" s="1225" t="s">
        <v>1109</v>
      </c>
      <c r="H275" s="1850">
        <f t="shared" ref="H275:H281" ca="1" si="127">IFERROR(OFFSET(貼付け_2024実績,$A275,6),"")</f>
        <v>1.8700000000000001E-2</v>
      </c>
      <c r="I275" s="1850">
        <f t="shared" ref="I275:I281" ca="1" si="128">IFERROR(OFFSET(貼付け_2025実績,$A275,6),"")</f>
        <v>1.8700000000000001E-2</v>
      </c>
      <c r="J275" s="1850">
        <f t="shared" ref="J275:J281" ca="1" si="129">IFERROR(OFFSET(貼付け_2026実績,$A275,6),"")</f>
        <v>1.8700000000000001E-2</v>
      </c>
      <c r="K275" s="1850">
        <f t="shared" ref="K275:K281" ca="1" si="130">IFERROR(OFFSET(貼付け_2027実績,$A275,6),"")</f>
        <v>1.8700000000000001E-2</v>
      </c>
      <c r="L275" s="1852">
        <f t="shared" ref="L275:W275" ca="1" si="131">L230</f>
        <v>0</v>
      </c>
      <c r="M275" s="1852">
        <f t="shared" ca="1" si="131"/>
        <v>0</v>
      </c>
      <c r="N275" s="1852">
        <f t="shared" ca="1" si="131"/>
        <v>0</v>
      </c>
      <c r="O275" s="1852">
        <f t="shared" ca="1" si="131"/>
        <v>0</v>
      </c>
      <c r="P275" s="1852">
        <f t="shared" ca="1" si="131"/>
        <v>0</v>
      </c>
      <c r="Q275" s="1852">
        <f t="shared" ca="1" si="131"/>
        <v>0</v>
      </c>
      <c r="R275" s="1852">
        <f t="shared" ca="1" si="131"/>
        <v>0</v>
      </c>
      <c r="S275" s="1852">
        <f t="shared" ca="1" si="131"/>
        <v>0</v>
      </c>
      <c r="T275" s="1852">
        <f t="shared" ca="1" si="131"/>
        <v>0</v>
      </c>
      <c r="U275" s="1852">
        <f t="shared" ca="1" si="131"/>
        <v>0</v>
      </c>
      <c r="V275" s="1852">
        <f t="shared" ca="1" si="131"/>
        <v>0</v>
      </c>
      <c r="W275" s="1852">
        <f t="shared" ca="1" si="131"/>
        <v>0</v>
      </c>
      <c r="X275" s="1868"/>
      <c r="Y275" s="1868"/>
      <c r="Z275" s="1868"/>
      <c r="AA275" s="1868"/>
      <c r="AB275" s="1868"/>
      <c r="AC275" s="1868"/>
      <c r="AD275" s="1868"/>
      <c r="AE275" s="1868"/>
      <c r="AF275" s="1868"/>
      <c r="AG275" s="1868"/>
      <c r="AH275" s="1868"/>
      <c r="AI275" s="1868"/>
      <c r="AJ275" s="1868"/>
      <c r="AK275" s="1868"/>
      <c r="AL275" s="1868"/>
      <c r="AM275" s="1868"/>
      <c r="AN275" s="1868"/>
      <c r="AO275" s="1868"/>
      <c r="AP275" s="1868"/>
      <c r="AQ275" s="1868"/>
      <c r="AR275" s="1868"/>
      <c r="AS275" s="1868"/>
      <c r="AT275" s="1868"/>
      <c r="AU275" s="1868"/>
      <c r="AV275" s="1868"/>
      <c r="AW275" s="1868"/>
      <c r="AX275" s="1868"/>
      <c r="AY275" s="1868"/>
      <c r="AZ275" s="1868"/>
      <c r="BA275" s="1868"/>
      <c r="BB275" s="1868"/>
      <c r="BC275" s="1868"/>
      <c r="BD275" s="1868"/>
      <c r="BE275" s="1868"/>
      <c r="BF275" s="1868"/>
      <c r="BG275" s="1868"/>
      <c r="BH275" s="1868"/>
      <c r="BI275" s="1868"/>
      <c r="BJ275" s="1868"/>
      <c r="BK275" s="1868"/>
      <c r="BL275" s="1868"/>
      <c r="BM275" s="1868"/>
      <c r="BN275" s="1868"/>
      <c r="BO275" s="1868"/>
    </row>
    <row r="276" spans="1:68" ht="20.100000000000001" customHeight="1">
      <c r="A276" s="1842">
        <v>12</v>
      </c>
      <c r="B276" s="1854"/>
      <c r="C276" s="1847"/>
      <c r="D276" s="1848" t="s">
        <v>922</v>
      </c>
      <c r="E276" s="1848"/>
      <c r="F276" s="1849"/>
      <c r="G276" s="1225" t="s">
        <v>1109</v>
      </c>
      <c r="H276" s="1850">
        <f t="shared" ca="1" si="127"/>
        <v>1.8599999999999998E-2</v>
      </c>
      <c r="I276" s="1850">
        <f t="shared" ca="1" si="128"/>
        <v>1.8599999999999998E-2</v>
      </c>
      <c r="J276" s="1850">
        <f t="shared" ca="1" si="129"/>
        <v>1.8599999999999998E-2</v>
      </c>
      <c r="K276" s="1850">
        <f t="shared" ca="1" si="130"/>
        <v>1.8599999999999998E-2</v>
      </c>
      <c r="L276" s="1852">
        <f t="shared" ref="L276:W276" ca="1" si="132">L231</f>
        <v>0</v>
      </c>
      <c r="M276" s="1852">
        <f t="shared" ca="1" si="132"/>
        <v>0</v>
      </c>
      <c r="N276" s="1852">
        <f t="shared" ca="1" si="132"/>
        <v>0</v>
      </c>
      <c r="O276" s="1852">
        <f t="shared" ca="1" si="132"/>
        <v>0</v>
      </c>
      <c r="P276" s="1852">
        <f t="shared" ca="1" si="132"/>
        <v>0</v>
      </c>
      <c r="Q276" s="1852">
        <f t="shared" ca="1" si="132"/>
        <v>0</v>
      </c>
      <c r="R276" s="1852">
        <f t="shared" ca="1" si="132"/>
        <v>0</v>
      </c>
      <c r="S276" s="1852">
        <f t="shared" ca="1" si="132"/>
        <v>0</v>
      </c>
      <c r="T276" s="1852">
        <f t="shared" ca="1" si="132"/>
        <v>0</v>
      </c>
      <c r="U276" s="1852">
        <f t="shared" ca="1" si="132"/>
        <v>0</v>
      </c>
      <c r="V276" s="1852">
        <f t="shared" ca="1" si="132"/>
        <v>0</v>
      </c>
      <c r="W276" s="1852">
        <f t="shared" ca="1" si="132"/>
        <v>0</v>
      </c>
      <c r="X276" s="1868"/>
      <c r="Y276" s="1868"/>
      <c r="Z276" s="1868"/>
      <c r="AA276" s="1868"/>
      <c r="AB276" s="1868"/>
      <c r="AC276" s="1868"/>
      <c r="AD276" s="1868"/>
      <c r="AE276" s="1868"/>
      <c r="AF276" s="1868"/>
      <c r="AG276" s="1868"/>
      <c r="AH276" s="1868"/>
      <c r="AI276" s="1868"/>
      <c r="AJ276" s="1868"/>
      <c r="AK276" s="1868"/>
      <c r="AL276" s="1868"/>
      <c r="AM276" s="1868"/>
      <c r="AN276" s="1868"/>
      <c r="AO276" s="1868"/>
      <c r="AP276" s="1868"/>
      <c r="AQ276" s="1868"/>
      <c r="AR276" s="1868"/>
      <c r="AS276" s="1868"/>
      <c r="AT276" s="1868"/>
      <c r="AU276" s="1868"/>
      <c r="AV276" s="1868"/>
      <c r="AW276" s="1868"/>
      <c r="AX276" s="1868"/>
      <c r="AY276" s="1868"/>
      <c r="AZ276" s="1868"/>
      <c r="BA276" s="1868"/>
      <c r="BB276" s="1868"/>
      <c r="BC276" s="1868"/>
      <c r="BD276" s="1868"/>
      <c r="BE276" s="1868"/>
      <c r="BF276" s="1868"/>
      <c r="BG276" s="1868"/>
      <c r="BH276" s="1868"/>
      <c r="BI276" s="1868"/>
      <c r="BJ276" s="1868"/>
      <c r="BK276" s="1868"/>
      <c r="BL276" s="1868"/>
      <c r="BM276" s="1868"/>
      <c r="BN276" s="1868"/>
      <c r="BO276" s="1868"/>
    </row>
    <row r="277" spans="1:68" ht="20.100000000000001" customHeight="1">
      <c r="A277" s="1842">
        <v>14</v>
      </c>
      <c r="B277" s="1855"/>
      <c r="C277" s="1847"/>
      <c r="D277" s="1848" t="s">
        <v>544</v>
      </c>
      <c r="E277" s="1848"/>
      <c r="F277" s="1849"/>
      <c r="G277" s="1225" t="s">
        <v>1109</v>
      </c>
      <c r="H277" s="1850">
        <f t="shared" ca="1" si="127"/>
        <v>1.8800000000000001E-2</v>
      </c>
      <c r="I277" s="1850">
        <f t="shared" ca="1" si="128"/>
        <v>1.8800000000000001E-2</v>
      </c>
      <c r="J277" s="1850">
        <f t="shared" ca="1" si="129"/>
        <v>1.8800000000000001E-2</v>
      </c>
      <c r="K277" s="1850">
        <f t="shared" ca="1" si="130"/>
        <v>1.8800000000000001E-2</v>
      </c>
      <c r="L277" s="1852">
        <f t="shared" ref="L277:W277" ca="1" si="133">L232</f>
        <v>0</v>
      </c>
      <c r="M277" s="1852">
        <f t="shared" ca="1" si="133"/>
        <v>0</v>
      </c>
      <c r="N277" s="1852">
        <f t="shared" ca="1" si="133"/>
        <v>0</v>
      </c>
      <c r="O277" s="1852">
        <f t="shared" ca="1" si="133"/>
        <v>0</v>
      </c>
      <c r="P277" s="1852">
        <f t="shared" ca="1" si="133"/>
        <v>0</v>
      </c>
      <c r="Q277" s="1852">
        <f t="shared" ca="1" si="133"/>
        <v>0</v>
      </c>
      <c r="R277" s="1852">
        <f t="shared" ca="1" si="133"/>
        <v>0</v>
      </c>
      <c r="S277" s="1852">
        <f t="shared" ca="1" si="133"/>
        <v>0</v>
      </c>
      <c r="T277" s="1852">
        <f t="shared" ca="1" si="133"/>
        <v>0</v>
      </c>
      <c r="U277" s="1852">
        <f t="shared" ca="1" si="133"/>
        <v>0</v>
      </c>
      <c r="V277" s="1852">
        <f t="shared" ca="1" si="133"/>
        <v>0</v>
      </c>
      <c r="W277" s="1852">
        <f t="shared" ca="1" si="133"/>
        <v>0</v>
      </c>
      <c r="X277" s="1868"/>
      <c r="Y277" s="1868"/>
      <c r="Z277" s="1868"/>
      <c r="AA277" s="1868"/>
      <c r="AB277" s="1868"/>
      <c r="AC277" s="1868"/>
      <c r="AD277" s="1868"/>
      <c r="AE277" s="1868"/>
      <c r="AF277" s="1868"/>
      <c r="AG277" s="1868"/>
      <c r="AH277" s="1868"/>
      <c r="AI277" s="1868"/>
      <c r="AJ277" s="1868"/>
      <c r="AK277" s="1868"/>
      <c r="AL277" s="1868"/>
      <c r="AM277" s="1868"/>
      <c r="AN277" s="1868"/>
      <c r="AO277" s="1868"/>
      <c r="AP277" s="1868"/>
      <c r="AQ277" s="1868"/>
      <c r="AR277" s="1868"/>
      <c r="AS277" s="1868"/>
      <c r="AT277" s="1868"/>
      <c r="AU277" s="1868"/>
      <c r="AV277" s="1868"/>
      <c r="AW277" s="1868"/>
      <c r="AX277" s="1868"/>
      <c r="AY277" s="1868"/>
      <c r="AZ277" s="1868"/>
      <c r="BA277" s="1868"/>
      <c r="BB277" s="1868"/>
      <c r="BC277" s="1868"/>
      <c r="BD277" s="1868"/>
      <c r="BE277" s="1868"/>
      <c r="BF277" s="1868"/>
      <c r="BG277" s="1868"/>
      <c r="BH277" s="1868"/>
      <c r="BI277" s="1868"/>
      <c r="BJ277" s="1868"/>
      <c r="BK277" s="1868"/>
      <c r="BL277" s="1868"/>
      <c r="BM277" s="1868"/>
      <c r="BN277" s="1868"/>
      <c r="BO277" s="1868"/>
    </row>
    <row r="278" spans="1:68" ht="20.100000000000001" customHeight="1">
      <c r="A278" s="1842">
        <v>15</v>
      </c>
      <c r="B278" s="1854"/>
      <c r="C278" s="1847"/>
      <c r="D278" s="1848" t="s">
        <v>545</v>
      </c>
      <c r="E278" s="1848"/>
      <c r="F278" s="1849"/>
      <c r="G278" s="1225" t="s">
        <v>1109</v>
      </c>
      <c r="H278" s="1850">
        <f t="shared" ca="1" si="127"/>
        <v>1.9300000000000001E-2</v>
      </c>
      <c r="I278" s="1850">
        <f t="shared" ca="1" si="128"/>
        <v>1.9300000000000001E-2</v>
      </c>
      <c r="J278" s="1850">
        <f t="shared" ca="1" si="129"/>
        <v>1.9300000000000001E-2</v>
      </c>
      <c r="K278" s="1850">
        <f t="shared" ca="1" si="130"/>
        <v>1.9300000000000001E-2</v>
      </c>
      <c r="L278" s="1852">
        <f t="shared" ref="L278:W278" ca="1" si="134">L233</f>
        <v>0</v>
      </c>
      <c r="M278" s="1852">
        <f t="shared" ca="1" si="134"/>
        <v>0</v>
      </c>
      <c r="N278" s="1852">
        <f t="shared" ca="1" si="134"/>
        <v>0</v>
      </c>
      <c r="O278" s="1852">
        <f t="shared" ca="1" si="134"/>
        <v>0</v>
      </c>
      <c r="P278" s="1852">
        <f t="shared" ca="1" si="134"/>
        <v>0</v>
      </c>
      <c r="Q278" s="1852">
        <f t="shared" ca="1" si="134"/>
        <v>0</v>
      </c>
      <c r="R278" s="1852">
        <f t="shared" ca="1" si="134"/>
        <v>0</v>
      </c>
      <c r="S278" s="1852">
        <f t="shared" ca="1" si="134"/>
        <v>0</v>
      </c>
      <c r="T278" s="1852">
        <f t="shared" ca="1" si="134"/>
        <v>0</v>
      </c>
      <c r="U278" s="1852">
        <f t="shared" ca="1" si="134"/>
        <v>0</v>
      </c>
      <c r="V278" s="1852">
        <f t="shared" ca="1" si="134"/>
        <v>0</v>
      </c>
      <c r="W278" s="1852">
        <f t="shared" ca="1" si="134"/>
        <v>0</v>
      </c>
      <c r="X278" s="1868"/>
      <c r="Y278" s="1868"/>
      <c r="Z278" s="1868"/>
      <c r="AA278" s="1868"/>
      <c r="AB278" s="1868"/>
      <c r="AC278" s="1868"/>
      <c r="AD278" s="1868"/>
      <c r="AE278" s="1868"/>
      <c r="AF278" s="1868"/>
      <c r="AG278" s="1868"/>
      <c r="AH278" s="1868"/>
      <c r="AI278" s="1868"/>
      <c r="AJ278" s="1868"/>
      <c r="AK278" s="1868"/>
      <c r="AL278" s="1868"/>
      <c r="AM278" s="1868"/>
      <c r="AN278" s="1868"/>
      <c r="AO278" s="1868"/>
      <c r="AP278" s="1868"/>
      <c r="AQ278" s="1868"/>
      <c r="AR278" s="1868"/>
      <c r="AS278" s="1868"/>
      <c r="AT278" s="1868"/>
      <c r="AU278" s="1868"/>
      <c r="AV278" s="1868"/>
      <c r="AW278" s="1868"/>
      <c r="AX278" s="1868"/>
      <c r="AY278" s="1868"/>
      <c r="AZ278" s="1868"/>
      <c r="BA278" s="1868"/>
      <c r="BB278" s="1868"/>
      <c r="BC278" s="1868"/>
      <c r="BD278" s="1868"/>
      <c r="BE278" s="1868"/>
      <c r="BF278" s="1868"/>
      <c r="BG278" s="1868"/>
      <c r="BH278" s="1868"/>
      <c r="BI278" s="1868"/>
      <c r="BJ278" s="1868"/>
      <c r="BK278" s="1868"/>
      <c r="BL278" s="1868"/>
      <c r="BM278" s="1868"/>
      <c r="BN278" s="1868"/>
      <c r="BO278" s="1868"/>
    </row>
    <row r="279" spans="1:68" ht="20.100000000000001" customHeight="1">
      <c r="A279" s="1842">
        <v>16</v>
      </c>
      <c r="B279" s="1854"/>
      <c r="C279" s="1847"/>
      <c r="D279" s="1848" t="s">
        <v>546</v>
      </c>
      <c r="E279" s="1837"/>
      <c r="F279" s="1849"/>
      <c r="G279" s="1225" t="s">
        <v>1109</v>
      </c>
      <c r="H279" s="1850">
        <f t="shared" ca="1" si="127"/>
        <v>2.0199999999999999E-2</v>
      </c>
      <c r="I279" s="1850">
        <f t="shared" ca="1" si="128"/>
        <v>2.0199999999999999E-2</v>
      </c>
      <c r="J279" s="1850">
        <f t="shared" ca="1" si="129"/>
        <v>2.0199999999999999E-2</v>
      </c>
      <c r="K279" s="1850">
        <f t="shared" ca="1" si="130"/>
        <v>2.0199999999999999E-2</v>
      </c>
      <c r="L279" s="1852">
        <f t="shared" ref="L279:W279" ca="1" si="135">L234</f>
        <v>0</v>
      </c>
      <c r="M279" s="1852">
        <f t="shared" ca="1" si="135"/>
        <v>0</v>
      </c>
      <c r="N279" s="1852">
        <f t="shared" ca="1" si="135"/>
        <v>0</v>
      </c>
      <c r="O279" s="1852">
        <f t="shared" ca="1" si="135"/>
        <v>0</v>
      </c>
      <c r="P279" s="1852">
        <f t="shared" ca="1" si="135"/>
        <v>0</v>
      </c>
      <c r="Q279" s="1852">
        <f t="shared" ca="1" si="135"/>
        <v>0</v>
      </c>
      <c r="R279" s="1852">
        <f t="shared" ca="1" si="135"/>
        <v>0</v>
      </c>
      <c r="S279" s="1852">
        <f t="shared" ca="1" si="135"/>
        <v>0</v>
      </c>
      <c r="T279" s="1852">
        <f t="shared" ca="1" si="135"/>
        <v>0</v>
      </c>
      <c r="U279" s="1852">
        <f t="shared" ca="1" si="135"/>
        <v>0</v>
      </c>
      <c r="V279" s="1852">
        <f t="shared" ca="1" si="135"/>
        <v>0</v>
      </c>
      <c r="W279" s="1852">
        <f t="shared" ca="1" si="135"/>
        <v>0</v>
      </c>
      <c r="X279" s="1868"/>
      <c r="Y279" s="1868"/>
      <c r="Z279" s="1868"/>
      <c r="AA279" s="1868"/>
      <c r="AB279" s="1868"/>
      <c r="AC279" s="1868"/>
      <c r="AD279" s="1868"/>
      <c r="AE279" s="1868"/>
      <c r="AF279" s="1868"/>
      <c r="AG279" s="1868"/>
      <c r="AH279" s="1868"/>
      <c r="AI279" s="1868"/>
      <c r="AJ279" s="1868"/>
      <c r="AK279" s="1868"/>
      <c r="AL279" s="1868"/>
      <c r="AM279" s="1868"/>
      <c r="AN279" s="1868"/>
      <c r="AO279" s="1868"/>
      <c r="AP279" s="1868"/>
      <c r="AQ279" s="1868"/>
      <c r="AR279" s="1868"/>
      <c r="AS279" s="1868"/>
      <c r="AT279" s="1868"/>
      <c r="AU279" s="1868"/>
      <c r="AV279" s="1868"/>
      <c r="AW279" s="1868"/>
      <c r="AX279" s="1868"/>
      <c r="AY279" s="1868"/>
      <c r="AZ279" s="1868"/>
      <c r="BA279" s="1868"/>
      <c r="BB279" s="1868"/>
      <c r="BC279" s="1868"/>
      <c r="BD279" s="1868"/>
      <c r="BE279" s="1868"/>
      <c r="BF279" s="1868"/>
      <c r="BG279" s="1868"/>
      <c r="BH279" s="1868"/>
      <c r="BI279" s="1868"/>
      <c r="BJ279" s="1868"/>
      <c r="BK279" s="1868"/>
      <c r="BL279" s="1868"/>
      <c r="BM279" s="1868"/>
      <c r="BN279" s="1868"/>
      <c r="BO279" s="1868"/>
    </row>
    <row r="280" spans="1:68" ht="20.100000000000001" customHeight="1">
      <c r="A280" s="1842">
        <v>19</v>
      </c>
      <c r="B280" s="1855"/>
      <c r="C280" s="1847"/>
      <c r="D280" s="1848" t="s">
        <v>923</v>
      </c>
      <c r="E280" s="1848"/>
      <c r="F280" s="1849"/>
      <c r="G280" s="1225" t="s">
        <v>1109</v>
      </c>
      <c r="H280" s="1850">
        <f t="shared" ca="1" si="127"/>
        <v>1.6299999999999999E-2</v>
      </c>
      <c r="I280" s="1850">
        <f t="shared" ca="1" si="128"/>
        <v>1.6299999999999999E-2</v>
      </c>
      <c r="J280" s="1850">
        <f t="shared" ca="1" si="129"/>
        <v>1.6299999999999999E-2</v>
      </c>
      <c r="K280" s="1850">
        <f t="shared" ca="1" si="130"/>
        <v>1.6299999999999999E-2</v>
      </c>
      <c r="L280" s="1852">
        <f t="shared" ref="L280:W280" ca="1" si="136">L235</f>
        <v>0</v>
      </c>
      <c r="M280" s="1852">
        <f t="shared" ca="1" si="136"/>
        <v>0</v>
      </c>
      <c r="N280" s="1852">
        <f t="shared" ca="1" si="136"/>
        <v>0</v>
      </c>
      <c r="O280" s="1852">
        <f t="shared" ca="1" si="136"/>
        <v>0</v>
      </c>
      <c r="P280" s="1852">
        <f t="shared" ca="1" si="136"/>
        <v>0</v>
      </c>
      <c r="Q280" s="1852">
        <f t="shared" ca="1" si="136"/>
        <v>0</v>
      </c>
      <c r="R280" s="1852">
        <f t="shared" ca="1" si="136"/>
        <v>0</v>
      </c>
      <c r="S280" s="1852">
        <f t="shared" ca="1" si="136"/>
        <v>0</v>
      </c>
      <c r="T280" s="1852">
        <f t="shared" ca="1" si="136"/>
        <v>0</v>
      </c>
      <c r="U280" s="1852">
        <f t="shared" ca="1" si="136"/>
        <v>0</v>
      </c>
      <c r="V280" s="1852">
        <f t="shared" ca="1" si="136"/>
        <v>0</v>
      </c>
      <c r="W280" s="1852">
        <f t="shared" ca="1" si="136"/>
        <v>0</v>
      </c>
      <c r="X280" s="1868"/>
      <c r="Y280" s="1868"/>
      <c r="Z280" s="1868"/>
      <c r="AA280" s="1868"/>
      <c r="AB280" s="1868"/>
      <c r="AC280" s="1868"/>
      <c r="AD280" s="1868"/>
      <c r="AE280" s="1868"/>
      <c r="AF280" s="1868"/>
      <c r="AG280" s="1868"/>
      <c r="AH280" s="1868"/>
      <c r="AI280" s="1868"/>
      <c r="AJ280" s="1868"/>
      <c r="AK280" s="1868"/>
      <c r="AL280" s="1868"/>
      <c r="AM280" s="1868"/>
      <c r="AN280" s="1868"/>
      <c r="AO280" s="1868"/>
      <c r="AP280" s="1868"/>
      <c r="AQ280" s="1868"/>
      <c r="AR280" s="1868"/>
      <c r="AS280" s="1868"/>
      <c r="AT280" s="1868"/>
      <c r="AU280" s="1868"/>
      <c r="AV280" s="1868"/>
      <c r="AW280" s="1868"/>
      <c r="AX280" s="1868"/>
      <c r="AY280" s="1868"/>
      <c r="AZ280" s="1868"/>
      <c r="BA280" s="1868"/>
      <c r="BB280" s="1868"/>
      <c r="BC280" s="1868"/>
      <c r="BD280" s="1868"/>
      <c r="BE280" s="1868"/>
      <c r="BF280" s="1868"/>
      <c r="BG280" s="1868"/>
      <c r="BH280" s="1868"/>
      <c r="BI280" s="1868"/>
      <c r="BJ280" s="1868"/>
      <c r="BK280" s="1868"/>
      <c r="BL280" s="1868"/>
      <c r="BM280" s="1868"/>
      <c r="BN280" s="1868"/>
      <c r="BO280" s="1868"/>
    </row>
    <row r="281" spans="1:68" ht="20.100000000000001" customHeight="1">
      <c r="A281" s="1842">
        <v>21</v>
      </c>
      <c r="B281" s="1855"/>
      <c r="C281" s="1847"/>
      <c r="D281" s="1848" t="s">
        <v>925</v>
      </c>
      <c r="E281" s="1837"/>
      <c r="F281" s="1849"/>
      <c r="G281" s="1225" t="s">
        <v>1109</v>
      </c>
      <c r="H281" s="1850">
        <f t="shared" ca="1" si="127"/>
        <v>1.3899999999999999E-2</v>
      </c>
      <c r="I281" s="1850">
        <f t="shared" ca="1" si="128"/>
        <v>1.3899999999999999E-2</v>
      </c>
      <c r="J281" s="1850">
        <f t="shared" ca="1" si="129"/>
        <v>1.3899999999999999E-2</v>
      </c>
      <c r="K281" s="1850">
        <f t="shared" ca="1" si="130"/>
        <v>1.3899999999999999E-2</v>
      </c>
      <c r="L281" s="1852">
        <f t="shared" ref="L281:W281" ca="1" si="137">L236</f>
        <v>0</v>
      </c>
      <c r="M281" s="1852">
        <f t="shared" ca="1" si="137"/>
        <v>0</v>
      </c>
      <c r="N281" s="1852">
        <f t="shared" ca="1" si="137"/>
        <v>0</v>
      </c>
      <c r="O281" s="1852">
        <f t="shared" ca="1" si="137"/>
        <v>0</v>
      </c>
      <c r="P281" s="1852">
        <f t="shared" ca="1" si="137"/>
        <v>0</v>
      </c>
      <c r="Q281" s="1852">
        <f t="shared" ca="1" si="137"/>
        <v>0</v>
      </c>
      <c r="R281" s="1852">
        <f t="shared" ca="1" si="137"/>
        <v>0</v>
      </c>
      <c r="S281" s="1852">
        <f t="shared" ca="1" si="137"/>
        <v>0</v>
      </c>
      <c r="T281" s="1852">
        <f t="shared" ca="1" si="137"/>
        <v>0</v>
      </c>
      <c r="U281" s="1852">
        <f t="shared" ca="1" si="137"/>
        <v>0</v>
      </c>
      <c r="V281" s="1852">
        <f t="shared" ca="1" si="137"/>
        <v>0</v>
      </c>
      <c r="W281" s="1852">
        <f t="shared" ca="1" si="137"/>
        <v>0</v>
      </c>
      <c r="X281" s="1868"/>
      <c r="Y281" s="1868"/>
      <c r="Z281" s="1868"/>
      <c r="AA281" s="1868"/>
      <c r="AB281" s="1868"/>
      <c r="AC281" s="1868"/>
      <c r="AD281" s="1868"/>
      <c r="AE281" s="1868"/>
      <c r="AF281" s="1868"/>
      <c r="AG281" s="1868"/>
      <c r="AH281" s="1868"/>
      <c r="AI281" s="1868"/>
      <c r="AJ281" s="1868"/>
      <c r="AK281" s="1868"/>
      <c r="AL281" s="1868"/>
      <c r="AM281" s="1868"/>
      <c r="AN281" s="1868"/>
      <c r="AO281" s="1868"/>
      <c r="AP281" s="1868"/>
      <c r="AQ281" s="1868"/>
      <c r="AR281" s="1868"/>
      <c r="AS281" s="1868"/>
      <c r="AT281" s="1868"/>
      <c r="AU281" s="1868"/>
      <c r="AV281" s="1868"/>
      <c r="AW281" s="1868"/>
      <c r="AX281" s="1868"/>
      <c r="AY281" s="1868"/>
      <c r="AZ281" s="1868"/>
      <c r="BA281" s="1868"/>
      <c r="BB281" s="1868"/>
      <c r="BC281" s="1868"/>
      <c r="BD281" s="1868"/>
      <c r="BE281" s="1868"/>
      <c r="BF281" s="1868"/>
      <c r="BG281" s="1868"/>
      <c r="BH281" s="1868"/>
      <c r="BI281" s="1868"/>
      <c r="BJ281" s="1868"/>
      <c r="BK281" s="1868"/>
      <c r="BL281" s="1868"/>
      <c r="BM281" s="1868"/>
      <c r="BN281" s="1868"/>
      <c r="BO281" s="1868"/>
    </row>
    <row r="282" spans="1:68" ht="20.100000000000001" customHeight="1">
      <c r="A282" s="1842">
        <v>8</v>
      </c>
      <c r="B282" s="1855"/>
      <c r="C282" s="1847"/>
      <c r="D282" s="1848" t="s">
        <v>934</v>
      </c>
      <c r="E282" s="1856"/>
      <c r="F282" s="1849"/>
      <c r="G282" s="1225" t="s">
        <v>1109</v>
      </c>
      <c r="H282" s="1857"/>
      <c r="I282" s="1857"/>
      <c r="J282" s="1857"/>
      <c r="K282" s="1857"/>
      <c r="L282" s="1852">
        <f ca="1">IFERROR(OFFSET(A1_集計2024,$A282,7)+OFFSET(A1_集計2024,$A282,8),0)</f>
        <v>0</v>
      </c>
      <c r="M282" s="1852">
        <f ca="1">IFERROR(OFFSET(A1_集計2025,$A282,7)+OFFSET(A1_集計2025,$A282,8),0)</f>
        <v>0</v>
      </c>
      <c r="N282" s="1852">
        <f ca="1">IFERROR(OFFSET(A1_集計2026,$A282,7)+OFFSET(A1_集計2026,$A282,8),0)</f>
        <v>0</v>
      </c>
      <c r="O282" s="1852">
        <f ca="1">IFERROR(OFFSET(A1_集計2027,$A282,7)+OFFSET(A1_集計2027,$A282,8),0)</f>
        <v>0</v>
      </c>
      <c r="P282" s="1852">
        <f ca="1">IFERROR(OFFSET(A1_集計2024,$A282,7),0)</f>
        <v>0</v>
      </c>
      <c r="Q282" s="1852">
        <f ca="1">IFERROR(OFFSET(A1_集計2025,$A282,7),0)</f>
        <v>0</v>
      </c>
      <c r="R282" s="1852">
        <f ca="1">IFERROR(OFFSET(A1_集計2026,$A282,7),0)</f>
        <v>0</v>
      </c>
      <c r="S282" s="1852">
        <f ca="1">IFERROR(OFFSET(A1_集計2027,$A282,7),0)</f>
        <v>0</v>
      </c>
      <c r="T282" s="1852">
        <f ca="1">IFERROR(OFFSET(A1_集計2024,$A282,8),0)</f>
        <v>0</v>
      </c>
      <c r="U282" s="1852">
        <f ca="1">IFERROR(OFFSET(A1_集計2025,$A282,8),0)</f>
        <v>0</v>
      </c>
      <c r="V282" s="1852">
        <f ca="1">IFERROR(OFFSET(A1_集計2026,$A282,8),0)</f>
        <v>0</v>
      </c>
      <c r="W282" s="1852">
        <f ca="1">IFERROR(OFFSET(A1_集計2027,$A282,8),0)</f>
        <v>0</v>
      </c>
      <c r="X282" s="1868"/>
      <c r="Y282" s="1868"/>
      <c r="Z282" s="1868"/>
      <c r="AA282" s="1868"/>
      <c r="AB282" s="1868"/>
      <c r="AC282" s="1868"/>
      <c r="AD282" s="1868"/>
      <c r="AE282" s="1868"/>
      <c r="AF282" s="1868"/>
      <c r="AG282" s="1868"/>
      <c r="AH282" s="1868"/>
      <c r="AI282" s="1868"/>
      <c r="AJ282" s="1868"/>
      <c r="AK282" s="1868"/>
      <c r="AL282" s="1868"/>
      <c r="AM282" s="1868"/>
      <c r="AN282" s="1868"/>
      <c r="AO282" s="1868"/>
      <c r="AP282" s="1868"/>
      <c r="AQ282" s="1868"/>
      <c r="AR282" s="1868"/>
      <c r="AS282" s="1868"/>
      <c r="AT282" s="1868"/>
      <c r="AU282" s="1868"/>
      <c r="AV282" s="1868"/>
      <c r="AW282" s="1868"/>
      <c r="AX282" s="1868"/>
      <c r="AY282" s="1868"/>
      <c r="AZ282" s="1868"/>
      <c r="BA282" s="1868"/>
      <c r="BB282" s="1868"/>
      <c r="BC282" s="1868"/>
      <c r="BD282" s="1868"/>
      <c r="BE282" s="1868"/>
      <c r="BF282" s="1868"/>
      <c r="BG282" s="1868"/>
      <c r="BH282" s="1868"/>
      <c r="BI282" s="1868"/>
      <c r="BJ282" s="1868"/>
      <c r="BK282" s="1868"/>
      <c r="BL282" s="1868"/>
      <c r="BM282" s="1868"/>
      <c r="BN282" s="1868"/>
      <c r="BO282" s="1868"/>
    </row>
    <row r="283" spans="1:68" ht="20.100000000000001" customHeight="1">
      <c r="A283" s="1842">
        <v>200</v>
      </c>
      <c r="B283" s="1854"/>
      <c r="C283" s="1847"/>
      <c r="D283" s="1848" t="s">
        <v>935</v>
      </c>
      <c r="E283" s="1858" t="str">
        <f ca="1">E238</f>
        <v/>
      </c>
      <c r="F283" s="1849"/>
      <c r="G283" s="1225" t="s">
        <v>1109</v>
      </c>
      <c r="H283" s="1850">
        <f ca="1">IFERROR(OFFSET(貼付け_2024実績,$A283,17),"")</f>
        <v>0</v>
      </c>
      <c r="I283" s="1850">
        <f ca="1">IFERROR(OFFSET(貼付け_2025実績,$A283,17),"")</f>
        <v>0</v>
      </c>
      <c r="J283" s="1850">
        <f ca="1">IFERROR(OFFSET(貼付け_2026実績,$A283,17),"")</f>
        <v>0</v>
      </c>
      <c r="K283" s="1850">
        <f ca="1">IFERROR(OFFSET(貼付け_2027実績,$A283,17),"")</f>
        <v>0</v>
      </c>
      <c r="L283" s="1852">
        <f t="shared" ref="L283:W283" ca="1" si="138">L238</f>
        <v>0</v>
      </c>
      <c r="M283" s="1852">
        <f t="shared" ca="1" si="138"/>
        <v>0</v>
      </c>
      <c r="N283" s="1852">
        <f t="shared" ca="1" si="138"/>
        <v>0</v>
      </c>
      <c r="O283" s="1852">
        <f t="shared" ca="1" si="138"/>
        <v>0</v>
      </c>
      <c r="P283" s="1852">
        <f t="shared" ca="1" si="138"/>
        <v>0</v>
      </c>
      <c r="Q283" s="1852">
        <f t="shared" ca="1" si="138"/>
        <v>0</v>
      </c>
      <c r="R283" s="1852">
        <f t="shared" ca="1" si="138"/>
        <v>0</v>
      </c>
      <c r="S283" s="1852">
        <f t="shared" ca="1" si="138"/>
        <v>0</v>
      </c>
      <c r="T283" s="1852">
        <f t="shared" ca="1" si="138"/>
        <v>0</v>
      </c>
      <c r="U283" s="1852">
        <f t="shared" ca="1" si="138"/>
        <v>0</v>
      </c>
      <c r="V283" s="1852">
        <f t="shared" ca="1" si="138"/>
        <v>0</v>
      </c>
      <c r="W283" s="1852">
        <f t="shared" ca="1" si="138"/>
        <v>0</v>
      </c>
      <c r="X283" s="1868"/>
      <c r="Y283" s="1868"/>
      <c r="Z283" s="1868"/>
      <c r="AA283" s="1868"/>
      <c r="AB283" s="1868"/>
      <c r="AC283" s="1868"/>
      <c r="AD283" s="1868"/>
      <c r="AE283" s="1868"/>
      <c r="AF283" s="1868"/>
      <c r="AG283" s="1868"/>
      <c r="AH283" s="1868"/>
      <c r="AI283" s="1868"/>
      <c r="AJ283" s="1868"/>
      <c r="AK283" s="1868"/>
      <c r="AL283" s="1868"/>
      <c r="AM283" s="1868"/>
      <c r="AN283" s="1868"/>
      <c r="AO283" s="1868"/>
      <c r="AP283" s="1868"/>
      <c r="AQ283" s="1868"/>
      <c r="AR283" s="1868"/>
      <c r="AS283" s="1868"/>
      <c r="AT283" s="1868"/>
      <c r="AU283" s="1868"/>
      <c r="AV283" s="1868"/>
      <c r="AW283" s="1868"/>
      <c r="AX283" s="1868"/>
      <c r="AY283" s="1868"/>
      <c r="AZ283" s="1868"/>
      <c r="BA283" s="1868"/>
      <c r="BB283" s="1868"/>
      <c r="BC283" s="1868"/>
      <c r="BD283" s="1868"/>
      <c r="BE283" s="1868"/>
      <c r="BF283" s="1868"/>
      <c r="BG283" s="1868"/>
      <c r="BH283" s="1868"/>
      <c r="BI283" s="1868"/>
      <c r="BJ283" s="1868"/>
      <c r="BK283" s="1868"/>
      <c r="BL283" s="1868"/>
      <c r="BM283" s="1868"/>
      <c r="BN283" s="1868"/>
      <c r="BO283" s="1868"/>
    </row>
    <row r="284" spans="1:68" ht="20.100000000000001" customHeight="1">
      <c r="A284" s="1842">
        <v>40</v>
      </c>
      <c r="B284" s="1854"/>
      <c r="C284" s="1847" t="s">
        <v>1161</v>
      </c>
      <c r="D284" s="1848" t="s">
        <v>564</v>
      </c>
      <c r="E284" s="1848"/>
      <c r="F284" s="1849"/>
      <c r="G284" s="1225" t="s">
        <v>1109</v>
      </c>
      <c r="H284" s="1850">
        <f ca="1">IFERROR(OFFSET(貼付け_2024実績,$A284,6),"")</f>
        <v>0</v>
      </c>
      <c r="I284" s="1850">
        <f ca="1">IFERROR(OFFSET(貼付け_2025実績,$A284,6),"")</f>
        <v>0</v>
      </c>
      <c r="J284" s="1850">
        <f ca="1">IFERROR(OFFSET(貼付け_2026実績,$A284,6),"")</f>
        <v>0</v>
      </c>
      <c r="K284" s="1850">
        <f ca="1">IFERROR(OFFSET(貼付け_2027実績,$A284,6),"")</f>
        <v>0</v>
      </c>
      <c r="L284" s="1852">
        <f t="shared" ref="L284:W284" ca="1" si="139">L239</f>
        <v>0</v>
      </c>
      <c r="M284" s="1852">
        <f t="shared" ca="1" si="139"/>
        <v>0</v>
      </c>
      <c r="N284" s="1852">
        <f t="shared" ca="1" si="139"/>
        <v>0</v>
      </c>
      <c r="O284" s="1852">
        <f t="shared" ca="1" si="139"/>
        <v>0</v>
      </c>
      <c r="P284" s="1852">
        <f t="shared" ca="1" si="139"/>
        <v>0</v>
      </c>
      <c r="Q284" s="1852">
        <f t="shared" ca="1" si="139"/>
        <v>0</v>
      </c>
      <c r="R284" s="1852">
        <f t="shared" ca="1" si="139"/>
        <v>0</v>
      </c>
      <c r="S284" s="1852">
        <f t="shared" ca="1" si="139"/>
        <v>0</v>
      </c>
      <c r="T284" s="1852">
        <f t="shared" ca="1" si="139"/>
        <v>0</v>
      </c>
      <c r="U284" s="1852">
        <f t="shared" ca="1" si="139"/>
        <v>0</v>
      </c>
      <c r="V284" s="1852">
        <f t="shared" ca="1" si="139"/>
        <v>0</v>
      </c>
      <c r="W284" s="1852">
        <f t="shared" ca="1" si="139"/>
        <v>0</v>
      </c>
      <c r="X284" s="1868"/>
      <c r="Y284" s="1868"/>
      <c r="Z284" s="1868"/>
      <c r="AA284" s="1868"/>
      <c r="AB284" s="1868"/>
      <c r="AC284" s="1868"/>
      <c r="AD284" s="1868"/>
      <c r="AE284" s="1868"/>
      <c r="AF284" s="1868"/>
      <c r="AG284" s="1868"/>
      <c r="AH284" s="1868"/>
      <c r="AI284" s="1868"/>
      <c r="AJ284" s="1868"/>
      <c r="AK284" s="1868"/>
      <c r="AL284" s="1868"/>
      <c r="AM284" s="1868"/>
      <c r="AN284" s="1868"/>
      <c r="AO284" s="1868"/>
      <c r="AP284" s="1868"/>
      <c r="AQ284" s="1868"/>
      <c r="AR284" s="1868"/>
      <c r="AS284" s="1868"/>
      <c r="AT284" s="1868"/>
      <c r="AU284" s="1868"/>
      <c r="AV284" s="1868"/>
      <c r="AW284" s="1868"/>
      <c r="AX284" s="1868"/>
      <c r="AY284" s="1868"/>
      <c r="AZ284" s="1868"/>
      <c r="BA284" s="1868"/>
      <c r="BB284" s="1868"/>
      <c r="BC284" s="1868"/>
      <c r="BD284" s="1868"/>
      <c r="BE284" s="1868"/>
      <c r="BF284" s="1868"/>
      <c r="BG284" s="1868"/>
      <c r="BH284" s="1868"/>
      <c r="BI284" s="1868"/>
      <c r="BJ284" s="1868"/>
      <c r="BK284" s="1868"/>
      <c r="BL284" s="1868"/>
      <c r="BM284" s="1868"/>
      <c r="BN284" s="1868"/>
      <c r="BO284" s="1868"/>
    </row>
    <row r="285" spans="1:68" ht="20.100000000000001" customHeight="1">
      <c r="A285" s="1842">
        <v>41</v>
      </c>
      <c r="B285" s="1854"/>
      <c r="C285" s="1847"/>
      <c r="D285" s="1848" t="s">
        <v>565</v>
      </c>
      <c r="E285" s="1848"/>
      <c r="F285" s="1849"/>
      <c r="G285" s="1225" t="s">
        <v>1109</v>
      </c>
      <c r="H285" s="1850">
        <f ca="1">IFERROR(OFFSET(貼付け_2024実績,$A285,6),"")</f>
        <v>0</v>
      </c>
      <c r="I285" s="1850">
        <f ca="1">IFERROR(OFFSET(貼付け_2025実績,$A285,6),"")</f>
        <v>0</v>
      </c>
      <c r="J285" s="1850">
        <f ca="1">IFERROR(OFFSET(貼付け_2026実績,$A285,6),"")</f>
        <v>0</v>
      </c>
      <c r="K285" s="1850">
        <f ca="1">IFERROR(OFFSET(貼付け_2027実績,$A285,6),"")</f>
        <v>0</v>
      </c>
      <c r="L285" s="1852">
        <f t="shared" ref="L285:W285" ca="1" si="140">L240</f>
        <v>0</v>
      </c>
      <c r="M285" s="1852">
        <f t="shared" ca="1" si="140"/>
        <v>0</v>
      </c>
      <c r="N285" s="1852">
        <f t="shared" ca="1" si="140"/>
        <v>0</v>
      </c>
      <c r="O285" s="1852">
        <f t="shared" ca="1" si="140"/>
        <v>0</v>
      </c>
      <c r="P285" s="1852">
        <f t="shared" ca="1" si="140"/>
        <v>0</v>
      </c>
      <c r="Q285" s="1852">
        <f t="shared" ca="1" si="140"/>
        <v>0</v>
      </c>
      <c r="R285" s="1852">
        <f t="shared" ca="1" si="140"/>
        <v>0</v>
      </c>
      <c r="S285" s="1852">
        <f t="shared" ca="1" si="140"/>
        <v>0</v>
      </c>
      <c r="T285" s="1852">
        <f t="shared" ca="1" si="140"/>
        <v>0</v>
      </c>
      <c r="U285" s="1852">
        <f t="shared" ca="1" si="140"/>
        <v>0</v>
      </c>
      <c r="V285" s="1852">
        <f t="shared" ca="1" si="140"/>
        <v>0</v>
      </c>
      <c r="W285" s="1852">
        <f t="shared" ca="1" si="140"/>
        <v>0</v>
      </c>
      <c r="X285" s="1868"/>
      <c r="Y285" s="1868"/>
      <c r="Z285" s="1868"/>
      <c r="AA285" s="1868"/>
      <c r="AB285" s="1868"/>
      <c r="AC285" s="1868"/>
      <c r="AD285" s="1868"/>
      <c r="AE285" s="1868"/>
      <c r="AF285" s="1868"/>
      <c r="AG285" s="1868"/>
      <c r="AH285" s="1868"/>
      <c r="AI285" s="1868"/>
      <c r="AJ285" s="1868"/>
      <c r="AK285" s="1868"/>
      <c r="AL285" s="1868"/>
      <c r="AM285" s="1868"/>
      <c r="AN285" s="1868"/>
      <c r="AO285" s="1868"/>
      <c r="AP285" s="1868"/>
      <c r="AQ285" s="1868"/>
      <c r="AR285" s="1868"/>
      <c r="AS285" s="1868"/>
      <c r="AT285" s="1868"/>
      <c r="AU285" s="1868"/>
      <c r="AV285" s="1868"/>
      <c r="AW285" s="1868"/>
      <c r="AX285" s="1868"/>
      <c r="AY285" s="1868"/>
      <c r="AZ285" s="1868"/>
      <c r="BA285" s="1868"/>
      <c r="BB285" s="1868"/>
      <c r="BC285" s="1868"/>
      <c r="BD285" s="1868"/>
      <c r="BE285" s="1868"/>
      <c r="BF285" s="1868"/>
      <c r="BG285" s="1868"/>
      <c r="BH285" s="1868"/>
      <c r="BI285" s="1868"/>
      <c r="BJ285" s="1868"/>
      <c r="BK285" s="1868"/>
      <c r="BL285" s="1868"/>
      <c r="BM285" s="1868"/>
      <c r="BN285" s="1868"/>
      <c r="BO285" s="1868"/>
    </row>
    <row r="286" spans="1:68" ht="20.100000000000001" customHeight="1">
      <c r="A286" s="1842">
        <v>52</v>
      </c>
      <c r="B286" s="1854"/>
      <c r="C286" s="1847"/>
      <c r="D286" s="1848" t="s">
        <v>947</v>
      </c>
      <c r="E286" s="1848"/>
      <c r="F286" s="1849"/>
      <c r="G286" s="1225" t="s">
        <v>1109</v>
      </c>
      <c r="H286" s="1850">
        <f ca="1">IFERROR(OFFSET(貼付け_2024実績,$A286,6),"")</f>
        <v>0</v>
      </c>
      <c r="I286" s="1850">
        <f ca="1">IFERROR(OFFSET(貼付け_2025実績,$A286,6),"")</f>
        <v>0</v>
      </c>
      <c r="J286" s="1850">
        <f ca="1">IFERROR(OFFSET(貼付け_2026実績,$A286,6),"")</f>
        <v>0</v>
      </c>
      <c r="K286" s="1850">
        <f ca="1">IFERROR(OFFSET(貼付け_2027実績,$A286,6),"")</f>
        <v>0</v>
      </c>
      <c r="L286" s="1852">
        <f t="shared" ref="L286:W286" ca="1" si="141">L241</f>
        <v>0</v>
      </c>
      <c r="M286" s="1852">
        <f t="shared" ca="1" si="141"/>
        <v>0</v>
      </c>
      <c r="N286" s="1852">
        <f t="shared" ca="1" si="141"/>
        <v>0</v>
      </c>
      <c r="O286" s="1852">
        <f t="shared" ca="1" si="141"/>
        <v>0</v>
      </c>
      <c r="P286" s="1852">
        <f t="shared" ca="1" si="141"/>
        <v>0</v>
      </c>
      <c r="Q286" s="1852">
        <f t="shared" ca="1" si="141"/>
        <v>0</v>
      </c>
      <c r="R286" s="1852">
        <f t="shared" ca="1" si="141"/>
        <v>0</v>
      </c>
      <c r="S286" s="1852">
        <f t="shared" ca="1" si="141"/>
        <v>0</v>
      </c>
      <c r="T286" s="1852">
        <f t="shared" ca="1" si="141"/>
        <v>0</v>
      </c>
      <c r="U286" s="1852">
        <f t="shared" ca="1" si="141"/>
        <v>0</v>
      </c>
      <c r="V286" s="1852">
        <f t="shared" ca="1" si="141"/>
        <v>0</v>
      </c>
      <c r="W286" s="1852">
        <f t="shared" ca="1" si="141"/>
        <v>0</v>
      </c>
      <c r="X286" s="1868"/>
      <c r="Y286" s="1868"/>
      <c r="Z286" s="1868"/>
      <c r="AA286" s="1868"/>
      <c r="AB286" s="1868"/>
      <c r="AC286" s="1868"/>
      <c r="AD286" s="1868"/>
      <c r="AE286" s="1868"/>
      <c r="AF286" s="1868"/>
      <c r="AG286" s="1868"/>
      <c r="AH286" s="1868"/>
      <c r="AI286" s="1868"/>
      <c r="AJ286" s="1868"/>
      <c r="AK286" s="1868"/>
      <c r="AL286" s="1868"/>
      <c r="AM286" s="1868"/>
      <c r="AN286" s="1868"/>
      <c r="AO286" s="1868"/>
      <c r="AP286" s="1868"/>
      <c r="AQ286" s="1868"/>
      <c r="AR286" s="1868"/>
      <c r="AS286" s="1868"/>
      <c r="AT286" s="1868"/>
      <c r="AU286" s="1868"/>
      <c r="AV286" s="1868"/>
      <c r="AW286" s="1868"/>
      <c r="AX286" s="1868"/>
      <c r="AY286" s="1868"/>
      <c r="AZ286" s="1868"/>
      <c r="BA286" s="1868"/>
      <c r="BB286" s="1868"/>
      <c r="BC286" s="1868"/>
      <c r="BD286" s="1868"/>
      <c r="BE286" s="1868"/>
      <c r="BF286" s="1868"/>
      <c r="BG286" s="1868"/>
      <c r="BH286" s="1868"/>
      <c r="BI286" s="1868"/>
      <c r="BJ286" s="1868"/>
      <c r="BK286" s="1868"/>
      <c r="BL286" s="1868"/>
      <c r="BM286" s="1868"/>
      <c r="BN286" s="1868"/>
      <c r="BO286" s="1868"/>
    </row>
    <row r="287" spans="1:68" ht="20.100000000000001" customHeight="1">
      <c r="A287" s="1842">
        <v>53</v>
      </c>
      <c r="B287" s="1854"/>
      <c r="C287" s="1847"/>
      <c r="D287" s="1848" t="s">
        <v>569</v>
      </c>
      <c r="E287" s="1848"/>
      <c r="F287" s="1849"/>
      <c r="G287" s="1225" t="s">
        <v>1109</v>
      </c>
      <c r="H287" s="1850">
        <f ca="1">IFERROR(OFFSET(貼付け_2024実績,$A287,6),"")</f>
        <v>0</v>
      </c>
      <c r="I287" s="1850">
        <f ca="1">IFERROR(OFFSET(貼付け_2025実績,$A287,6),"")</f>
        <v>0</v>
      </c>
      <c r="J287" s="1850">
        <f ca="1">IFERROR(OFFSET(貼付け_2026実績,$A287,6),"")</f>
        <v>0</v>
      </c>
      <c r="K287" s="1850">
        <f ca="1">IFERROR(OFFSET(貼付け_2027実績,$A287,6),"")</f>
        <v>0</v>
      </c>
      <c r="L287" s="1852">
        <f t="shared" ref="L287:W287" ca="1" si="142">L242</f>
        <v>0</v>
      </c>
      <c r="M287" s="1852">
        <f t="shared" ca="1" si="142"/>
        <v>0</v>
      </c>
      <c r="N287" s="1852">
        <f t="shared" ca="1" si="142"/>
        <v>0</v>
      </c>
      <c r="O287" s="1852">
        <f t="shared" ca="1" si="142"/>
        <v>0</v>
      </c>
      <c r="P287" s="1852">
        <f t="shared" ca="1" si="142"/>
        <v>0</v>
      </c>
      <c r="Q287" s="1852">
        <f t="shared" ca="1" si="142"/>
        <v>0</v>
      </c>
      <c r="R287" s="1852">
        <f t="shared" ca="1" si="142"/>
        <v>0</v>
      </c>
      <c r="S287" s="1852">
        <f t="shared" ca="1" si="142"/>
        <v>0</v>
      </c>
      <c r="T287" s="1852">
        <f t="shared" ca="1" si="142"/>
        <v>0</v>
      </c>
      <c r="U287" s="1852">
        <f t="shared" ca="1" si="142"/>
        <v>0</v>
      </c>
      <c r="V287" s="1852">
        <f t="shared" ca="1" si="142"/>
        <v>0</v>
      </c>
      <c r="W287" s="1852">
        <f t="shared" ca="1" si="142"/>
        <v>0</v>
      </c>
      <c r="X287" s="1868"/>
      <c r="Y287" s="1868"/>
      <c r="Z287" s="1868"/>
      <c r="AA287" s="1868"/>
      <c r="AB287" s="1868"/>
      <c r="AC287" s="1868"/>
      <c r="AD287" s="1868"/>
      <c r="AE287" s="1868"/>
      <c r="AF287" s="1868"/>
      <c r="AG287" s="1868"/>
      <c r="AH287" s="1868"/>
      <c r="AI287" s="1868"/>
      <c r="AJ287" s="1868"/>
      <c r="AK287" s="1868"/>
      <c r="AL287" s="1868"/>
      <c r="AM287" s="1868"/>
      <c r="AN287" s="1868"/>
      <c r="AO287" s="1868"/>
      <c r="AP287" s="1868"/>
      <c r="AQ287" s="1868"/>
      <c r="AR287" s="1868"/>
      <c r="AS287" s="1868"/>
      <c r="AT287" s="1868"/>
      <c r="AU287" s="1868"/>
      <c r="AV287" s="1868"/>
      <c r="AW287" s="1868"/>
      <c r="AX287" s="1868"/>
      <c r="AY287" s="1868"/>
      <c r="AZ287" s="1868"/>
      <c r="BA287" s="1868"/>
      <c r="BB287" s="1868"/>
      <c r="BC287" s="1868"/>
      <c r="BD287" s="1868"/>
      <c r="BE287" s="1868"/>
      <c r="BF287" s="1868"/>
      <c r="BG287" s="1868"/>
      <c r="BH287" s="1868"/>
      <c r="BI287" s="1868"/>
      <c r="BJ287" s="1868"/>
      <c r="BK287" s="1868"/>
      <c r="BL287" s="1868"/>
      <c r="BM287" s="1868"/>
      <c r="BN287" s="1868"/>
      <c r="BO287" s="1868"/>
    </row>
    <row r="288" spans="1:68" ht="20.100000000000001" customHeight="1">
      <c r="A288" s="1842">
        <v>200</v>
      </c>
      <c r="B288" s="1854"/>
      <c r="C288" s="1847"/>
      <c r="D288" s="1848" t="s">
        <v>948</v>
      </c>
      <c r="E288" s="1858" t="str">
        <f ca="1">E243</f>
        <v/>
      </c>
      <c r="F288" s="1860"/>
      <c r="G288" s="1225" t="s">
        <v>1109</v>
      </c>
      <c r="H288" s="1850">
        <f ca="1">IFERROR(OFFSET(貼付け_2024実績,$A288,17),"")</f>
        <v>0</v>
      </c>
      <c r="I288" s="1850">
        <f ca="1">IFERROR(OFFSET(貼付け_2025実績,$A288,17),"")</f>
        <v>0</v>
      </c>
      <c r="J288" s="1850">
        <f ca="1">IFERROR(OFFSET(貼付け_2026実績,$A288,17),"")</f>
        <v>0</v>
      </c>
      <c r="K288" s="1850">
        <f ca="1">IFERROR(OFFSET(貼付け_2027実績,$A288,17),"")</f>
        <v>0</v>
      </c>
      <c r="L288" s="1852">
        <f t="shared" ref="L288:W288" ca="1" si="143">L243</f>
        <v>0</v>
      </c>
      <c r="M288" s="1852">
        <f t="shared" ca="1" si="143"/>
        <v>0</v>
      </c>
      <c r="N288" s="1852">
        <f t="shared" ca="1" si="143"/>
        <v>0</v>
      </c>
      <c r="O288" s="1852">
        <f t="shared" ca="1" si="143"/>
        <v>0</v>
      </c>
      <c r="P288" s="1852">
        <f t="shared" ca="1" si="143"/>
        <v>0</v>
      </c>
      <c r="Q288" s="1852">
        <f t="shared" ca="1" si="143"/>
        <v>0</v>
      </c>
      <c r="R288" s="1852">
        <f t="shared" ca="1" si="143"/>
        <v>0</v>
      </c>
      <c r="S288" s="1852">
        <f t="shared" ca="1" si="143"/>
        <v>0</v>
      </c>
      <c r="T288" s="1852">
        <f t="shared" ca="1" si="143"/>
        <v>0</v>
      </c>
      <c r="U288" s="1852">
        <f t="shared" ca="1" si="143"/>
        <v>0</v>
      </c>
      <c r="V288" s="1852">
        <f t="shared" ca="1" si="143"/>
        <v>0</v>
      </c>
      <c r="W288" s="1852">
        <f t="shared" ca="1" si="143"/>
        <v>0</v>
      </c>
      <c r="X288" s="1868"/>
      <c r="Y288" s="1868"/>
      <c r="Z288" s="1868"/>
      <c r="AA288" s="1868"/>
      <c r="AB288" s="1868"/>
      <c r="AC288" s="1868"/>
      <c r="AD288" s="1868"/>
      <c r="AE288" s="1868"/>
      <c r="AF288" s="1868"/>
      <c r="AG288" s="1868"/>
      <c r="AH288" s="1868"/>
      <c r="AI288" s="1868"/>
      <c r="AJ288" s="1868"/>
      <c r="AK288" s="1868"/>
      <c r="AL288" s="1868"/>
      <c r="AM288" s="1868"/>
      <c r="AN288" s="1868"/>
      <c r="AO288" s="1868"/>
      <c r="AP288" s="1868"/>
      <c r="AQ288" s="1868"/>
      <c r="AR288" s="1868"/>
      <c r="AS288" s="1868"/>
      <c r="AT288" s="1868"/>
      <c r="AU288" s="1868"/>
      <c r="AV288" s="1868"/>
      <c r="AW288" s="1868"/>
      <c r="AX288" s="1868"/>
      <c r="AY288" s="1868"/>
      <c r="AZ288" s="1868"/>
      <c r="BA288" s="1868"/>
      <c r="BB288" s="1868"/>
      <c r="BC288" s="1868"/>
      <c r="BD288" s="1868"/>
      <c r="BE288" s="1868"/>
      <c r="BF288" s="1868"/>
      <c r="BG288" s="1868"/>
      <c r="BH288" s="1868"/>
      <c r="BI288" s="1868"/>
      <c r="BJ288" s="1868"/>
      <c r="BK288" s="1868"/>
      <c r="BL288" s="1868"/>
      <c r="BM288" s="1868"/>
      <c r="BN288" s="1868"/>
      <c r="BO288" s="1868"/>
    </row>
    <row r="289" spans="1:68" ht="20.100000000000001" customHeight="1">
      <c r="A289" s="1842">
        <v>16</v>
      </c>
      <c r="B289" s="1846" t="s">
        <v>964</v>
      </c>
      <c r="C289" s="1870" t="s">
        <v>965</v>
      </c>
      <c r="D289" s="1871"/>
      <c r="E289" s="1856"/>
      <c r="F289" s="1863"/>
      <c r="G289" s="1225" t="s">
        <v>1109</v>
      </c>
      <c r="H289" s="1857"/>
      <c r="I289" s="1857"/>
      <c r="J289" s="1857"/>
      <c r="K289" s="1857"/>
      <c r="L289" s="1888">
        <f ca="1">IFERROR(OFFSET(A1_集計2024,$A289,7)+OFFSET(A1_集計2024,$A289,8),0)</f>
        <v>0</v>
      </c>
      <c r="M289" s="1888">
        <f ca="1">IFERROR(OFFSET(A1_集計2025,$A289,7)+OFFSET(A1_集計2025,$A289,8),0)</f>
        <v>0</v>
      </c>
      <c r="N289" s="1888">
        <f ca="1">IFERROR(OFFSET(A1_集計2026,$A289,7)+OFFSET(A1_集計2026,$A289,8),0)</f>
        <v>0</v>
      </c>
      <c r="O289" s="1888">
        <f ca="1">IFERROR(OFFSET(A1_集計2027,$A289,7)+OFFSET(A1_集計2027,$A289,8),0)</f>
        <v>0</v>
      </c>
      <c r="P289" s="1852">
        <f ca="1">IFERROR(OFFSET(A1_集計2024,$A289,7),0)</f>
        <v>0</v>
      </c>
      <c r="Q289" s="1852">
        <f ca="1">IFERROR(OFFSET(A1_集計2025,$A289,7),0)</f>
        <v>0</v>
      </c>
      <c r="R289" s="1852">
        <f ca="1">IFERROR(OFFSET(A1_集計2026,$A289,7),0)</f>
        <v>0</v>
      </c>
      <c r="S289" s="1852">
        <f ca="1">IFERROR(OFFSET(A1_集計2027,$A289,7),0)</f>
        <v>0</v>
      </c>
      <c r="T289" s="1852">
        <f ca="1">IFERROR(OFFSET(A1_集計2024,$A289,8),0)</f>
        <v>0</v>
      </c>
      <c r="U289" s="1852">
        <f ca="1">IFERROR(OFFSET(A1_集計2025,$A289,8),0)</f>
        <v>0</v>
      </c>
      <c r="V289" s="1852">
        <f ca="1">IFERROR(OFFSET(A1_集計2026,$A289,8),0)</f>
        <v>0</v>
      </c>
      <c r="W289" s="1852">
        <f ca="1">IFERROR(OFFSET(A1_集計2027,$A289,8),0)</f>
        <v>0</v>
      </c>
      <c r="X289" s="1868"/>
      <c r="Y289" s="1868"/>
      <c r="Z289" s="1868"/>
      <c r="AA289" s="1868"/>
      <c r="AB289" s="1868"/>
      <c r="AC289" s="1868"/>
      <c r="AD289" s="1868"/>
      <c r="AE289" s="1868"/>
      <c r="AF289" s="1868"/>
      <c r="AG289" s="1868"/>
      <c r="AH289" s="1868"/>
      <c r="AI289" s="1868"/>
      <c r="AJ289" s="1868"/>
      <c r="AK289" s="1868"/>
      <c r="AL289" s="1868"/>
      <c r="AM289" s="1868"/>
      <c r="AN289" s="1868"/>
      <c r="AO289" s="1868"/>
      <c r="AP289" s="1868"/>
      <c r="AQ289" s="1868"/>
      <c r="AR289" s="1868"/>
      <c r="AS289" s="1868"/>
      <c r="AT289" s="1868"/>
      <c r="AU289" s="1868"/>
      <c r="AV289" s="1868"/>
      <c r="AW289" s="1868"/>
      <c r="AX289" s="1868"/>
      <c r="AY289" s="1868"/>
      <c r="AZ289" s="1868"/>
      <c r="BA289" s="1868"/>
      <c r="BB289" s="1868"/>
      <c r="BC289" s="1868"/>
      <c r="BD289" s="1868"/>
      <c r="BE289" s="1868"/>
      <c r="BF289" s="1868"/>
      <c r="BG289" s="1868"/>
      <c r="BH289" s="1868"/>
      <c r="BI289" s="1868"/>
      <c r="BJ289" s="1868"/>
      <c r="BK289" s="1868"/>
      <c r="BL289" s="1868"/>
      <c r="BM289" s="1868"/>
      <c r="BN289" s="1868"/>
      <c r="BO289" s="1868"/>
      <c r="BP289" s="1862"/>
    </row>
    <row r="290" spans="1:68" ht="20.100000000000001" customHeight="1">
      <c r="A290" s="1842">
        <v>74</v>
      </c>
      <c r="B290" s="1854"/>
      <c r="C290" s="1847" t="s">
        <v>967</v>
      </c>
      <c r="D290" s="1864" t="s">
        <v>968</v>
      </c>
      <c r="E290" s="1848"/>
      <c r="F290" s="1863"/>
      <c r="G290" s="1225" t="s">
        <v>1109</v>
      </c>
      <c r="H290" s="1850">
        <f ca="1">IFERROR(OFFSET(貼付け_2024実績,$A290,6),"")</f>
        <v>0</v>
      </c>
      <c r="I290" s="1850">
        <f ca="1">IFERROR(OFFSET(貼付け_2025実績,$A290,6),"")</f>
        <v>0</v>
      </c>
      <c r="J290" s="1850">
        <f ca="1">IFERROR(OFFSET(貼付け_2026実績,$A290,6),"")</f>
        <v>0</v>
      </c>
      <c r="K290" s="1850">
        <f ca="1">IFERROR(OFFSET(貼付け_2027実績,$A290,6),"")</f>
        <v>0</v>
      </c>
      <c r="L290" s="1888">
        <f t="shared" ref="L290:W290" ca="1" si="144">L245</f>
        <v>0</v>
      </c>
      <c r="M290" s="1888">
        <f t="shared" ca="1" si="144"/>
        <v>0</v>
      </c>
      <c r="N290" s="1888">
        <f t="shared" ca="1" si="144"/>
        <v>0</v>
      </c>
      <c r="O290" s="1888">
        <f t="shared" ca="1" si="144"/>
        <v>0</v>
      </c>
      <c r="P290" s="1852">
        <f t="shared" ca="1" si="144"/>
        <v>0</v>
      </c>
      <c r="Q290" s="1852">
        <f t="shared" ca="1" si="144"/>
        <v>0</v>
      </c>
      <c r="R290" s="1852">
        <f t="shared" ca="1" si="144"/>
        <v>0</v>
      </c>
      <c r="S290" s="1852">
        <f t="shared" ca="1" si="144"/>
        <v>0</v>
      </c>
      <c r="T290" s="1852">
        <f t="shared" ca="1" si="144"/>
        <v>0</v>
      </c>
      <c r="U290" s="1852">
        <f t="shared" ca="1" si="144"/>
        <v>0</v>
      </c>
      <c r="V290" s="1852">
        <f t="shared" ca="1" si="144"/>
        <v>0</v>
      </c>
      <c r="W290" s="1852">
        <f t="shared" ca="1" si="144"/>
        <v>0</v>
      </c>
      <c r="X290" s="1868"/>
      <c r="Y290" s="1868"/>
      <c r="Z290" s="1868"/>
      <c r="AA290" s="1868"/>
      <c r="AB290" s="1868"/>
      <c r="AC290" s="1868"/>
      <c r="AD290" s="1868"/>
      <c r="AE290" s="1868"/>
      <c r="AF290" s="1868"/>
      <c r="AG290" s="1868"/>
      <c r="AH290" s="1868"/>
      <c r="AI290" s="1868"/>
      <c r="AJ290" s="1868"/>
      <c r="AK290" s="1868"/>
      <c r="AL290" s="1868"/>
      <c r="AM290" s="1868"/>
      <c r="AN290" s="1868"/>
      <c r="AO290" s="1868"/>
      <c r="AP290" s="1868"/>
      <c r="AQ290" s="1868"/>
      <c r="AR290" s="1868"/>
      <c r="AS290" s="1868"/>
      <c r="AT290" s="1868"/>
      <c r="AU290" s="1868"/>
      <c r="AV290" s="1868"/>
      <c r="AW290" s="1868"/>
      <c r="AX290" s="1868"/>
      <c r="AY290" s="1868"/>
      <c r="AZ290" s="1868"/>
      <c r="BA290" s="1868"/>
      <c r="BB290" s="1868"/>
      <c r="BC290" s="1868"/>
      <c r="BD290" s="1868"/>
      <c r="BE290" s="1868"/>
      <c r="BF290" s="1868"/>
      <c r="BG290" s="1868"/>
      <c r="BH290" s="1868"/>
      <c r="BI290" s="1868"/>
      <c r="BJ290" s="1868"/>
      <c r="BK290" s="1868"/>
      <c r="BL290" s="1868"/>
      <c r="BM290" s="1868"/>
      <c r="BN290" s="1868"/>
      <c r="BO290" s="1868"/>
      <c r="BP290" s="1862"/>
    </row>
    <row r="291" spans="1:68" ht="20.100000000000001" customHeight="1">
      <c r="A291" s="1842">
        <v>76</v>
      </c>
      <c r="B291" s="1854"/>
      <c r="C291" s="1847"/>
      <c r="D291" s="1869" t="s">
        <v>969</v>
      </c>
      <c r="E291" s="1848"/>
      <c r="F291" s="1863"/>
      <c r="G291" s="1225" t="s">
        <v>1109</v>
      </c>
      <c r="H291" s="1850">
        <f ca="1">IFERROR(OFFSET(貼付け_2024実績,$A291,6),"")</f>
        <v>0</v>
      </c>
      <c r="I291" s="1850">
        <f ca="1">IFERROR(OFFSET(貼付け_2025実績,$A291,6),"")</f>
        <v>0</v>
      </c>
      <c r="J291" s="1850">
        <f ca="1">IFERROR(OFFSET(貼付け_2026実績,$A291,6),"")</f>
        <v>0</v>
      </c>
      <c r="K291" s="1850">
        <f ca="1">IFERROR(OFFSET(貼付け_2027実績,$A291,6),"")</f>
        <v>0</v>
      </c>
      <c r="L291" s="1888">
        <f t="shared" ref="L291:W291" ca="1" si="145">L246</f>
        <v>0</v>
      </c>
      <c r="M291" s="1888">
        <f t="shared" ca="1" si="145"/>
        <v>0</v>
      </c>
      <c r="N291" s="1888">
        <f t="shared" ca="1" si="145"/>
        <v>0</v>
      </c>
      <c r="O291" s="1888">
        <f t="shared" ca="1" si="145"/>
        <v>0</v>
      </c>
      <c r="P291" s="1852">
        <f t="shared" ca="1" si="145"/>
        <v>0</v>
      </c>
      <c r="Q291" s="1852">
        <f t="shared" ca="1" si="145"/>
        <v>0</v>
      </c>
      <c r="R291" s="1852">
        <f t="shared" ca="1" si="145"/>
        <v>0</v>
      </c>
      <c r="S291" s="1852">
        <f t="shared" ca="1" si="145"/>
        <v>0</v>
      </c>
      <c r="T291" s="1852">
        <f t="shared" ca="1" si="145"/>
        <v>0</v>
      </c>
      <c r="U291" s="1852">
        <f t="shared" ca="1" si="145"/>
        <v>0</v>
      </c>
      <c r="V291" s="1852">
        <f t="shared" ca="1" si="145"/>
        <v>0</v>
      </c>
      <c r="W291" s="1852">
        <f t="shared" ca="1" si="145"/>
        <v>0</v>
      </c>
      <c r="X291" s="1868"/>
      <c r="Y291" s="1868"/>
      <c r="Z291" s="1868"/>
      <c r="AA291" s="1868"/>
      <c r="AB291" s="1868"/>
      <c r="AC291" s="1868"/>
      <c r="AD291" s="1868"/>
      <c r="AE291" s="1868"/>
      <c r="AF291" s="1868"/>
      <c r="AG291" s="1868"/>
      <c r="AH291" s="1868"/>
      <c r="AI291" s="1868"/>
      <c r="AJ291" s="1868"/>
      <c r="AK291" s="1868"/>
      <c r="AL291" s="1868"/>
      <c r="AM291" s="1868"/>
      <c r="AN291" s="1868"/>
      <c r="AO291" s="1868"/>
      <c r="AP291" s="1868"/>
      <c r="AQ291" s="1868"/>
      <c r="AR291" s="1868"/>
      <c r="AS291" s="1868"/>
      <c r="AT291" s="1868"/>
      <c r="AU291" s="1868"/>
      <c r="AV291" s="1868"/>
      <c r="AW291" s="1868"/>
      <c r="AX291" s="1868"/>
      <c r="AY291" s="1868"/>
      <c r="AZ291" s="1868"/>
      <c r="BA291" s="1868"/>
      <c r="BB291" s="1868"/>
      <c r="BC291" s="1868"/>
      <c r="BD291" s="1868"/>
      <c r="BE291" s="1868"/>
      <c r="BF291" s="1868"/>
      <c r="BG291" s="1868"/>
      <c r="BH291" s="1868"/>
      <c r="BI291" s="1868"/>
      <c r="BJ291" s="1868"/>
      <c r="BK291" s="1868"/>
      <c r="BL291" s="1868"/>
      <c r="BM291" s="1868"/>
      <c r="BN291" s="1868"/>
      <c r="BO291" s="1868"/>
      <c r="BP291" s="1862"/>
    </row>
    <row r="292" spans="1:68" ht="20.100000000000001" customHeight="1">
      <c r="A292" s="1842">
        <v>202</v>
      </c>
      <c r="B292" s="1854"/>
      <c r="C292" s="1847"/>
      <c r="D292" s="1869" t="s">
        <v>970</v>
      </c>
      <c r="E292" s="1858" t="str">
        <f ca="1">E247</f>
        <v/>
      </c>
      <c r="F292" s="1860"/>
      <c r="G292" s="1225" t="s">
        <v>1109</v>
      </c>
      <c r="H292" s="1850">
        <f ca="1">IFERROR(OFFSET(貼付け_2024実績,$A292,17),"")</f>
        <v>0</v>
      </c>
      <c r="I292" s="1850">
        <f ca="1">IFERROR(OFFSET(貼付け_2025実績,$A292,17),"")</f>
        <v>0</v>
      </c>
      <c r="J292" s="1850">
        <f ca="1">IFERROR(OFFSET(貼付け_2026実績,$A292,17),"")</f>
        <v>0</v>
      </c>
      <c r="K292" s="1850">
        <f ca="1">IFERROR(OFFSET(貼付け_2027実績,$A292,17),"")</f>
        <v>0</v>
      </c>
      <c r="L292" s="1888">
        <f t="shared" ref="L292:W292" ca="1" si="146">L247</f>
        <v>0</v>
      </c>
      <c r="M292" s="1888">
        <f t="shared" ca="1" si="146"/>
        <v>0</v>
      </c>
      <c r="N292" s="1888">
        <f t="shared" ca="1" si="146"/>
        <v>0</v>
      </c>
      <c r="O292" s="1888">
        <f t="shared" ca="1" si="146"/>
        <v>0</v>
      </c>
      <c r="P292" s="1852">
        <f t="shared" ca="1" si="146"/>
        <v>0</v>
      </c>
      <c r="Q292" s="1852">
        <f t="shared" ca="1" si="146"/>
        <v>0</v>
      </c>
      <c r="R292" s="1852">
        <f t="shared" ca="1" si="146"/>
        <v>0</v>
      </c>
      <c r="S292" s="1852">
        <f t="shared" ca="1" si="146"/>
        <v>0</v>
      </c>
      <c r="T292" s="1852">
        <f t="shared" ca="1" si="146"/>
        <v>0</v>
      </c>
      <c r="U292" s="1852">
        <f t="shared" ca="1" si="146"/>
        <v>0</v>
      </c>
      <c r="V292" s="1852">
        <f t="shared" ca="1" si="146"/>
        <v>0</v>
      </c>
      <c r="W292" s="1852">
        <f t="shared" ca="1" si="146"/>
        <v>0</v>
      </c>
      <c r="X292" s="1868"/>
      <c r="Y292" s="1868"/>
      <c r="Z292" s="1868"/>
      <c r="AA292" s="1868"/>
      <c r="AB292" s="1868"/>
      <c r="AC292" s="1868"/>
      <c r="AD292" s="1868"/>
      <c r="AE292" s="1868"/>
      <c r="AF292" s="1868"/>
      <c r="AG292" s="1868"/>
      <c r="AH292" s="1868"/>
      <c r="AI292" s="1868"/>
      <c r="AJ292" s="1868"/>
      <c r="AK292" s="1868"/>
      <c r="AL292" s="1868"/>
      <c r="AM292" s="1868"/>
      <c r="AN292" s="1868"/>
      <c r="AO292" s="1868"/>
      <c r="AP292" s="1868"/>
      <c r="AQ292" s="1868"/>
      <c r="AR292" s="1868"/>
      <c r="AS292" s="1868"/>
      <c r="AT292" s="1868"/>
      <c r="AU292" s="1868"/>
      <c r="AV292" s="1868"/>
      <c r="AW292" s="1868"/>
      <c r="AX292" s="1868"/>
      <c r="AY292" s="1868"/>
      <c r="AZ292" s="1868"/>
      <c r="BA292" s="1868"/>
      <c r="BB292" s="1868"/>
      <c r="BC292" s="1868"/>
      <c r="BD292" s="1868"/>
      <c r="BE292" s="1868"/>
      <c r="BF292" s="1868"/>
      <c r="BG292" s="1868"/>
      <c r="BH292" s="1868"/>
      <c r="BI292" s="1868"/>
      <c r="BJ292" s="1868"/>
      <c r="BK292" s="1868"/>
      <c r="BL292" s="1868"/>
      <c r="BM292" s="1868"/>
      <c r="BN292" s="1868"/>
      <c r="BO292" s="1868"/>
      <c r="BP292" s="1862"/>
    </row>
    <row r="293" spans="1:68" ht="20.100000000000001" customHeight="1">
      <c r="A293" s="1842">
        <v>203</v>
      </c>
      <c r="B293" s="1854"/>
      <c r="C293" s="1847"/>
      <c r="D293" s="1872" t="s">
        <v>972</v>
      </c>
      <c r="E293" s="1858" t="str">
        <f ca="1">E248</f>
        <v/>
      </c>
      <c r="F293" s="1860"/>
      <c r="G293" s="1225" t="s">
        <v>1109</v>
      </c>
      <c r="H293" s="1850">
        <f ca="1">IFERROR(OFFSET(貼付け_2024実績,$A293,17),"")</f>
        <v>0</v>
      </c>
      <c r="I293" s="1850">
        <f ca="1">IFERROR(OFFSET(貼付け_2025実績,$A293,17),"")</f>
        <v>0</v>
      </c>
      <c r="J293" s="1850">
        <f ca="1">IFERROR(OFFSET(貼付け_2026実績,$A293,17),"")</f>
        <v>0</v>
      </c>
      <c r="K293" s="1850">
        <f ca="1">IFERROR(OFFSET(貼付け_2027実績,$A293,17),"")</f>
        <v>0</v>
      </c>
      <c r="L293" s="1888">
        <f t="shared" ref="L293:W293" ca="1" si="147">L248</f>
        <v>0</v>
      </c>
      <c r="M293" s="1888">
        <f t="shared" ca="1" si="147"/>
        <v>0</v>
      </c>
      <c r="N293" s="1888">
        <f t="shared" ca="1" si="147"/>
        <v>0</v>
      </c>
      <c r="O293" s="1888">
        <f t="shared" ca="1" si="147"/>
        <v>0</v>
      </c>
      <c r="P293" s="1852">
        <f t="shared" ca="1" si="147"/>
        <v>0</v>
      </c>
      <c r="Q293" s="1852">
        <f t="shared" ca="1" si="147"/>
        <v>0</v>
      </c>
      <c r="R293" s="1852">
        <f t="shared" ca="1" si="147"/>
        <v>0</v>
      </c>
      <c r="S293" s="1852">
        <f t="shared" ca="1" si="147"/>
        <v>0</v>
      </c>
      <c r="T293" s="1852">
        <f t="shared" ca="1" si="147"/>
        <v>0</v>
      </c>
      <c r="U293" s="1852">
        <f t="shared" ca="1" si="147"/>
        <v>0</v>
      </c>
      <c r="V293" s="1852">
        <f t="shared" ca="1" si="147"/>
        <v>0</v>
      </c>
      <c r="W293" s="1852">
        <f t="shared" ca="1" si="147"/>
        <v>0</v>
      </c>
      <c r="X293" s="1868"/>
      <c r="Y293" s="1868"/>
      <c r="Z293" s="1868"/>
      <c r="AA293" s="1868"/>
      <c r="AB293" s="1868"/>
      <c r="AC293" s="1868"/>
      <c r="AD293" s="1868"/>
      <c r="AE293" s="1868"/>
      <c r="AF293" s="1868"/>
      <c r="AG293" s="1868"/>
      <c r="AH293" s="1868"/>
      <c r="AI293" s="1868"/>
      <c r="AJ293" s="1868"/>
      <c r="AK293" s="1868"/>
      <c r="AL293" s="1868"/>
      <c r="AM293" s="1868"/>
      <c r="AN293" s="1868"/>
      <c r="AO293" s="1868"/>
      <c r="AP293" s="1868"/>
      <c r="AQ293" s="1868"/>
      <c r="AR293" s="1868"/>
      <c r="AS293" s="1868"/>
      <c r="AT293" s="1868"/>
      <c r="AU293" s="1868"/>
      <c r="AV293" s="1868"/>
      <c r="AW293" s="1868"/>
      <c r="AX293" s="1868"/>
      <c r="AY293" s="1868"/>
      <c r="AZ293" s="1868"/>
      <c r="BA293" s="1868"/>
      <c r="BB293" s="1868"/>
      <c r="BC293" s="1868"/>
      <c r="BD293" s="1868"/>
      <c r="BE293" s="1868"/>
      <c r="BF293" s="1868"/>
      <c r="BG293" s="1868"/>
      <c r="BH293" s="1868"/>
      <c r="BI293" s="1868"/>
      <c r="BJ293" s="1868"/>
      <c r="BK293" s="1868"/>
      <c r="BL293" s="1868"/>
      <c r="BM293" s="1868"/>
      <c r="BN293" s="1868"/>
      <c r="BO293" s="1868"/>
      <c r="BP293" s="1862"/>
    </row>
    <row r="294" spans="1:68" ht="19.5" customHeight="1">
      <c r="A294" s="1842"/>
      <c r="B294" s="1884" t="s">
        <v>1110</v>
      </c>
      <c r="C294" s="1879"/>
      <c r="D294" s="1885" t="s">
        <v>1111</v>
      </c>
      <c r="E294" s="1886"/>
      <c r="F294" s="1887" t="s">
        <v>1167</v>
      </c>
      <c r="G294" s="1225" t="s">
        <v>1109</v>
      </c>
      <c r="H294" s="1867"/>
      <c r="I294" s="1867"/>
      <c r="J294" s="1867"/>
      <c r="K294" s="1867"/>
      <c r="L294" s="1851">
        <f t="shared" ref="L294:W294" ca="1" si="148">SUM(L275:L288)</f>
        <v>0</v>
      </c>
      <c r="M294" s="1851">
        <f t="shared" ca="1" si="148"/>
        <v>0</v>
      </c>
      <c r="N294" s="1851">
        <f t="shared" ca="1" si="148"/>
        <v>0</v>
      </c>
      <c r="O294" s="1851">
        <f t="shared" ca="1" si="148"/>
        <v>0</v>
      </c>
      <c r="P294" s="1888">
        <f t="shared" ca="1" si="148"/>
        <v>0</v>
      </c>
      <c r="Q294" s="1888">
        <f t="shared" ca="1" si="148"/>
        <v>0</v>
      </c>
      <c r="R294" s="1888">
        <f t="shared" ca="1" si="148"/>
        <v>0</v>
      </c>
      <c r="S294" s="1888">
        <f t="shared" ca="1" si="148"/>
        <v>0</v>
      </c>
      <c r="T294" s="1888">
        <f t="shared" ca="1" si="148"/>
        <v>0</v>
      </c>
      <c r="U294" s="1888">
        <f t="shared" ca="1" si="148"/>
        <v>0</v>
      </c>
      <c r="V294" s="1888">
        <f t="shared" ca="1" si="148"/>
        <v>0</v>
      </c>
      <c r="W294" s="1888">
        <f t="shared" ca="1" si="148"/>
        <v>0</v>
      </c>
      <c r="X294" s="1868"/>
      <c r="Y294" s="1868"/>
      <c r="Z294" s="1868"/>
      <c r="AA294" s="1868"/>
      <c r="AB294" s="1868"/>
      <c r="AC294" s="1868"/>
      <c r="AD294" s="1868"/>
      <c r="AE294" s="1868"/>
      <c r="AF294" s="1868"/>
      <c r="AG294" s="1868"/>
      <c r="AH294" s="1868"/>
      <c r="AI294" s="1868"/>
      <c r="AJ294" s="1868"/>
      <c r="AK294" s="1868"/>
      <c r="AL294" s="1868"/>
      <c r="AM294" s="1868"/>
      <c r="AN294" s="1868"/>
      <c r="AO294" s="1868"/>
      <c r="AP294" s="1868"/>
      <c r="AQ294" s="1868"/>
      <c r="AR294" s="1868"/>
      <c r="AS294" s="1868"/>
      <c r="AT294" s="1868"/>
      <c r="AU294" s="1868"/>
      <c r="AV294" s="1868"/>
      <c r="AW294" s="1868"/>
      <c r="AX294" s="1868"/>
      <c r="AY294" s="1868"/>
      <c r="AZ294" s="1868"/>
      <c r="BA294" s="1868"/>
      <c r="BB294" s="1868"/>
      <c r="BC294" s="1868"/>
      <c r="BD294" s="1868"/>
      <c r="BE294" s="1868"/>
      <c r="BF294" s="1868"/>
      <c r="BG294" s="1868"/>
      <c r="BH294" s="1868"/>
      <c r="BI294" s="1868"/>
      <c r="BJ294" s="1868"/>
      <c r="BK294" s="1868"/>
      <c r="BL294" s="1868"/>
      <c r="BM294" s="1868"/>
      <c r="BN294" s="1868"/>
      <c r="BO294" s="1868"/>
      <c r="BP294" s="1862"/>
    </row>
    <row r="295" spans="1:68" ht="21">
      <c r="A295" s="1842"/>
      <c r="B295" s="1890" t="s">
        <v>1162</v>
      </c>
      <c r="C295" s="1893"/>
      <c r="D295" s="1885" t="s">
        <v>1116</v>
      </c>
      <c r="E295" s="1892"/>
      <c r="F295" s="1887" t="s">
        <v>1168</v>
      </c>
      <c r="G295" s="1225" t="s">
        <v>1109</v>
      </c>
      <c r="H295" s="1867"/>
      <c r="I295" s="1867"/>
      <c r="J295" s="1867"/>
      <c r="K295" s="1867"/>
      <c r="L295" s="1851">
        <f t="shared" ref="L295:W295" ca="1" si="149">SUM(L289:L293)</f>
        <v>0</v>
      </c>
      <c r="M295" s="1851">
        <f t="shared" ca="1" si="149"/>
        <v>0</v>
      </c>
      <c r="N295" s="1851">
        <f t="shared" ca="1" si="149"/>
        <v>0</v>
      </c>
      <c r="O295" s="1851">
        <f t="shared" ca="1" si="149"/>
        <v>0</v>
      </c>
      <c r="P295" s="1888">
        <f t="shared" ca="1" si="149"/>
        <v>0</v>
      </c>
      <c r="Q295" s="1888">
        <f t="shared" ca="1" si="149"/>
        <v>0</v>
      </c>
      <c r="R295" s="1888">
        <f t="shared" ca="1" si="149"/>
        <v>0</v>
      </c>
      <c r="S295" s="1888">
        <f t="shared" ca="1" si="149"/>
        <v>0</v>
      </c>
      <c r="T295" s="1888">
        <f t="shared" ca="1" si="149"/>
        <v>0</v>
      </c>
      <c r="U295" s="1888">
        <f t="shared" ca="1" si="149"/>
        <v>0</v>
      </c>
      <c r="V295" s="1888">
        <f t="shared" ca="1" si="149"/>
        <v>0</v>
      </c>
      <c r="W295" s="1888">
        <f t="shared" ca="1" si="149"/>
        <v>0</v>
      </c>
      <c r="X295" s="1868"/>
      <c r="Y295" s="1868"/>
      <c r="Z295" s="1868"/>
      <c r="AA295" s="1868"/>
      <c r="AB295" s="1868"/>
      <c r="AC295" s="1868"/>
      <c r="AD295" s="1868"/>
      <c r="AE295" s="1868"/>
      <c r="AF295" s="1868"/>
      <c r="AG295" s="1868"/>
      <c r="AH295" s="1868"/>
      <c r="AI295" s="1868"/>
      <c r="AJ295" s="1868"/>
      <c r="AK295" s="1868"/>
      <c r="AL295" s="1868"/>
      <c r="AM295" s="1868"/>
      <c r="AN295" s="1868"/>
      <c r="AO295" s="1868"/>
      <c r="AP295" s="1868"/>
      <c r="AQ295" s="1868"/>
      <c r="AR295" s="1868"/>
      <c r="AS295" s="1868"/>
      <c r="AT295" s="1868"/>
      <c r="AU295" s="1868"/>
      <c r="AV295" s="1868"/>
      <c r="AW295" s="1868"/>
      <c r="AX295" s="1868"/>
      <c r="AY295" s="1868"/>
      <c r="AZ295" s="1868"/>
      <c r="BA295" s="1868"/>
      <c r="BB295" s="1868"/>
      <c r="BC295" s="1868"/>
      <c r="BD295" s="1868"/>
      <c r="BE295" s="1868"/>
      <c r="BF295" s="1868"/>
      <c r="BG295" s="1868"/>
      <c r="BH295" s="1868"/>
      <c r="BI295" s="1868"/>
      <c r="BJ295" s="1868"/>
      <c r="BK295" s="1868"/>
      <c r="BL295" s="1868"/>
      <c r="BM295" s="1868"/>
      <c r="BN295" s="1868"/>
      <c r="BO295" s="1868"/>
      <c r="BP295" s="1862"/>
    </row>
    <row r="296" spans="1:68" ht="21" customHeight="1">
      <c r="A296" s="1842">
        <v>153</v>
      </c>
      <c r="B296" s="1966" t="s">
        <v>1118</v>
      </c>
      <c r="C296" s="1898" t="s">
        <v>1119</v>
      </c>
      <c r="D296" s="1899" t="s">
        <v>1120</v>
      </c>
      <c r="E296" s="1900"/>
      <c r="F296" s="1863" t="s">
        <v>1169</v>
      </c>
      <c r="G296" s="1225" t="s">
        <v>1109</v>
      </c>
      <c r="H296" s="1867"/>
      <c r="I296" s="1867"/>
      <c r="J296" s="1867"/>
      <c r="K296" s="1867"/>
      <c r="L296" s="1851">
        <f t="shared" ref="L296:L307" ca="1" si="150">SUM(P296,T296)</f>
        <v>0</v>
      </c>
      <c r="M296" s="1851">
        <f t="shared" ref="M296:M307" ca="1" si="151">SUM(Q296,U296)</f>
        <v>0</v>
      </c>
      <c r="N296" s="1851">
        <f t="shared" ref="N296:N307" ca="1" si="152">SUM(R296,V296)</f>
        <v>0</v>
      </c>
      <c r="O296" s="1851">
        <f t="shared" ref="O296:O307" ca="1" si="153">SUM(S296,W296)</f>
        <v>0</v>
      </c>
      <c r="P296" s="1888">
        <f t="shared" ref="P296:W305" ca="1" si="154">P251</f>
        <v>0</v>
      </c>
      <c r="Q296" s="1888">
        <f t="shared" ca="1" si="154"/>
        <v>0</v>
      </c>
      <c r="R296" s="1888">
        <f t="shared" ca="1" si="154"/>
        <v>0</v>
      </c>
      <c r="S296" s="1888">
        <f t="shared" ca="1" si="154"/>
        <v>0</v>
      </c>
      <c r="T296" s="1888">
        <f t="shared" ca="1" si="154"/>
        <v>0</v>
      </c>
      <c r="U296" s="1888">
        <f t="shared" ca="1" si="154"/>
        <v>0</v>
      </c>
      <c r="V296" s="1888">
        <f t="shared" ca="1" si="154"/>
        <v>0</v>
      </c>
      <c r="W296" s="1888">
        <f t="shared" ca="1" si="154"/>
        <v>0</v>
      </c>
      <c r="X296" s="1868"/>
      <c r="Y296" s="1868"/>
      <c r="Z296" s="1868"/>
      <c r="AA296" s="1868"/>
      <c r="AB296" s="1868"/>
      <c r="AC296" s="1868"/>
      <c r="AD296" s="1868"/>
      <c r="AE296" s="1868"/>
      <c r="AF296" s="1868"/>
      <c r="AG296" s="1868"/>
      <c r="AH296" s="1868"/>
      <c r="AI296" s="1868"/>
      <c r="AJ296" s="1868"/>
      <c r="AK296" s="1868"/>
      <c r="AL296" s="1868"/>
      <c r="AM296" s="1868"/>
      <c r="AN296" s="1868"/>
      <c r="AO296" s="1868"/>
      <c r="AP296" s="1868"/>
      <c r="AQ296" s="1868"/>
      <c r="AR296" s="1868"/>
      <c r="AS296" s="1868"/>
      <c r="AT296" s="1868"/>
      <c r="AU296" s="1868"/>
      <c r="AV296" s="1868"/>
      <c r="AW296" s="1868"/>
      <c r="AX296" s="1868"/>
      <c r="AY296" s="1868"/>
      <c r="AZ296" s="1868"/>
      <c r="BA296" s="1868"/>
      <c r="BB296" s="1868"/>
      <c r="BC296" s="1868"/>
      <c r="BD296" s="1868"/>
      <c r="BE296" s="1868"/>
      <c r="BF296" s="1868"/>
      <c r="BG296" s="1868"/>
      <c r="BH296" s="1868"/>
      <c r="BI296" s="1868"/>
      <c r="BJ296" s="1868"/>
      <c r="BK296" s="1868"/>
      <c r="BL296" s="1868"/>
      <c r="BM296" s="1868"/>
      <c r="BN296" s="1868"/>
      <c r="BO296" s="1868"/>
      <c r="BP296" s="1862"/>
    </row>
    <row r="297" spans="1:68" ht="21" customHeight="1">
      <c r="A297" s="1842">
        <v>154</v>
      </c>
      <c r="B297" s="1967"/>
      <c r="C297" s="1906"/>
      <c r="D297" s="1899" t="s">
        <v>1122</v>
      </c>
      <c r="E297" s="1900"/>
      <c r="F297" s="1863" t="s">
        <v>1170</v>
      </c>
      <c r="G297" s="1225" t="s">
        <v>1109</v>
      </c>
      <c r="H297" s="1867"/>
      <c r="I297" s="1867"/>
      <c r="J297" s="1867"/>
      <c r="K297" s="1867"/>
      <c r="L297" s="1851">
        <f t="shared" ca="1" si="150"/>
        <v>0</v>
      </c>
      <c r="M297" s="1851">
        <f t="shared" ca="1" si="151"/>
        <v>0</v>
      </c>
      <c r="N297" s="1851">
        <f t="shared" ca="1" si="152"/>
        <v>0</v>
      </c>
      <c r="O297" s="1851">
        <f t="shared" ca="1" si="153"/>
        <v>0</v>
      </c>
      <c r="P297" s="1888">
        <f t="shared" ca="1" si="154"/>
        <v>0</v>
      </c>
      <c r="Q297" s="1888">
        <f t="shared" ca="1" si="154"/>
        <v>0</v>
      </c>
      <c r="R297" s="1888">
        <f t="shared" ca="1" si="154"/>
        <v>0</v>
      </c>
      <c r="S297" s="1888">
        <f t="shared" ca="1" si="154"/>
        <v>0</v>
      </c>
      <c r="T297" s="1888">
        <f t="shared" ca="1" si="154"/>
        <v>0</v>
      </c>
      <c r="U297" s="1888">
        <f t="shared" ca="1" si="154"/>
        <v>0</v>
      </c>
      <c r="V297" s="1888">
        <f t="shared" ca="1" si="154"/>
        <v>0</v>
      </c>
      <c r="W297" s="1888">
        <f t="shared" ca="1" si="154"/>
        <v>0</v>
      </c>
      <c r="X297" s="1868"/>
      <c r="Y297" s="1868"/>
      <c r="Z297" s="1868"/>
      <c r="AA297" s="1868"/>
      <c r="AB297" s="1868"/>
      <c r="AC297" s="1868"/>
      <c r="AD297" s="1868"/>
      <c r="AE297" s="1868"/>
      <c r="AF297" s="1868"/>
      <c r="AG297" s="1868"/>
      <c r="AH297" s="1868"/>
      <c r="AI297" s="1868"/>
      <c r="AJ297" s="1868"/>
      <c r="AK297" s="1868"/>
      <c r="AL297" s="1868"/>
      <c r="AM297" s="1868"/>
      <c r="AN297" s="1868"/>
      <c r="AO297" s="1868"/>
      <c r="AP297" s="1868"/>
      <c r="AQ297" s="1868"/>
      <c r="AR297" s="1868"/>
      <c r="AS297" s="1868"/>
      <c r="AT297" s="1868"/>
      <c r="AU297" s="1868"/>
      <c r="AV297" s="1868"/>
      <c r="AW297" s="1868"/>
      <c r="AX297" s="1868"/>
      <c r="AY297" s="1868"/>
      <c r="AZ297" s="1868"/>
      <c r="BA297" s="1868"/>
      <c r="BB297" s="1868"/>
      <c r="BC297" s="1868"/>
      <c r="BD297" s="1868"/>
      <c r="BE297" s="1868"/>
      <c r="BF297" s="1868"/>
      <c r="BG297" s="1868"/>
      <c r="BH297" s="1868"/>
      <c r="BI297" s="1868"/>
      <c r="BJ297" s="1868"/>
      <c r="BK297" s="1868"/>
      <c r="BL297" s="1868"/>
      <c r="BM297" s="1868"/>
      <c r="BN297" s="1868"/>
      <c r="BO297" s="1868"/>
      <c r="BP297" s="1862"/>
    </row>
    <row r="298" spans="1:68">
      <c r="A298" s="1842">
        <v>155</v>
      </c>
      <c r="B298" s="1967"/>
      <c r="C298" s="1906"/>
      <c r="D298" s="1907" t="s">
        <v>1123</v>
      </c>
      <c r="E298" s="1913" t="s">
        <v>1124</v>
      </c>
      <c r="F298" s="1914" t="s">
        <v>1171</v>
      </c>
      <c r="G298" s="1225" t="s">
        <v>583</v>
      </c>
      <c r="H298" s="1867"/>
      <c r="I298" s="1867"/>
      <c r="J298" s="1867"/>
      <c r="K298" s="1867"/>
      <c r="L298" s="1851">
        <f t="shared" ca="1" si="150"/>
        <v>0</v>
      </c>
      <c r="M298" s="1851">
        <f t="shared" ca="1" si="151"/>
        <v>0</v>
      </c>
      <c r="N298" s="1851">
        <f t="shared" ca="1" si="152"/>
        <v>0</v>
      </c>
      <c r="O298" s="1851">
        <f t="shared" ca="1" si="153"/>
        <v>0</v>
      </c>
      <c r="P298" s="1888">
        <f t="shared" ca="1" si="154"/>
        <v>0</v>
      </c>
      <c r="Q298" s="1888">
        <f t="shared" ca="1" si="154"/>
        <v>0</v>
      </c>
      <c r="R298" s="1888">
        <f t="shared" ca="1" si="154"/>
        <v>0</v>
      </c>
      <c r="S298" s="1888">
        <f t="shared" ca="1" si="154"/>
        <v>0</v>
      </c>
      <c r="T298" s="1888">
        <f t="shared" ca="1" si="154"/>
        <v>0</v>
      </c>
      <c r="U298" s="1888">
        <f t="shared" ca="1" si="154"/>
        <v>0</v>
      </c>
      <c r="V298" s="1888">
        <f t="shared" ca="1" si="154"/>
        <v>0</v>
      </c>
      <c r="W298" s="1888">
        <f t="shared" ca="1" si="154"/>
        <v>0</v>
      </c>
      <c r="X298" s="1868"/>
      <c r="Y298" s="1868"/>
      <c r="Z298" s="1868"/>
      <c r="AA298" s="1868"/>
      <c r="AB298" s="1868"/>
      <c r="AC298" s="1868"/>
      <c r="AD298" s="1868"/>
      <c r="AE298" s="1868"/>
      <c r="AF298" s="1868"/>
      <c r="AG298" s="1868"/>
      <c r="AH298" s="1868"/>
      <c r="AI298" s="1868"/>
      <c r="AJ298" s="1868"/>
      <c r="AK298" s="1868"/>
      <c r="AL298" s="1868"/>
      <c r="AM298" s="1868"/>
      <c r="AN298" s="1868"/>
      <c r="AO298" s="1868"/>
      <c r="AP298" s="1868"/>
      <c r="AQ298" s="1868"/>
      <c r="AR298" s="1868"/>
      <c r="AS298" s="1868"/>
      <c r="AT298" s="1868"/>
      <c r="AU298" s="1868"/>
      <c r="AV298" s="1868"/>
      <c r="AW298" s="1868"/>
      <c r="AX298" s="1868"/>
      <c r="AY298" s="1868"/>
      <c r="AZ298" s="1868"/>
      <c r="BA298" s="1868"/>
      <c r="BB298" s="1868"/>
      <c r="BC298" s="1868"/>
      <c r="BD298" s="1868"/>
      <c r="BE298" s="1868"/>
      <c r="BF298" s="1868"/>
      <c r="BG298" s="1868"/>
      <c r="BH298" s="1868"/>
      <c r="BI298" s="1868"/>
      <c r="BJ298" s="1868"/>
      <c r="BK298" s="1868"/>
      <c r="BL298" s="1868"/>
      <c r="BM298" s="1868"/>
      <c r="BN298" s="1868"/>
      <c r="BO298" s="1868"/>
      <c r="BP298" s="1862"/>
    </row>
    <row r="299" spans="1:68">
      <c r="A299" s="1842">
        <v>156</v>
      </c>
      <c r="B299" s="1967"/>
      <c r="C299" s="1906"/>
      <c r="D299" s="1910"/>
      <c r="E299" s="1915"/>
      <c r="F299" s="1968"/>
      <c r="G299" s="1225" t="s">
        <v>587</v>
      </c>
      <c r="H299" s="1867"/>
      <c r="I299" s="1867"/>
      <c r="J299" s="1867"/>
      <c r="K299" s="1867"/>
      <c r="L299" s="1851">
        <f t="shared" ca="1" si="150"/>
        <v>0</v>
      </c>
      <c r="M299" s="1851">
        <f t="shared" ca="1" si="151"/>
        <v>0</v>
      </c>
      <c r="N299" s="1851">
        <f t="shared" ca="1" si="152"/>
        <v>0</v>
      </c>
      <c r="O299" s="1851">
        <f t="shared" ca="1" si="153"/>
        <v>0</v>
      </c>
      <c r="P299" s="1888">
        <f t="shared" ca="1" si="154"/>
        <v>0</v>
      </c>
      <c r="Q299" s="1888">
        <f t="shared" ca="1" si="154"/>
        <v>0</v>
      </c>
      <c r="R299" s="1888">
        <f t="shared" ca="1" si="154"/>
        <v>0</v>
      </c>
      <c r="S299" s="1888">
        <f t="shared" ca="1" si="154"/>
        <v>0</v>
      </c>
      <c r="T299" s="1888">
        <f t="shared" ca="1" si="154"/>
        <v>0</v>
      </c>
      <c r="U299" s="1888">
        <f t="shared" ca="1" si="154"/>
        <v>0</v>
      </c>
      <c r="V299" s="1888">
        <f t="shared" ca="1" si="154"/>
        <v>0</v>
      </c>
      <c r="W299" s="1888">
        <f t="shared" ca="1" si="154"/>
        <v>0</v>
      </c>
      <c r="X299" s="1868"/>
      <c r="Y299" s="1868"/>
      <c r="Z299" s="1868"/>
      <c r="AA299" s="1868"/>
      <c r="AB299" s="1868"/>
      <c r="AC299" s="1868"/>
      <c r="AD299" s="1868"/>
      <c r="AE299" s="1868"/>
      <c r="AF299" s="1868"/>
      <c r="AG299" s="1868"/>
      <c r="AH299" s="1868"/>
      <c r="AI299" s="1868"/>
      <c r="AJ299" s="1868"/>
      <c r="AK299" s="1868"/>
      <c r="AL299" s="1868"/>
      <c r="AM299" s="1868"/>
      <c r="AN299" s="1868"/>
      <c r="AO299" s="1868"/>
      <c r="AP299" s="1868"/>
      <c r="AQ299" s="1868"/>
      <c r="AR299" s="1868"/>
      <c r="AS299" s="1868"/>
      <c r="AT299" s="1868"/>
      <c r="AU299" s="1868"/>
      <c r="AV299" s="1868"/>
      <c r="AW299" s="1868"/>
      <c r="AX299" s="1868"/>
      <c r="AY299" s="1868"/>
      <c r="AZ299" s="1868"/>
      <c r="BA299" s="1868"/>
      <c r="BB299" s="1868"/>
      <c r="BC299" s="1868"/>
      <c r="BD299" s="1868"/>
      <c r="BE299" s="1868"/>
      <c r="BF299" s="1868"/>
      <c r="BG299" s="1868"/>
      <c r="BH299" s="1868"/>
      <c r="BI299" s="1868"/>
      <c r="BJ299" s="1868"/>
      <c r="BK299" s="1868"/>
      <c r="BL299" s="1868"/>
      <c r="BM299" s="1868"/>
      <c r="BN299" s="1868"/>
      <c r="BO299" s="1868"/>
      <c r="BP299" s="1862"/>
    </row>
    <row r="300" spans="1:68" ht="21" customHeight="1">
      <c r="A300" s="1842">
        <v>157</v>
      </c>
      <c r="B300" s="1967"/>
      <c r="C300" s="1906"/>
      <c r="D300" s="1910"/>
      <c r="E300" s="1913" t="s">
        <v>1126</v>
      </c>
      <c r="F300" s="1914" t="s">
        <v>1172</v>
      </c>
      <c r="G300" s="1225" t="s">
        <v>583</v>
      </c>
      <c r="H300" s="1867"/>
      <c r="I300" s="1867"/>
      <c r="J300" s="1867"/>
      <c r="K300" s="1867"/>
      <c r="L300" s="1851">
        <f t="shared" ca="1" si="150"/>
        <v>0</v>
      </c>
      <c r="M300" s="1851">
        <f t="shared" ca="1" si="151"/>
        <v>0</v>
      </c>
      <c r="N300" s="1851">
        <f t="shared" ca="1" si="152"/>
        <v>0</v>
      </c>
      <c r="O300" s="1851">
        <f t="shared" ca="1" si="153"/>
        <v>0</v>
      </c>
      <c r="P300" s="1888">
        <f t="shared" ca="1" si="154"/>
        <v>0</v>
      </c>
      <c r="Q300" s="1888">
        <f t="shared" ca="1" si="154"/>
        <v>0</v>
      </c>
      <c r="R300" s="1888">
        <f t="shared" ca="1" si="154"/>
        <v>0</v>
      </c>
      <c r="S300" s="1888">
        <f t="shared" ca="1" si="154"/>
        <v>0</v>
      </c>
      <c r="T300" s="1888">
        <f t="shared" ca="1" si="154"/>
        <v>0</v>
      </c>
      <c r="U300" s="1888">
        <f t="shared" ca="1" si="154"/>
        <v>0</v>
      </c>
      <c r="V300" s="1888">
        <f t="shared" ca="1" si="154"/>
        <v>0</v>
      </c>
      <c r="W300" s="1888">
        <f t="shared" ca="1" si="154"/>
        <v>0</v>
      </c>
      <c r="X300" s="1868"/>
      <c r="Y300" s="1868"/>
      <c r="Z300" s="1868"/>
      <c r="AA300" s="1868"/>
      <c r="AB300" s="1868"/>
      <c r="AC300" s="1868"/>
      <c r="AD300" s="1868"/>
      <c r="AE300" s="1868"/>
      <c r="AF300" s="1868"/>
      <c r="AG300" s="1868"/>
      <c r="AH300" s="1868"/>
      <c r="AI300" s="1868"/>
      <c r="AJ300" s="1868"/>
      <c r="AK300" s="1868"/>
      <c r="AL300" s="1868"/>
      <c r="AM300" s="1868"/>
      <c r="AN300" s="1868"/>
      <c r="AO300" s="1868"/>
      <c r="AP300" s="1868"/>
      <c r="AQ300" s="1868"/>
      <c r="AR300" s="1868"/>
      <c r="AS300" s="1868"/>
      <c r="AT300" s="1868"/>
      <c r="AU300" s="1868"/>
      <c r="AV300" s="1868"/>
      <c r="AW300" s="1868"/>
      <c r="AX300" s="1868"/>
      <c r="AY300" s="1868"/>
      <c r="AZ300" s="1868"/>
      <c r="BA300" s="1868"/>
      <c r="BB300" s="1868"/>
      <c r="BC300" s="1868"/>
      <c r="BD300" s="1868"/>
      <c r="BE300" s="1868"/>
      <c r="BF300" s="1868"/>
      <c r="BG300" s="1868"/>
      <c r="BH300" s="1868"/>
      <c r="BI300" s="1868"/>
      <c r="BJ300" s="1868"/>
      <c r="BK300" s="1868"/>
      <c r="BL300" s="1868"/>
      <c r="BM300" s="1868"/>
      <c r="BN300" s="1868"/>
      <c r="BO300" s="1868"/>
      <c r="BP300" s="1862"/>
    </row>
    <row r="301" spans="1:68" ht="21" customHeight="1">
      <c r="A301" s="1842">
        <v>158</v>
      </c>
      <c r="B301" s="1967"/>
      <c r="C301" s="1906"/>
      <c r="D301" s="1910"/>
      <c r="E301" s="1915"/>
      <c r="F301" s="1968"/>
      <c r="G301" s="1225" t="s">
        <v>0</v>
      </c>
      <c r="H301" s="1867"/>
      <c r="I301" s="1867"/>
      <c r="J301" s="1867"/>
      <c r="K301" s="1867"/>
      <c r="L301" s="1851">
        <f t="shared" ca="1" si="150"/>
        <v>0</v>
      </c>
      <c r="M301" s="1851">
        <f t="shared" ca="1" si="151"/>
        <v>0</v>
      </c>
      <c r="N301" s="1851">
        <f t="shared" ca="1" si="152"/>
        <v>0</v>
      </c>
      <c r="O301" s="1851">
        <f t="shared" ca="1" si="153"/>
        <v>0</v>
      </c>
      <c r="P301" s="1888">
        <f t="shared" ca="1" si="154"/>
        <v>0</v>
      </c>
      <c r="Q301" s="1888">
        <f t="shared" ca="1" si="154"/>
        <v>0</v>
      </c>
      <c r="R301" s="1888">
        <f t="shared" ca="1" si="154"/>
        <v>0</v>
      </c>
      <c r="S301" s="1888">
        <f t="shared" ca="1" si="154"/>
        <v>0</v>
      </c>
      <c r="T301" s="1888">
        <f t="shared" ca="1" si="154"/>
        <v>0</v>
      </c>
      <c r="U301" s="1888">
        <f t="shared" ca="1" si="154"/>
        <v>0</v>
      </c>
      <c r="V301" s="1888">
        <f t="shared" ca="1" si="154"/>
        <v>0</v>
      </c>
      <c r="W301" s="1888">
        <f t="shared" ca="1" si="154"/>
        <v>0</v>
      </c>
      <c r="X301" s="1868"/>
      <c r="Y301" s="1868"/>
      <c r="Z301" s="1868"/>
      <c r="AA301" s="1868"/>
      <c r="AB301" s="1868"/>
      <c r="AC301" s="1868"/>
      <c r="AD301" s="1868"/>
      <c r="AE301" s="1868"/>
      <c r="AF301" s="1868"/>
      <c r="AG301" s="1868"/>
      <c r="AH301" s="1868"/>
      <c r="AI301" s="1868"/>
      <c r="AJ301" s="1868"/>
      <c r="AK301" s="1868"/>
      <c r="AL301" s="1868"/>
      <c r="AM301" s="1868"/>
      <c r="AN301" s="1868"/>
      <c r="AO301" s="1868"/>
      <c r="AP301" s="1868"/>
      <c r="AQ301" s="1868"/>
      <c r="AR301" s="1868"/>
      <c r="AS301" s="1868"/>
      <c r="AT301" s="1868"/>
      <c r="AU301" s="1868"/>
      <c r="AV301" s="1868"/>
      <c r="AW301" s="1868"/>
      <c r="AX301" s="1868"/>
      <c r="AY301" s="1868"/>
      <c r="AZ301" s="1868"/>
      <c r="BA301" s="1868"/>
      <c r="BB301" s="1868"/>
      <c r="BC301" s="1868"/>
      <c r="BD301" s="1868"/>
      <c r="BE301" s="1868"/>
      <c r="BF301" s="1868"/>
      <c r="BG301" s="1868"/>
      <c r="BH301" s="1868"/>
      <c r="BI301" s="1868"/>
      <c r="BJ301" s="1868"/>
      <c r="BK301" s="1868"/>
      <c r="BL301" s="1868"/>
      <c r="BM301" s="1868"/>
      <c r="BN301" s="1868"/>
      <c r="BO301" s="1868"/>
      <c r="BP301" s="1862"/>
    </row>
    <row r="302" spans="1:68">
      <c r="A302" s="1842">
        <v>159</v>
      </c>
      <c r="B302" s="1967"/>
      <c r="C302" s="1906"/>
      <c r="D302" s="1917"/>
      <c r="E302" s="1918" t="s">
        <v>1127</v>
      </c>
      <c r="F302" s="1863" t="s">
        <v>1173</v>
      </c>
      <c r="G302" s="1225" t="s">
        <v>583</v>
      </c>
      <c r="H302" s="1867"/>
      <c r="I302" s="1867"/>
      <c r="J302" s="1867"/>
      <c r="K302" s="1867"/>
      <c r="L302" s="1851">
        <f t="shared" ca="1" si="150"/>
        <v>0</v>
      </c>
      <c r="M302" s="1851">
        <f t="shared" ca="1" si="151"/>
        <v>0</v>
      </c>
      <c r="N302" s="1851">
        <f t="shared" ca="1" si="152"/>
        <v>0</v>
      </c>
      <c r="O302" s="1851">
        <f t="shared" ca="1" si="153"/>
        <v>0</v>
      </c>
      <c r="P302" s="1888">
        <f t="shared" ca="1" si="154"/>
        <v>0</v>
      </c>
      <c r="Q302" s="1888">
        <f t="shared" ca="1" si="154"/>
        <v>0</v>
      </c>
      <c r="R302" s="1888">
        <f t="shared" ca="1" si="154"/>
        <v>0</v>
      </c>
      <c r="S302" s="1888">
        <f t="shared" ca="1" si="154"/>
        <v>0</v>
      </c>
      <c r="T302" s="1888">
        <f t="shared" ca="1" si="154"/>
        <v>0</v>
      </c>
      <c r="U302" s="1888">
        <f t="shared" ca="1" si="154"/>
        <v>0</v>
      </c>
      <c r="V302" s="1888">
        <f t="shared" ca="1" si="154"/>
        <v>0</v>
      </c>
      <c r="W302" s="1888">
        <f t="shared" ca="1" si="154"/>
        <v>0</v>
      </c>
      <c r="X302" s="1868"/>
      <c r="Y302" s="1868"/>
      <c r="Z302" s="1868"/>
      <c r="AA302" s="1868"/>
      <c r="AB302" s="1868"/>
      <c r="AC302" s="1868"/>
      <c r="AD302" s="1868"/>
      <c r="AE302" s="1868"/>
      <c r="AF302" s="1868"/>
      <c r="AG302" s="1868"/>
      <c r="AH302" s="1868"/>
      <c r="AI302" s="1868"/>
      <c r="AJ302" s="1868"/>
      <c r="AK302" s="1868"/>
      <c r="AL302" s="1868"/>
      <c r="AM302" s="1868"/>
      <c r="AN302" s="1868"/>
      <c r="AO302" s="1868"/>
      <c r="AP302" s="1868"/>
      <c r="AQ302" s="1868"/>
      <c r="AR302" s="1868"/>
      <c r="AS302" s="1868"/>
      <c r="AT302" s="1868"/>
      <c r="AU302" s="1868"/>
      <c r="AV302" s="1868"/>
      <c r="AW302" s="1868"/>
      <c r="AX302" s="1868"/>
      <c r="AY302" s="1868"/>
      <c r="AZ302" s="1868"/>
      <c r="BA302" s="1868"/>
      <c r="BB302" s="1868"/>
      <c r="BC302" s="1868"/>
      <c r="BD302" s="1868"/>
      <c r="BE302" s="1868"/>
      <c r="BF302" s="1868"/>
      <c r="BG302" s="1868"/>
      <c r="BH302" s="1868"/>
      <c r="BI302" s="1868"/>
      <c r="BJ302" s="1868"/>
      <c r="BK302" s="1868"/>
      <c r="BL302" s="1868"/>
      <c r="BM302" s="1868"/>
      <c r="BN302" s="1868"/>
      <c r="BO302" s="1868"/>
      <c r="BP302" s="1862"/>
    </row>
    <row r="303" spans="1:68">
      <c r="A303" s="1842">
        <v>160</v>
      </c>
      <c r="B303" s="1967"/>
      <c r="C303" s="1906"/>
      <c r="D303" s="1919" t="s">
        <v>1128</v>
      </c>
      <c r="E303" s="1920" t="s">
        <v>1129</v>
      </c>
      <c r="F303" s="1914" t="s">
        <v>1174</v>
      </c>
      <c r="G303" s="1225" t="s">
        <v>583</v>
      </c>
      <c r="H303" s="1867"/>
      <c r="I303" s="1867"/>
      <c r="J303" s="1867"/>
      <c r="K303" s="1867"/>
      <c r="L303" s="1851">
        <f t="shared" ca="1" si="150"/>
        <v>0</v>
      </c>
      <c r="M303" s="1851">
        <f t="shared" ca="1" si="151"/>
        <v>0</v>
      </c>
      <c r="N303" s="1851">
        <f t="shared" ca="1" si="152"/>
        <v>0</v>
      </c>
      <c r="O303" s="1851">
        <f t="shared" ca="1" si="153"/>
        <v>0</v>
      </c>
      <c r="P303" s="1888">
        <f t="shared" ca="1" si="154"/>
        <v>0</v>
      </c>
      <c r="Q303" s="1888">
        <f t="shared" ca="1" si="154"/>
        <v>0</v>
      </c>
      <c r="R303" s="1888">
        <f t="shared" ca="1" si="154"/>
        <v>0</v>
      </c>
      <c r="S303" s="1888">
        <f t="shared" ca="1" si="154"/>
        <v>0</v>
      </c>
      <c r="T303" s="1888">
        <f t="shared" ca="1" si="154"/>
        <v>0</v>
      </c>
      <c r="U303" s="1888">
        <f t="shared" ca="1" si="154"/>
        <v>0</v>
      </c>
      <c r="V303" s="1888">
        <f t="shared" ca="1" si="154"/>
        <v>0</v>
      </c>
      <c r="W303" s="1888">
        <f t="shared" ca="1" si="154"/>
        <v>0</v>
      </c>
      <c r="X303" s="1868"/>
      <c r="Y303" s="1868"/>
      <c r="Z303" s="1868"/>
      <c r="AA303" s="1868"/>
      <c r="AB303" s="1868"/>
      <c r="AC303" s="1868"/>
      <c r="AD303" s="1868"/>
      <c r="AE303" s="1868"/>
      <c r="AF303" s="1868"/>
      <c r="AG303" s="1868"/>
      <c r="AH303" s="1868"/>
      <c r="AI303" s="1868"/>
      <c r="AJ303" s="1868"/>
      <c r="AK303" s="1868"/>
      <c r="AL303" s="1868"/>
      <c r="AM303" s="1868"/>
      <c r="AN303" s="1868"/>
      <c r="AO303" s="1868"/>
      <c r="AP303" s="1868"/>
      <c r="AQ303" s="1868"/>
      <c r="AR303" s="1868"/>
      <c r="AS303" s="1868"/>
      <c r="AT303" s="1868"/>
      <c r="AU303" s="1868"/>
      <c r="AV303" s="1868"/>
      <c r="AW303" s="1868"/>
      <c r="AX303" s="1868"/>
      <c r="AY303" s="1868"/>
      <c r="AZ303" s="1868"/>
      <c r="BA303" s="1868"/>
      <c r="BB303" s="1868"/>
      <c r="BC303" s="1868"/>
      <c r="BD303" s="1868"/>
      <c r="BE303" s="1868"/>
      <c r="BF303" s="1868"/>
      <c r="BG303" s="1868"/>
      <c r="BH303" s="1868"/>
      <c r="BI303" s="1868"/>
      <c r="BJ303" s="1868"/>
      <c r="BK303" s="1868"/>
      <c r="BL303" s="1868"/>
      <c r="BM303" s="1868"/>
      <c r="BN303" s="1868"/>
      <c r="BO303" s="1868"/>
      <c r="BP303" s="1862"/>
    </row>
    <row r="304" spans="1:68">
      <c r="A304" s="1842">
        <v>161</v>
      </c>
      <c r="B304" s="1967"/>
      <c r="C304" s="1906"/>
      <c r="D304" s="1921"/>
      <c r="E304" s="1922"/>
      <c r="F304" s="1968"/>
      <c r="G304" s="1225" t="s">
        <v>587</v>
      </c>
      <c r="H304" s="1867"/>
      <c r="I304" s="1867"/>
      <c r="J304" s="1867"/>
      <c r="K304" s="1867"/>
      <c r="L304" s="1851">
        <f t="shared" ca="1" si="150"/>
        <v>0</v>
      </c>
      <c r="M304" s="1851">
        <f t="shared" ca="1" si="151"/>
        <v>0</v>
      </c>
      <c r="N304" s="1851">
        <f t="shared" ca="1" si="152"/>
        <v>0</v>
      </c>
      <c r="O304" s="1851">
        <f t="shared" ca="1" si="153"/>
        <v>0</v>
      </c>
      <c r="P304" s="1888">
        <f t="shared" ca="1" si="154"/>
        <v>0</v>
      </c>
      <c r="Q304" s="1888">
        <f t="shared" ca="1" si="154"/>
        <v>0</v>
      </c>
      <c r="R304" s="1888">
        <f t="shared" ca="1" si="154"/>
        <v>0</v>
      </c>
      <c r="S304" s="1888">
        <f t="shared" ca="1" si="154"/>
        <v>0</v>
      </c>
      <c r="T304" s="1888">
        <f t="shared" ca="1" si="154"/>
        <v>0</v>
      </c>
      <c r="U304" s="1888">
        <f t="shared" ca="1" si="154"/>
        <v>0</v>
      </c>
      <c r="V304" s="1888">
        <f t="shared" ca="1" si="154"/>
        <v>0</v>
      </c>
      <c r="W304" s="1888">
        <f t="shared" ca="1" si="154"/>
        <v>0</v>
      </c>
      <c r="X304" s="1868"/>
      <c r="Y304" s="1868"/>
      <c r="Z304" s="1868"/>
      <c r="AA304" s="1868"/>
      <c r="AB304" s="1868"/>
      <c r="AC304" s="1868"/>
      <c r="AD304" s="1868"/>
      <c r="AE304" s="1868"/>
      <c r="AF304" s="1868"/>
      <c r="AG304" s="1868"/>
      <c r="AH304" s="1868"/>
      <c r="AI304" s="1868"/>
      <c r="AJ304" s="1868"/>
      <c r="AK304" s="1868"/>
      <c r="AL304" s="1868"/>
      <c r="AM304" s="1868"/>
      <c r="AN304" s="1868"/>
      <c r="AO304" s="1868"/>
      <c r="AP304" s="1868"/>
      <c r="AQ304" s="1868"/>
      <c r="AR304" s="1868"/>
      <c r="AS304" s="1868"/>
      <c r="AT304" s="1868"/>
      <c r="AU304" s="1868"/>
      <c r="AV304" s="1868"/>
      <c r="AW304" s="1868"/>
      <c r="AX304" s="1868"/>
      <c r="AY304" s="1868"/>
      <c r="AZ304" s="1868"/>
      <c r="BA304" s="1868"/>
      <c r="BB304" s="1868"/>
      <c r="BC304" s="1868"/>
      <c r="BD304" s="1868"/>
      <c r="BE304" s="1868"/>
      <c r="BF304" s="1868"/>
      <c r="BG304" s="1868"/>
      <c r="BH304" s="1868"/>
      <c r="BI304" s="1868"/>
      <c r="BJ304" s="1868"/>
      <c r="BK304" s="1868"/>
      <c r="BL304" s="1868"/>
      <c r="BM304" s="1868"/>
      <c r="BN304" s="1868"/>
      <c r="BO304" s="1868"/>
      <c r="BP304" s="1862"/>
    </row>
    <row r="305" spans="1:68" ht="21" customHeight="1">
      <c r="A305" s="1842">
        <v>162</v>
      </c>
      <c r="B305" s="1967"/>
      <c r="C305" s="1906"/>
      <c r="D305" s="1921"/>
      <c r="E305" s="1923" t="s">
        <v>1130</v>
      </c>
      <c r="F305" s="1914" t="s">
        <v>1175</v>
      </c>
      <c r="G305" s="1225" t="s">
        <v>583</v>
      </c>
      <c r="H305" s="1867"/>
      <c r="I305" s="1867"/>
      <c r="J305" s="1867"/>
      <c r="K305" s="1867"/>
      <c r="L305" s="1851">
        <f t="shared" ca="1" si="150"/>
        <v>0</v>
      </c>
      <c r="M305" s="1851">
        <f t="shared" ca="1" si="151"/>
        <v>0</v>
      </c>
      <c r="N305" s="1851">
        <f t="shared" ca="1" si="152"/>
        <v>0</v>
      </c>
      <c r="O305" s="1851">
        <f t="shared" ca="1" si="153"/>
        <v>0</v>
      </c>
      <c r="P305" s="1888">
        <f t="shared" ca="1" si="154"/>
        <v>0</v>
      </c>
      <c r="Q305" s="1888">
        <f t="shared" ca="1" si="154"/>
        <v>0</v>
      </c>
      <c r="R305" s="1888">
        <f t="shared" ca="1" si="154"/>
        <v>0</v>
      </c>
      <c r="S305" s="1888">
        <f t="shared" ca="1" si="154"/>
        <v>0</v>
      </c>
      <c r="T305" s="1888">
        <f t="shared" ca="1" si="154"/>
        <v>0</v>
      </c>
      <c r="U305" s="1888">
        <f t="shared" ca="1" si="154"/>
        <v>0</v>
      </c>
      <c r="V305" s="1888">
        <f t="shared" ca="1" si="154"/>
        <v>0</v>
      </c>
      <c r="W305" s="1888">
        <f t="shared" ca="1" si="154"/>
        <v>0</v>
      </c>
      <c r="X305" s="1868"/>
      <c r="Y305" s="1868"/>
      <c r="Z305" s="1868"/>
      <c r="AA305" s="1868"/>
      <c r="AB305" s="1868"/>
      <c r="AC305" s="1868"/>
      <c r="AD305" s="1868"/>
      <c r="AE305" s="1868"/>
      <c r="AF305" s="1868"/>
      <c r="AG305" s="1868"/>
      <c r="AH305" s="1868"/>
      <c r="AI305" s="1868"/>
      <c r="AJ305" s="1868"/>
      <c r="AK305" s="1868"/>
      <c r="AL305" s="1868"/>
      <c r="AM305" s="1868"/>
      <c r="AN305" s="1868"/>
      <c r="AO305" s="1868"/>
      <c r="AP305" s="1868"/>
      <c r="AQ305" s="1868"/>
      <c r="AR305" s="1868"/>
      <c r="AS305" s="1868"/>
      <c r="AT305" s="1868"/>
      <c r="AU305" s="1868"/>
      <c r="AV305" s="1868"/>
      <c r="AW305" s="1868"/>
      <c r="AX305" s="1868"/>
      <c r="AY305" s="1868"/>
      <c r="AZ305" s="1868"/>
      <c r="BA305" s="1868"/>
      <c r="BB305" s="1868"/>
      <c r="BC305" s="1868"/>
      <c r="BD305" s="1868"/>
      <c r="BE305" s="1868"/>
      <c r="BF305" s="1868"/>
      <c r="BG305" s="1868"/>
      <c r="BH305" s="1868"/>
      <c r="BI305" s="1868"/>
      <c r="BJ305" s="1868"/>
      <c r="BK305" s="1868"/>
      <c r="BL305" s="1868"/>
      <c r="BM305" s="1868"/>
      <c r="BN305" s="1868"/>
      <c r="BO305" s="1868"/>
      <c r="BP305" s="1862"/>
    </row>
    <row r="306" spans="1:68">
      <c r="A306" s="1842">
        <v>163</v>
      </c>
      <c r="B306" s="1967"/>
      <c r="C306" s="1906"/>
      <c r="D306" s="1924"/>
      <c r="E306" s="1925"/>
      <c r="F306" s="1968"/>
      <c r="G306" s="1225" t="s">
        <v>0</v>
      </c>
      <c r="H306" s="1867"/>
      <c r="I306" s="1867"/>
      <c r="J306" s="1867"/>
      <c r="K306" s="1867"/>
      <c r="L306" s="1851">
        <f t="shared" ca="1" si="150"/>
        <v>0</v>
      </c>
      <c r="M306" s="1851">
        <f t="shared" ca="1" si="151"/>
        <v>0</v>
      </c>
      <c r="N306" s="1851">
        <f t="shared" ca="1" si="152"/>
        <v>0</v>
      </c>
      <c r="O306" s="1851">
        <f t="shared" ca="1" si="153"/>
        <v>0</v>
      </c>
      <c r="P306" s="1888">
        <f t="shared" ref="P306:W315" ca="1" si="155">P261</f>
        <v>0</v>
      </c>
      <c r="Q306" s="1888">
        <f t="shared" ca="1" si="155"/>
        <v>0</v>
      </c>
      <c r="R306" s="1888">
        <f t="shared" ca="1" si="155"/>
        <v>0</v>
      </c>
      <c r="S306" s="1888">
        <f t="shared" ca="1" si="155"/>
        <v>0</v>
      </c>
      <c r="T306" s="1888">
        <f t="shared" ca="1" si="155"/>
        <v>0</v>
      </c>
      <c r="U306" s="1888">
        <f t="shared" ca="1" si="155"/>
        <v>0</v>
      </c>
      <c r="V306" s="1888">
        <f t="shared" ca="1" si="155"/>
        <v>0</v>
      </c>
      <c r="W306" s="1888">
        <f t="shared" ca="1" si="155"/>
        <v>0</v>
      </c>
      <c r="X306" s="1868"/>
      <c r="Y306" s="1868"/>
      <c r="Z306" s="1868"/>
      <c r="AA306" s="1868"/>
      <c r="AB306" s="1868"/>
      <c r="AC306" s="1868"/>
      <c r="AD306" s="1868"/>
      <c r="AE306" s="1868"/>
      <c r="AF306" s="1868"/>
      <c r="AG306" s="1868"/>
      <c r="AH306" s="1868"/>
      <c r="AI306" s="1868"/>
      <c r="AJ306" s="1868"/>
      <c r="AK306" s="1868"/>
      <c r="AL306" s="1868"/>
      <c r="AM306" s="1868"/>
      <c r="AN306" s="1868"/>
      <c r="AO306" s="1868"/>
      <c r="AP306" s="1868"/>
      <c r="AQ306" s="1868"/>
      <c r="AR306" s="1868"/>
      <c r="AS306" s="1868"/>
      <c r="AT306" s="1868"/>
      <c r="AU306" s="1868"/>
      <c r="AV306" s="1868"/>
      <c r="AW306" s="1868"/>
      <c r="AX306" s="1868"/>
      <c r="AY306" s="1868"/>
      <c r="AZ306" s="1868"/>
      <c r="BA306" s="1868"/>
      <c r="BB306" s="1868"/>
      <c r="BC306" s="1868"/>
      <c r="BD306" s="1868"/>
      <c r="BE306" s="1868"/>
      <c r="BF306" s="1868"/>
      <c r="BG306" s="1868"/>
      <c r="BH306" s="1868"/>
      <c r="BI306" s="1868"/>
      <c r="BJ306" s="1868"/>
      <c r="BK306" s="1868"/>
      <c r="BL306" s="1868"/>
      <c r="BM306" s="1868"/>
      <c r="BN306" s="1868"/>
      <c r="BO306" s="1868"/>
      <c r="BP306" s="1862"/>
    </row>
    <row r="307" spans="1:68" ht="21" customHeight="1">
      <c r="A307" s="1842">
        <v>164</v>
      </c>
      <c r="B307" s="1967"/>
      <c r="C307" s="1926"/>
      <c r="D307" s="1927" t="s">
        <v>1131</v>
      </c>
      <c r="E307" s="1928" t="str">
        <f ca="1">E262</f>
        <v/>
      </c>
      <c r="F307" s="1863" t="s">
        <v>1176</v>
      </c>
      <c r="G307" s="1225" t="s">
        <v>583</v>
      </c>
      <c r="H307" s="1867"/>
      <c r="I307" s="1867"/>
      <c r="J307" s="1867"/>
      <c r="K307" s="1867"/>
      <c r="L307" s="1851">
        <f t="shared" ca="1" si="150"/>
        <v>0</v>
      </c>
      <c r="M307" s="1851">
        <f t="shared" ca="1" si="151"/>
        <v>0</v>
      </c>
      <c r="N307" s="1851">
        <f t="shared" ca="1" si="152"/>
        <v>0</v>
      </c>
      <c r="O307" s="1851">
        <f t="shared" ca="1" si="153"/>
        <v>0</v>
      </c>
      <c r="P307" s="1888">
        <f t="shared" ca="1" si="155"/>
        <v>0</v>
      </c>
      <c r="Q307" s="1888">
        <f t="shared" ca="1" si="155"/>
        <v>0</v>
      </c>
      <c r="R307" s="1888">
        <f t="shared" ca="1" si="155"/>
        <v>0</v>
      </c>
      <c r="S307" s="1888">
        <f t="shared" ca="1" si="155"/>
        <v>0</v>
      </c>
      <c r="T307" s="1888">
        <f t="shared" ca="1" si="155"/>
        <v>0</v>
      </c>
      <c r="U307" s="1888">
        <f t="shared" ca="1" si="155"/>
        <v>0</v>
      </c>
      <c r="V307" s="1888">
        <f t="shared" ca="1" si="155"/>
        <v>0</v>
      </c>
      <c r="W307" s="1888">
        <f t="shared" ca="1" si="155"/>
        <v>0</v>
      </c>
      <c r="X307" s="1868"/>
      <c r="Y307" s="1868"/>
      <c r="Z307" s="1868"/>
      <c r="AA307" s="1868"/>
      <c r="AB307" s="1868"/>
      <c r="AC307" s="1868"/>
      <c r="AD307" s="1868"/>
      <c r="AE307" s="1868"/>
      <c r="AF307" s="1868"/>
      <c r="AG307" s="1868"/>
      <c r="AH307" s="1868"/>
      <c r="AI307" s="1868"/>
      <c r="AJ307" s="1868"/>
      <c r="AK307" s="1868"/>
      <c r="AL307" s="1868"/>
      <c r="AM307" s="1868"/>
      <c r="AN307" s="1868"/>
      <c r="AO307" s="1868"/>
      <c r="AP307" s="1868"/>
      <c r="AQ307" s="1868"/>
      <c r="AR307" s="1868"/>
      <c r="AS307" s="1868"/>
      <c r="AT307" s="1868"/>
      <c r="AU307" s="1868"/>
      <c r="AV307" s="1868"/>
      <c r="AW307" s="1868"/>
      <c r="AX307" s="1868"/>
      <c r="AY307" s="1868"/>
      <c r="AZ307" s="1868"/>
      <c r="BA307" s="1868"/>
      <c r="BB307" s="1868"/>
      <c r="BC307" s="1868"/>
      <c r="BD307" s="1868"/>
      <c r="BE307" s="1868"/>
      <c r="BF307" s="1868"/>
      <c r="BG307" s="1868"/>
      <c r="BH307" s="1868"/>
      <c r="BI307" s="1868"/>
      <c r="BJ307" s="1868"/>
      <c r="BK307" s="1868"/>
      <c r="BL307" s="1868"/>
      <c r="BM307" s="1868"/>
      <c r="BN307" s="1868"/>
      <c r="BO307" s="1868"/>
      <c r="BP307" s="1862"/>
    </row>
    <row r="308" spans="1:68" ht="21">
      <c r="A308" s="1842">
        <v>165</v>
      </c>
      <c r="B308" s="1967"/>
      <c r="C308" s="1929" t="s">
        <v>1132</v>
      </c>
      <c r="D308" s="1930"/>
      <c r="E308" s="1930"/>
      <c r="F308" s="1863" t="s">
        <v>1177</v>
      </c>
      <c r="G308" s="1225" t="s">
        <v>1109</v>
      </c>
      <c r="H308" s="1867"/>
      <c r="I308" s="1867"/>
      <c r="J308" s="1867"/>
      <c r="K308" s="1867"/>
      <c r="L308" s="1851">
        <f t="shared" ref="L308:O316" ca="1" si="156">L263</f>
        <v>0</v>
      </c>
      <c r="M308" s="1851">
        <f t="shared" ca="1" si="156"/>
        <v>0</v>
      </c>
      <c r="N308" s="1851">
        <f t="shared" ca="1" si="156"/>
        <v>0</v>
      </c>
      <c r="O308" s="1851">
        <f t="shared" ca="1" si="156"/>
        <v>0</v>
      </c>
      <c r="P308" s="1888">
        <f t="shared" ca="1" si="155"/>
        <v>0</v>
      </c>
      <c r="Q308" s="1888">
        <f t="shared" ca="1" si="155"/>
        <v>0</v>
      </c>
      <c r="R308" s="1888">
        <f t="shared" ca="1" si="155"/>
        <v>0</v>
      </c>
      <c r="S308" s="1888">
        <f t="shared" ca="1" si="155"/>
        <v>0</v>
      </c>
      <c r="T308" s="1888">
        <f t="shared" ca="1" si="155"/>
        <v>0</v>
      </c>
      <c r="U308" s="1888">
        <f t="shared" ca="1" si="155"/>
        <v>0</v>
      </c>
      <c r="V308" s="1888">
        <f t="shared" ca="1" si="155"/>
        <v>0</v>
      </c>
      <c r="W308" s="1888">
        <f t="shared" ca="1" si="155"/>
        <v>0</v>
      </c>
      <c r="X308" s="1868"/>
      <c r="Y308" s="1868"/>
      <c r="Z308" s="1868"/>
      <c r="AA308" s="1868"/>
      <c r="AB308" s="1868"/>
      <c r="AC308" s="1868"/>
      <c r="AD308" s="1868"/>
      <c r="AE308" s="1868"/>
      <c r="AF308" s="1868"/>
      <c r="AG308" s="1868"/>
      <c r="AH308" s="1868"/>
      <c r="AI308" s="1868"/>
      <c r="AJ308" s="1868"/>
      <c r="AK308" s="1868"/>
      <c r="AL308" s="1868"/>
      <c r="AM308" s="1868"/>
      <c r="AN308" s="1868"/>
      <c r="AO308" s="1868"/>
      <c r="AP308" s="1868"/>
      <c r="AQ308" s="1868"/>
      <c r="AR308" s="1868"/>
      <c r="AS308" s="1868"/>
      <c r="AT308" s="1868"/>
      <c r="AU308" s="1868"/>
      <c r="AV308" s="1868"/>
      <c r="AW308" s="1868"/>
      <c r="AX308" s="1868"/>
      <c r="AY308" s="1868"/>
      <c r="AZ308" s="1868"/>
      <c r="BA308" s="1868"/>
      <c r="BB308" s="1868"/>
      <c r="BC308" s="1868"/>
      <c r="BD308" s="1868"/>
      <c r="BE308" s="1868"/>
      <c r="BF308" s="1868"/>
      <c r="BG308" s="1868"/>
      <c r="BH308" s="1868"/>
      <c r="BI308" s="1868"/>
      <c r="BJ308" s="1868"/>
      <c r="BK308" s="1868"/>
      <c r="BL308" s="1868"/>
      <c r="BM308" s="1868"/>
      <c r="BN308" s="1868"/>
      <c r="BO308" s="1868"/>
      <c r="BP308" s="1862"/>
    </row>
    <row r="309" spans="1:68" ht="21" customHeight="1">
      <c r="A309" s="1842">
        <v>166</v>
      </c>
      <c r="B309" s="1967"/>
      <c r="C309" s="1934" t="s">
        <v>1134</v>
      </c>
      <c r="D309" s="1919" t="s">
        <v>1163</v>
      </c>
      <c r="E309" s="1899" t="s">
        <v>1136</v>
      </c>
      <c r="F309" s="1863"/>
      <c r="G309" s="1225" t="s">
        <v>1125</v>
      </c>
      <c r="H309" s="1867"/>
      <c r="I309" s="1867"/>
      <c r="J309" s="1867"/>
      <c r="K309" s="1867"/>
      <c r="L309" s="1851">
        <f t="shared" ca="1" si="156"/>
        <v>0</v>
      </c>
      <c r="M309" s="1851">
        <f t="shared" ca="1" si="156"/>
        <v>0</v>
      </c>
      <c r="N309" s="1851">
        <f t="shared" ca="1" si="156"/>
        <v>0</v>
      </c>
      <c r="O309" s="1851">
        <f t="shared" ca="1" si="156"/>
        <v>0</v>
      </c>
      <c r="P309" s="1888">
        <f t="shared" ca="1" si="155"/>
        <v>0</v>
      </c>
      <c r="Q309" s="1888">
        <f t="shared" ca="1" si="155"/>
        <v>0</v>
      </c>
      <c r="R309" s="1888">
        <f t="shared" ca="1" si="155"/>
        <v>0</v>
      </c>
      <c r="S309" s="1888">
        <f t="shared" ca="1" si="155"/>
        <v>0</v>
      </c>
      <c r="T309" s="1888">
        <f t="shared" ca="1" si="155"/>
        <v>0</v>
      </c>
      <c r="U309" s="1888">
        <f t="shared" ca="1" si="155"/>
        <v>0</v>
      </c>
      <c r="V309" s="1888">
        <f t="shared" ca="1" si="155"/>
        <v>0</v>
      </c>
      <c r="W309" s="1888">
        <f t="shared" ca="1" si="155"/>
        <v>0</v>
      </c>
      <c r="X309" s="1868"/>
      <c r="Y309" s="1868"/>
      <c r="Z309" s="1868"/>
      <c r="AA309" s="1868"/>
      <c r="AB309" s="1868"/>
      <c r="AC309" s="1868"/>
      <c r="AD309" s="1868"/>
      <c r="AE309" s="1868"/>
      <c r="AF309" s="1868"/>
      <c r="AG309" s="1868"/>
      <c r="AH309" s="1868"/>
      <c r="AI309" s="1868"/>
      <c r="AJ309" s="1868"/>
      <c r="AK309" s="1868"/>
      <c r="AL309" s="1868"/>
      <c r="AM309" s="1868"/>
      <c r="AN309" s="1868"/>
      <c r="AO309" s="1868"/>
      <c r="AP309" s="1868"/>
      <c r="AQ309" s="1868"/>
      <c r="AR309" s="1868"/>
      <c r="AS309" s="1868"/>
      <c r="AT309" s="1868"/>
      <c r="AU309" s="1868"/>
      <c r="AV309" s="1868"/>
      <c r="AW309" s="1868"/>
      <c r="AX309" s="1868"/>
      <c r="AY309" s="1868"/>
      <c r="AZ309" s="1868"/>
      <c r="BA309" s="1868"/>
      <c r="BB309" s="1868"/>
      <c r="BC309" s="1868"/>
      <c r="BD309" s="1868"/>
      <c r="BE309" s="1868"/>
      <c r="BF309" s="1868"/>
      <c r="BG309" s="1868"/>
      <c r="BH309" s="1868"/>
      <c r="BI309" s="1868"/>
      <c r="BJ309" s="1868"/>
      <c r="BK309" s="1868"/>
      <c r="BL309" s="1868"/>
      <c r="BM309" s="1868"/>
      <c r="BN309" s="1868"/>
      <c r="BO309" s="1868"/>
      <c r="BP309" s="1862"/>
    </row>
    <row r="310" spans="1:68" ht="21">
      <c r="A310" s="1842"/>
      <c r="B310" s="1967"/>
      <c r="C310" s="1936"/>
      <c r="D310" s="1924"/>
      <c r="E310" s="1899" t="s">
        <v>1137</v>
      </c>
      <c r="F310" s="1863"/>
      <c r="G310" s="1225" t="s">
        <v>1109</v>
      </c>
      <c r="H310" s="1867"/>
      <c r="I310" s="1867"/>
      <c r="J310" s="1867"/>
      <c r="K310" s="1867"/>
      <c r="L310" s="1851">
        <f t="shared" ca="1" si="156"/>
        <v>0</v>
      </c>
      <c r="M310" s="1851">
        <f t="shared" ca="1" si="156"/>
        <v>0</v>
      </c>
      <c r="N310" s="1851">
        <f t="shared" ca="1" si="156"/>
        <v>0</v>
      </c>
      <c r="O310" s="1851">
        <f t="shared" ca="1" si="156"/>
        <v>0</v>
      </c>
      <c r="P310" s="1888">
        <f t="shared" ca="1" si="155"/>
        <v>0</v>
      </c>
      <c r="Q310" s="1888">
        <f t="shared" ca="1" si="155"/>
        <v>0</v>
      </c>
      <c r="R310" s="1888">
        <f t="shared" ca="1" si="155"/>
        <v>0</v>
      </c>
      <c r="S310" s="1888">
        <f t="shared" ca="1" si="155"/>
        <v>0</v>
      </c>
      <c r="T310" s="1888">
        <f t="shared" ca="1" si="155"/>
        <v>0</v>
      </c>
      <c r="U310" s="1888">
        <f t="shared" ca="1" si="155"/>
        <v>0</v>
      </c>
      <c r="V310" s="1888">
        <f t="shared" ca="1" si="155"/>
        <v>0</v>
      </c>
      <c r="W310" s="1888">
        <f t="shared" ca="1" si="155"/>
        <v>0</v>
      </c>
      <c r="X310" s="1868"/>
      <c r="Y310" s="1868"/>
      <c r="Z310" s="1868"/>
      <c r="AA310" s="1868"/>
      <c r="AB310" s="1868"/>
      <c r="AC310" s="1868"/>
      <c r="AD310" s="1868"/>
      <c r="AE310" s="1868"/>
      <c r="AF310" s="1868"/>
      <c r="AG310" s="1868"/>
      <c r="AH310" s="1868"/>
      <c r="AI310" s="1868"/>
      <c r="AJ310" s="1868"/>
      <c r="AK310" s="1868"/>
      <c r="AL310" s="1868"/>
      <c r="AM310" s="1868"/>
      <c r="AN310" s="1868"/>
      <c r="AO310" s="1868"/>
      <c r="AP310" s="1868"/>
      <c r="AQ310" s="1868"/>
      <c r="AR310" s="1868"/>
      <c r="AS310" s="1868"/>
      <c r="AT310" s="1868"/>
      <c r="AU310" s="1868"/>
      <c r="AV310" s="1868"/>
      <c r="AW310" s="1868"/>
      <c r="AX310" s="1868"/>
      <c r="AY310" s="1868"/>
      <c r="AZ310" s="1868"/>
      <c r="BA310" s="1868"/>
      <c r="BB310" s="1868"/>
      <c r="BC310" s="1868"/>
      <c r="BD310" s="1868"/>
      <c r="BE310" s="1868"/>
      <c r="BF310" s="1868"/>
      <c r="BG310" s="1868"/>
      <c r="BH310" s="1868"/>
      <c r="BI310" s="1868"/>
      <c r="BJ310" s="1868"/>
      <c r="BK310" s="1868"/>
      <c r="BL310" s="1868"/>
      <c r="BM310" s="1868"/>
      <c r="BN310" s="1868"/>
      <c r="BO310" s="1868"/>
      <c r="BP310" s="1862"/>
    </row>
    <row r="311" spans="1:68">
      <c r="A311" s="1842">
        <v>167</v>
      </c>
      <c r="B311" s="1967"/>
      <c r="C311" s="1936"/>
      <c r="D311" s="1919" t="s">
        <v>1164</v>
      </c>
      <c r="E311" s="1899" t="s">
        <v>1136</v>
      </c>
      <c r="F311" s="1863"/>
      <c r="G311" s="1225" t="s">
        <v>1125</v>
      </c>
      <c r="H311" s="1867"/>
      <c r="I311" s="1867"/>
      <c r="J311" s="1867"/>
      <c r="K311" s="1867"/>
      <c r="L311" s="1851">
        <f t="shared" ca="1" si="156"/>
        <v>0</v>
      </c>
      <c r="M311" s="1851">
        <f t="shared" ca="1" si="156"/>
        <v>0</v>
      </c>
      <c r="N311" s="1851">
        <f t="shared" ca="1" si="156"/>
        <v>0</v>
      </c>
      <c r="O311" s="1851">
        <f t="shared" ca="1" si="156"/>
        <v>0</v>
      </c>
      <c r="P311" s="1888">
        <f t="shared" ca="1" si="155"/>
        <v>0</v>
      </c>
      <c r="Q311" s="1888">
        <f t="shared" ca="1" si="155"/>
        <v>0</v>
      </c>
      <c r="R311" s="1888">
        <f t="shared" ca="1" si="155"/>
        <v>0</v>
      </c>
      <c r="S311" s="1888">
        <f t="shared" ca="1" si="155"/>
        <v>0</v>
      </c>
      <c r="T311" s="1888">
        <f t="shared" ca="1" si="155"/>
        <v>0</v>
      </c>
      <c r="U311" s="1888">
        <f t="shared" ca="1" si="155"/>
        <v>0</v>
      </c>
      <c r="V311" s="1888">
        <f t="shared" ca="1" si="155"/>
        <v>0</v>
      </c>
      <c r="W311" s="1888">
        <f t="shared" ca="1" si="155"/>
        <v>0</v>
      </c>
      <c r="X311" s="1868"/>
      <c r="Y311" s="1868"/>
      <c r="Z311" s="1868"/>
      <c r="AA311" s="1868"/>
      <c r="AB311" s="1868"/>
      <c r="AC311" s="1868"/>
      <c r="AD311" s="1868"/>
      <c r="AE311" s="1868"/>
      <c r="AF311" s="1868"/>
      <c r="AG311" s="1868"/>
      <c r="AH311" s="1868"/>
      <c r="AI311" s="1868"/>
      <c r="AJ311" s="1868"/>
      <c r="AK311" s="1868"/>
      <c r="AL311" s="1868"/>
      <c r="AM311" s="1868"/>
      <c r="AN311" s="1868"/>
      <c r="AO311" s="1868"/>
      <c r="AP311" s="1868"/>
      <c r="AQ311" s="1868"/>
      <c r="AR311" s="1868"/>
      <c r="AS311" s="1868"/>
      <c r="AT311" s="1868"/>
      <c r="AU311" s="1868"/>
      <c r="AV311" s="1868"/>
      <c r="AW311" s="1868"/>
      <c r="AX311" s="1868"/>
      <c r="AY311" s="1868"/>
      <c r="AZ311" s="1868"/>
      <c r="BA311" s="1868"/>
      <c r="BB311" s="1868"/>
      <c r="BC311" s="1868"/>
      <c r="BD311" s="1868"/>
      <c r="BE311" s="1868"/>
      <c r="BF311" s="1868"/>
      <c r="BG311" s="1868"/>
      <c r="BH311" s="1868"/>
      <c r="BI311" s="1868"/>
      <c r="BJ311" s="1868"/>
      <c r="BK311" s="1868"/>
      <c r="BL311" s="1868"/>
      <c r="BM311" s="1868"/>
      <c r="BN311" s="1868"/>
      <c r="BO311" s="1868"/>
      <c r="BP311" s="1862"/>
    </row>
    <row r="312" spans="1:68" ht="21">
      <c r="A312" s="1842"/>
      <c r="B312" s="1967"/>
      <c r="C312" s="1936"/>
      <c r="D312" s="1924"/>
      <c r="E312" s="1899" t="s">
        <v>1137</v>
      </c>
      <c r="F312" s="1863"/>
      <c r="G312" s="1225" t="s">
        <v>1109</v>
      </c>
      <c r="H312" s="1867"/>
      <c r="I312" s="1867"/>
      <c r="J312" s="1867"/>
      <c r="K312" s="1867"/>
      <c r="L312" s="1851">
        <f t="shared" ca="1" si="156"/>
        <v>0</v>
      </c>
      <c r="M312" s="1851">
        <f t="shared" ca="1" si="156"/>
        <v>0</v>
      </c>
      <c r="N312" s="1851">
        <f t="shared" ca="1" si="156"/>
        <v>0</v>
      </c>
      <c r="O312" s="1851">
        <f t="shared" ca="1" si="156"/>
        <v>0</v>
      </c>
      <c r="P312" s="1888">
        <f t="shared" ca="1" si="155"/>
        <v>0</v>
      </c>
      <c r="Q312" s="1888">
        <f t="shared" ca="1" si="155"/>
        <v>0</v>
      </c>
      <c r="R312" s="1888">
        <f t="shared" ca="1" si="155"/>
        <v>0</v>
      </c>
      <c r="S312" s="1888">
        <f t="shared" ca="1" si="155"/>
        <v>0</v>
      </c>
      <c r="T312" s="1888">
        <f t="shared" ca="1" si="155"/>
        <v>0</v>
      </c>
      <c r="U312" s="1888">
        <f t="shared" ca="1" si="155"/>
        <v>0</v>
      </c>
      <c r="V312" s="1888">
        <f t="shared" ca="1" si="155"/>
        <v>0</v>
      </c>
      <c r="W312" s="1888">
        <f t="shared" ca="1" si="155"/>
        <v>0</v>
      </c>
      <c r="X312" s="1868"/>
      <c r="Y312" s="1868"/>
      <c r="Z312" s="1868"/>
      <c r="AA312" s="1868"/>
      <c r="AB312" s="1868"/>
      <c r="AC312" s="1868"/>
      <c r="AD312" s="1868"/>
      <c r="AE312" s="1868"/>
      <c r="AF312" s="1868"/>
      <c r="AG312" s="1868"/>
      <c r="AH312" s="1868"/>
      <c r="AI312" s="1868"/>
      <c r="AJ312" s="1868"/>
      <c r="AK312" s="1868"/>
      <c r="AL312" s="1868"/>
      <c r="AM312" s="1868"/>
      <c r="AN312" s="1868"/>
      <c r="AO312" s="1868"/>
      <c r="AP312" s="1868"/>
      <c r="AQ312" s="1868"/>
      <c r="AR312" s="1868"/>
      <c r="AS312" s="1868"/>
      <c r="AT312" s="1868"/>
      <c r="AU312" s="1868"/>
      <c r="AV312" s="1868"/>
      <c r="AW312" s="1868"/>
      <c r="AX312" s="1868"/>
      <c r="AY312" s="1868"/>
      <c r="AZ312" s="1868"/>
      <c r="BA312" s="1868"/>
      <c r="BB312" s="1868"/>
      <c r="BC312" s="1868"/>
      <c r="BD312" s="1868"/>
      <c r="BE312" s="1868"/>
      <c r="BF312" s="1868"/>
      <c r="BG312" s="1868"/>
      <c r="BH312" s="1868"/>
      <c r="BI312" s="1868"/>
      <c r="BJ312" s="1868"/>
      <c r="BK312" s="1868"/>
      <c r="BL312" s="1868"/>
      <c r="BM312" s="1868"/>
      <c r="BN312" s="1868"/>
      <c r="BO312" s="1868"/>
      <c r="BP312" s="1862"/>
    </row>
    <row r="313" spans="1:68">
      <c r="A313" s="1842">
        <v>168</v>
      </c>
      <c r="B313" s="1967"/>
      <c r="C313" s="1936"/>
      <c r="D313" s="1919" t="s">
        <v>1165</v>
      </c>
      <c r="E313" s="1899" t="s">
        <v>1136</v>
      </c>
      <c r="F313" s="1863"/>
      <c r="G313" s="1225" t="s">
        <v>1125</v>
      </c>
      <c r="H313" s="1867"/>
      <c r="I313" s="1867"/>
      <c r="J313" s="1867"/>
      <c r="K313" s="1867"/>
      <c r="L313" s="1851">
        <f t="shared" ca="1" si="156"/>
        <v>0</v>
      </c>
      <c r="M313" s="1851">
        <f t="shared" ca="1" si="156"/>
        <v>0</v>
      </c>
      <c r="N313" s="1851">
        <f t="shared" ca="1" si="156"/>
        <v>0</v>
      </c>
      <c r="O313" s="1851">
        <f t="shared" ca="1" si="156"/>
        <v>0</v>
      </c>
      <c r="P313" s="1888">
        <f t="shared" ca="1" si="155"/>
        <v>0</v>
      </c>
      <c r="Q313" s="1888">
        <f t="shared" ca="1" si="155"/>
        <v>0</v>
      </c>
      <c r="R313" s="1888">
        <f t="shared" ca="1" si="155"/>
        <v>0</v>
      </c>
      <c r="S313" s="1888">
        <f t="shared" ca="1" si="155"/>
        <v>0</v>
      </c>
      <c r="T313" s="1888">
        <f t="shared" ca="1" si="155"/>
        <v>0</v>
      </c>
      <c r="U313" s="1888">
        <f t="shared" ca="1" si="155"/>
        <v>0</v>
      </c>
      <c r="V313" s="1888">
        <f t="shared" ca="1" si="155"/>
        <v>0</v>
      </c>
      <c r="W313" s="1888">
        <f t="shared" ca="1" si="155"/>
        <v>0</v>
      </c>
      <c r="X313" s="1868"/>
      <c r="Y313" s="1868"/>
      <c r="Z313" s="1868"/>
      <c r="AA313" s="1868"/>
      <c r="AB313" s="1868"/>
      <c r="AC313" s="1868"/>
      <c r="AD313" s="1868"/>
      <c r="AE313" s="1868"/>
      <c r="AF313" s="1868"/>
      <c r="AG313" s="1868"/>
      <c r="AH313" s="1868"/>
      <c r="AI313" s="1868"/>
      <c r="AJ313" s="1868"/>
      <c r="AK313" s="1868"/>
      <c r="AL313" s="1868"/>
      <c r="AM313" s="1868"/>
      <c r="AN313" s="1868"/>
      <c r="AO313" s="1868"/>
      <c r="AP313" s="1868"/>
      <c r="AQ313" s="1868"/>
      <c r="AR313" s="1868"/>
      <c r="AS313" s="1868"/>
      <c r="AT313" s="1868"/>
      <c r="AU313" s="1868"/>
      <c r="AV313" s="1868"/>
      <c r="AW313" s="1868"/>
      <c r="AX313" s="1868"/>
      <c r="AY313" s="1868"/>
      <c r="AZ313" s="1868"/>
      <c r="BA313" s="1868"/>
      <c r="BB313" s="1868"/>
      <c r="BC313" s="1868"/>
      <c r="BD313" s="1868"/>
      <c r="BE313" s="1868"/>
      <c r="BF313" s="1868"/>
      <c r="BG313" s="1868"/>
      <c r="BH313" s="1868"/>
      <c r="BI313" s="1868"/>
      <c r="BJ313" s="1868"/>
      <c r="BK313" s="1868"/>
      <c r="BL313" s="1868"/>
      <c r="BM313" s="1868"/>
      <c r="BN313" s="1868"/>
      <c r="BO313" s="1868"/>
      <c r="BP313" s="1862"/>
    </row>
    <row r="314" spans="1:68" ht="21">
      <c r="A314" s="1842"/>
      <c r="B314" s="1967"/>
      <c r="C314" s="1936"/>
      <c r="D314" s="1924"/>
      <c r="E314" s="1899" t="s">
        <v>1137</v>
      </c>
      <c r="F314" s="1863"/>
      <c r="G314" s="1225" t="s">
        <v>1109</v>
      </c>
      <c r="H314" s="1867"/>
      <c r="I314" s="1867"/>
      <c r="J314" s="1867"/>
      <c r="K314" s="1867"/>
      <c r="L314" s="1851">
        <f t="shared" ca="1" si="156"/>
        <v>0</v>
      </c>
      <c r="M314" s="1851">
        <f t="shared" ca="1" si="156"/>
        <v>0</v>
      </c>
      <c r="N314" s="1851">
        <f t="shared" ca="1" si="156"/>
        <v>0</v>
      </c>
      <c r="O314" s="1851">
        <f t="shared" ca="1" si="156"/>
        <v>0</v>
      </c>
      <c r="P314" s="1888">
        <f t="shared" ca="1" si="155"/>
        <v>0</v>
      </c>
      <c r="Q314" s="1888">
        <f t="shared" ca="1" si="155"/>
        <v>0</v>
      </c>
      <c r="R314" s="1888">
        <f t="shared" ca="1" si="155"/>
        <v>0</v>
      </c>
      <c r="S314" s="1888">
        <f t="shared" ca="1" si="155"/>
        <v>0</v>
      </c>
      <c r="T314" s="1888">
        <f t="shared" ca="1" si="155"/>
        <v>0</v>
      </c>
      <c r="U314" s="1888">
        <f t="shared" ca="1" si="155"/>
        <v>0</v>
      </c>
      <c r="V314" s="1888">
        <f t="shared" ca="1" si="155"/>
        <v>0</v>
      </c>
      <c r="W314" s="1888">
        <f t="shared" ca="1" si="155"/>
        <v>0</v>
      </c>
      <c r="X314" s="1868"/>
      <c r="Y314" s="1868"/>
      <c r="Z314" s="1868"/>
      <c r="AA314" s="1868"/>
      <c r="AB314" s="1868"/>
      <c r="AC314" s="1868"/>
      <c r="AD314" s="1868"/>
      <c r="AE314" s="1868"/>
      <c r="AF314" s="1868"/>
      <c r="AG314" s="1868"/>
      <c r="AH314" s="1868"/>
      <c r="AI314" s="1868"/>
      <c r="AJ314" s="1868"/>
      <c r="AK314" s="1868"/>
      <c r="AL314" s="1868"/>
      <c r="AM314" s="1868"/>
      <c r="AN314" s="1868"/>
      <c r="AO314" s="1868"/>
      <c r="AP314" s="1868"/>
      <c r="AQ314" s="1868"/>
      <c r="AR314" s="1868"/>
      <c r="AS314" s="1868"/>
      <c r="AT314" s="1868"/>
      <c r="AU314" s="1868"/>
      <c r="AV314" s="1868"/>
      <c r="AW314" s="1868"/>
      <c r="AX314" s="1868"/>
      <c r="AY314" s="1868"/>
      <c r="AZ314" s="1868"/>
      <c r="BA314" s="1868"/>
      <c r="BB314" s="1868"/>
      <c r="BC314" s="1868"/>
      <c r="BD314" s="1868"/>
      <c r="BE314" s="1868"/>
      <c r="BF314" s="1868"/>
      <c r="BG314" s="1868"/>
      <c r="BH314" s="1868"/>
      <c r="BI314" s="1868"/>
      <c r="BJ314" s="1868"/>
      <c r="BK314" s="1868"/>
      <c r="BL314" s="1868"/>
      <c r="BM314" s="1868"/>
      <c r="BN314" s="1868"/>
      <c r="BO314" s="1868"/>
      <c r="BP314" s="1862"/>
    </row>
    <row r="315" spans="1:68">
      <c r="A315" s="1842"/>
      <c r="B315" s="1967"/>
      <c r="C315" s="1936"/>
      <c r="D315" s="1939" t="s">
        <v>992</v>
      </c>
      <c r="E315" s="1899" t="s">
        <v>1136</v>
      </c>
      <c r="F315" s="1863" t="s">
        <v>1178</v>
      </c>
      <c r="G315" s="1225" t="s">
        <v>1125</v>
      </c>
      <c r="H315" s="1867"/>
      <c r="I315" s="1867"/>
      <c r="J315" s="1867"/>
      <c r="K315" s="1867"/>
      <c r="L315" s="1851">
        <f t="shared" ca="1" si="156"/>
        <v>0</v>
      </c>
      <c r="M315" s="1851">
        <f t="shared" ca="1" si="156"/>
        <v>0</v>
      </c>
      <c r="N315" s="1851">
        <f t="shared" ca="1" si="156"/>
        <v>0</v>
      </c>
      <c r="O315" s="1851">
        <f t="shared" ca="1" si="156"/>
        <v>0</v>
      </c>
      <c r="P315" s="1888">
        <f t="shared" ca="1" si="155"/>
        <v>0</v>
      </c>
      <c r="Q315" s="1888">
        <f t="shared" ca="1" si="155"/>
        <v>0</v>
      </c>
      <c r="R315" s="1888">
        <f t="shared" ca="1" si="155"/>
        <v>0</v>
      </c>
      <c r="S315" s="1888">
        <f t="shared" ca="1" si="155"/>
        <v>0</v>
      </c>
      <c r="T315" s="1888">
        <f t="shared" ca="1" si="155"/>
        <v>0</v>
      </c>
      <c r="U315" s="1888">
        <f t="shared" ca="1" si="155"/>
        <v>0</v>
      </c>
      <c r="V315" s="1888">
        <f t="shared" ca="1" si="155"/>
        <v>0</v>
      </c>
      <c r="W315" s="1888">
        <f t="shared" ca="1" si="155"/>
        <v>0</v>
      </c>
      <c r="X315" s="1868"/>
      <c r="Y315" s="1868"/>
      <c r="Z315" s="1868"/>
      <c r="AA315" s="1868"/>
      <c r="AB315" s="1868"/>
      <c r="AC315" s="1868"/>
      <c r="AD315" s="1868"/>
      <c r="AE315" s="1868"/>
      <c r="AF315" s="1868"/>
      <c r="AG315" s="1868"/>
      <c r="AH315" s="1868"/>
      <c r="AI315" s="1868"/>
      <c r="AJ315" s="1868"/>
      <c r="AK315" s="1868"/>
      <c r="AL315" s="1868"/>
      <c r="AM315" s="1868"/>
      <c r="AN315" s="1868"/>
      <c r="AO315" s="1868"/>
      <c r="AP315" s="1868"/>
      <c r="AQ315" s="1868"/>
      <c r="AR315" s="1868"/>
      <c r="AS315" s="1868"/>
      <c r="AT315" s="1868"/>
      <c r="AU315" s="1868"/>
      <c r="AV315" s="1868"/>
      <c r="AW315" s="1868"/>
      <c r="AX315" s="1868"/>
      <c r="AY315" s="1868"/>
      <c r="AZ315" s="1868"/>
      <c r="BA315" s="1868"/>
      <c r="BB315" s="1868"/>
      <c r="BC315" s="1868"/>
      <c r="BD315" s="1868"/>
      <c r="BE315" s="1868"/>
      <c r="BF315" s="1868"/>
      <c r="BG315" s="1868"/>
      <c r="BH315" s="1868"/>
      <c r="BI315" s="1868"/>
      <c r="BJ315" s="1868"/>
      <c r="BK315" s="1868"/>
      <c r="BL315" s="1868"/>
      <c r="BM315" s="1868"/>
      <c r="BN315" s="1868"/>
      <c r="BO315" s="1868"/>
      <c r="BP315" s="1862"/>
    </row>
    <row r="316" spans="1:68" ht="21">
      <c r="A316" s="1842"/>
      <c r="B316" s="1967"/>
      <c r="C316" s="1940"/>
      <c r="D316" s="1941"/>
      <c r="E316" s="1899" t="s">
        <v>1137</v>
      </c>
      <c r="F316" s="1863" t="s">
        <v>1179</v>
      </c>
      <c r="G316" s="1225" t="s">
        <v>1109</v>
      </c>
      <c r="H316" s="1867"/>
      <c r="I316" s="1867"/>
      <c r="J316" s="1867"/>
      <c r="K316" s="1867"/>
      <c r="L316" s="1851">
        <f t="shared" ca="1" si="156"/>
        <v>0</v>
      </c>
      <c r="M316" s="1851">
        <f t="shared" ca="1" si="156"/>
        <v>0</v>
      </c>
      <c r="N316" s="1851">
        <f t="shared" ca="1" si="156"/>
        <v>0</v>
      </c>
      <c r="O316" s="1851">
        <f t="shared" ca="1" si="156"/>
        <v>0</v>
      </c>
      <c r="P316" s="1888">
        <f t="shared" ref="P316:W316" ca="1" si="157">P271</f>
        <v>0</v>
      </c>
      <c r="Q316" s="1888">
        <f t="shared" ca="1" si="157"/>
        <v>0</v>
      </c>
      <c r="R316" s="1888">
        <f t="shared" ca="1" si="157"/>
        <v>0</v>
      </c>
      <c r="S316" s="1888">
        <f t="shared" ca="1" si="157"/>
        <v>0</v>
      </c>
      <c r="T316" s="1888">
        <f t="shared" ca="1" si="157"/>
        <v>0</v>
      </c>
      <c r="U316" s="1888">
        <f t="shared" ca="1" si="157"/>
        <v>0</v>
      </c>
      <c r="V316" s="1888">
        <f t="shared" ca="1" si="157"/>
        <v>0</v>
      </c>
      <c r="W316" s="1888">
        <f t="shared" ca="1" si="157"/>
        <v>0</v>
      </c>
      <c r="X316" s="1868"/>
      <c r="Y316" s="1868"/>
      <c r="Z316" s="1868"/>
      <c r="AA316" s="1868"/>
      <c r="AB316" s="1868"/>
      <c r="AC316" s="1868"/>
      <c r="AD316" s="1868"/>
      <c r="AE316" s="1868"/>
      <c r="AF316" s="1868"/>
      <c r="AG316" s="1868"/>
      <c r="AH316" s="1868"/>
      <c r="AI316" s="1868"/>
      <c r="AJ316" s="1868"/>
      <c r="AK316" s="1868"/>
      <c r="AL316" s="1868"/>
      <c r="AM316" s="1868"/>
      <c r="AN316" s="1868"/>
      <c r="AO316" s="1868"/>
      <c r="AP316" s="1868"/>
      <c r="AQ316" s="1868"/>
      <c r="AR316" s="1868"/>
      <c r="AS316" s="1868"/>
      <c r="AT316" s="1868"/>
      <c r="AU316" s="1868"/>
      <c r="AV316" s="1868"/>
      <c r="AW316" s="1868"/>
      <c r="AX316" s="1868"/>
      <c r="AY316" s="1868"/>
      <c r="AZ316" s="1868"/>
      <c r="BA316" s="1868"/>
      <c r="BB316" s="1868"/>
      <c r="BC316" s="1868"/>
      <c r="BD316" s="1868"/>
      <c r="BE316" s="1868"/>
      <c r="BF316" s="1868"/>
      <c r="BG316" s="1868"/>
      <c r="BH316" s="1868"/>
      <c r="BI316" s="1868"/>
      <c r="BJ316" s="1868"/>
      <c r="BK316" s="1868"/>
      <c r="BL316" s="1868"/>
      <c r="BM316" s="1868"/>
      <c r="BN316" s="1868"/>
      <c r="BO316" s="1868"/>
      <c r="BP316" s="1862"/>
    </row>
    <row r="317" spans="1:68" ht="21">
      <c r="A317" s="1842"/>
      <c r="B317" s="1967"/>
      <c r="C317" s="1929" t="s">
        <v>1158</v>
      </c>
      <c r="D317" s="1942"/>
      <c r="E317" s="1900"/>
      <c r="F317" s="1863"/>
      <c r="G317" s="1225" t="s">
        <v>1109</v>
      </c>
      <c r="H317" s="1867"/>
      <c r="I317" s="1867"/>
      <c r="J317" s="1867"/>
      <c r="K317" s="1867"/>
      <c r="L317" s="1851">
        <f t="shared" ref="L317:W317" ca="1" si="158">IF(L298+L303+L316&gt;=L295,L295,L298+L303+L316)</f>
        <v>0</v>
      </c>
      <c r="M317" s="1851">
        <f t="shared" ca="1" si="158"/>
        <v>0</v>
      </c>
      <c r="N317" s="1851">
        <f t="shared" ca="1" si="158"/>
        <v>0</v>
      </c>
      <c r="O317" s="1851">
        <f t="shared" ca="1" si="158"/>
        <v>0</v>
      </c>
      <c r="P317" s="1851">
        <f t="shared" ca="1" si="158"/>
        <v>0</v>
      </c>
      <c r="Q317" s="1851">
        <f t="shared" ca="1" si="158"/>
        <v>0</v>
      </c>
      <c r="R317" s="1851">
        <f t="shared" ca="1" si="158"/>
        <v>0</v>
      </c>
      <c r="S317" s="1851">
        <f t="shared" ca="1" si="158"/>
        <v>0</v>
      </c>
      <c r="T317" s="1851">
        <f t="shared" ca="1" si="158"/>
        <v>0</v>
      </c>
      <c r="U317" s="1851">
        <f t="shared" ca="1" si="158"/>
        <v>0</v>
      </c>
      <c r="V317" s="1851">
        <f t="shared" ca="1" si="158"/>
        <v>0</v>
      </c>
      <c r="W317" s="1851">
        <f t="shared" ca="1" si="158"/>
        <v>0</v>
      </c>
      <c r="X317" s="1868"/>
      <c r="Y317" s="1868"/>
      <c r="Z317" s="1868"/>
      <c r="AA317" s="1868"/>
      <c r="AB317" s="1868"/>
      <c r="AC317" s="1868"/>
      <c r="AD317" s="1868"/>
      <c r="AE317" s="1868"/>
      <c r="AF317" s="1868"/>
      <c r="AG317" s="1868"/>
      <c r="AH317" s="1868"/>
      <c r="AI317" s="1868"/>
      <c r="AJ317" s="1868"/>
      <c r="AK317" s="1868"/>
      <c r="AL317" s="1868"/>
      <c r="AM317" s="1868"/>
      <c r="AN317" s="1868"/>
      <c r="AO317" s="1868"/>
      <c r="AP317" s="1868"/>
      <c r="AQ317" s="1868"/>
      <c r="AR317" s="1868"/>
      <c r="AS317" s="1868"/>
      <c r="AT317" s="1868"/>
      <c r="AU317" s="1868"/>
      <c r="AV317" s="1868"/>
      <c r="AW317" s="1868"/>
      <c r="AX317" s="1868"/>
      <c r="AY317" s="1868"/>
      <c r="AZ317" s="1868"/>
      <c r="BA317" s="1868"/>
      <c r="BB317" s="1868"/>
      <c r="BC317" s="1868"/>
      <c r="BD317" s="1868"/>
      <c r="BE317" s="1868"/>
      <c r="BF317" s="1868"/>
      <c r="BG317" s="1868"/>
      <c r="BH317" s="1868"/>
      <c r="BI317" s="1868"/>
      <c r="BJ317" s="1868"/>
      <c r="BK317" s="1868"/>
      <c r="BL317" s="1868"/>
      <c r="BM317" s="1868"/>
      <c r="BN317" s="1868"/>
      <c r="BO317" s="1868"/>
      <c r="BP317" s="1862"/>
    </row>
    <row r="318" spans="1:68" ht="21">
      <c r="A318" s="1842"/>
      <c r="B318" s="1890" t="s">
        <v>1096</v>
      </c>
      <c r="C318" s="1945"/>
      <c r="D318" s="1895"/>
      <c r="E318" s="1946" t="s">
        <v>1180</v>
      </c>
      <c r="F318" s="1887"/>
      <c r="G318" s="1225" t="s">
        <v>1109</v>
      </c>
      <c r="H318" s="1867"/>
      <c r="I318" s="1867"/>
      <c r="J318" s="1867"/>
      <c r="K318" s="1867"/>
      <c r="L318" s="1851">
        <f ca="1">IF(L294+L295-L296-L297-L300-L307-L308-L317&gt;0,ROUND(L294+L295-L296-L297-L300-L307-L308-L317,2-INT(LOG(L294+L295-L296-L297-L300-L307-L308-L317))),0)</f>
        <v>0</v>
      </c>
      <c r="M318" s="1851">
        <f t="shared" ref="M318:W318" ca="1" si="159">IF(M294+M295-M296-M297-M300-M307-M308-M317&gt;0,ROUND(M294+M295-M296-M297-M300-M307-M308-M317,2-INT(LOG(M294+M295-M296-M297-M300-M307-M308-M317))),0)</f>
        <v>0</v>
      </c>
      <c r="N318" s="1851">
        <f t="shared" ca="1" si="159"/>
        <v>0</v>
      </c>
      <c r="O318" s="1851">
        <f t="shared" ca="1" si="159"/>
        <v>0</v>
      </c>
      <c r="P318" s="1851">
        <f t="shared" ca="1" si="159"/>
        <v>0</v>
      </c>
      <c r="Q318" s="1851">
        <f t="shared" ca="1" si="159"/>
        <v>0</v>
      </c>
      <c r="R318" s="1851">
        <f t="shared" ca="1" si="159"/>
        <v>0</v>
      </c>
      <c r="S318" s="1851">
        <f t="shared" ca="1" si="159"/>
        <v>0</v>
      </c>
      <c r="T318" s="1851">
        <f t="shared" ca="1" si="159"/>
        <v>0</v>
      </c>
      <c r="U318" s="1851">
        <f t="shared" ca="1" si="159"/>
        <v>0</v>
      </c>
      <c r="V318" s="1851">
        <f t="shared" ca="1" si="159"/>
        <v>0</v>
      </c>
      <c r="W318" s="1851">
        <f t="shared" ca="1" si="159"/>
        <v>0</v>
      </c>
      <c r="X318" s="1868"/>
      <c r="Y318" s="1868"/>
      <c r="Z318" s="1868"/>
      <c r="AA318" s="1868"/>
      <c r="AB318" s="1868"/>
      <c r="AC318" s="1868"/>
      <c r="AD318" s="1868"/>
      <c r="AE318" s="1868"/>
      <c r="AF318" s="1868"/>
      <c r="AG318" s="1868"/>
      <c r="AH318" s="1868"/>
      <c r="AI318" s="1868"/>
      <c r="AJ318" s="1868"/>
      <c r="AK318" s="1868"/>
      <c r="AL318" s="1868"/>
      <c r="AM318" s="1868"/>
      <c r="AN318" s="1868"/>
      <c r="AO318" s="1868"/>
      <c r="AP318" s="1868"/>
      <c r="AQ318" s="1868"/>
      <c r="AR318" s="1868"/>
      <c r="AS318" s="1868"/>
      <c r="AT318" s="1868"/>
      <c r="AU318" s="1868"/>
      <c r="AV318" s="1868"/>
      <c r="AW318" s="1868"/>
      <c r="AX318" s="1868"/>
      <c r="AY318" s="1868"/>
      <c r="AZ318" s="1868"/>
      <c r="BA318" s="1868"/>
      <c r="BB318" s="1868"/>
      <c r="BC318" s="1868"/>
      <c r="BD318" s="1868"/>
      <c r="BE318" s="1868"/>
      <c r="BF318" s="1868"/>
      <c r="BG318" s="1868"/>
      <c r="BH318" s="1868"/>
      <c r="BI318" s="1868"/>
      <c r="BJ318" s="1868"/>
      <c r="BK318" s="1868"/>
      <c r="BL318" s="1868"/>
      <c r="BM318" s="1868"/>
      <c r="BN318" s="1868"/>
      <c r="BO318" s="1868"/>
      <c r="BP318" s="1862"/>
    </row>
    <row r="319" spans="1:68" ht="20.100000000000001" customHeight="1">
      <c r="A319" s="1838" t="s">
        <v>1181</v>
      </c>
      <c r="B319" s="1838" t="s">
        <v>1182</v>
      </c>
      <c r="C319" s="1839"/>
      <c r="D319" s="1839"/>
      <c r="E319" s="1839"/>
      <c r="F319" s="1839"/>
      <c r="G319" s="1840"/>
      <c r="H319" s="1840"/>
      <c r="I319" s="1840"/>
      <c r="J319" s="1840"/>
      <c r="K319" s="1840"/>
      <c r="L319" s="1840"/>
      <c r="M319" s="1840"/>
      <c r="N319" s="1840"/>
      <c r="O319" s="1840"/>
      <c r="P319" s="1840"/>
      <c r="Q319" s="1840"/>
      <c r="R319" s="1840"/>
      <c r="S319" s="1840"/>
      <c r="T319" s="1840"/>
      <c r="U319" s="1840"/>
      <c r="V319" s="1840"/>
      <c r="W319" s="1840"/>
      <c r="X319" s="1841"/>
      <c r="Y319" s="1841"/>
      <c r="Z319" s="1841"/>
      <c r="AA319" s="1841"/>
      <c r="AB319" s="1841"/>
      <c r="AC319" s="1841"/>
      <c r="AD319" s="1841"/>
      <c r="AE319" s="1841"/>
      <c r="AF319" s="1841"/>
      <c r="AG319" s="1841"/>
      <c r="AH319" s="1841"/>
      <c r="AI319" s="1841"/>
      <c r="AJ319" s="1841"/>
      <c r="AK319" s="1841"/>
      <c r="AL319" s="1841"/>
      <c r="AM319" s="1841"/>
      <c r="AN319" s="1841"/>
      <c r="AO319" s="1841"/>
      <c r="AP319" s="1841"/>
      <c r="AQ319" s="1841"/>
      <c r="AR319" s="1841"/>
      <c r="AS319" s="1841"/>
      <c r="AT319" s="1841"/>
      <c r="AU319" s="1841"/>
      <c r="AV319" s="1841"/>
      <c r="AW319" s="1841"/>
      <c r="AX319" s="1841"/>
      <c r="AY319" s="1841"/>
      <c r="AZ319" s="1841"/>
      <c r="BA319" s="1841"/>
      <c r="BB319" s="1841"/>
      <c r="BC319" s="1841"/>
      <c r="BD319" s="1841"/>
      <c r="BE319" s="1841"/>
      <c r="BF319" s="1841"/>
      <c r="BG319" s="1841"/>
      <c r="BH319" s="1841"/>
      <c r="BI319" s="1841"/>
      <c r="BJ319" s="1841"/>
      <c r="BK319" s="1841"/>
      <c r="BL319" s="1841"/>
      <c r="BM319" s="1841"/>
      <c r="BN319" s="1841"/>
      <c r="BO319" s="1841"/>
    </row>
    <row r="320" spans="1:68" ht="20.100000000000001" customHeight="1">
      <c r="A320" s="1842"/>
      <c r="B320" s="1838" t="s">
        <v>917</v>
      </c>
      <c r="C320" s="1839"/>
      <c r="D320" s="1839"/>
      <c r="E320" s="1839"/>
      <c r="F320" s="1839"/>
      <c r="G320" s="1840"/>
      <c r="H320" s="1840"/>
      <c r="I320" s="1840"/>
      <c r="J320" s="1840"/>
      <c r="K320" s="1840"/>
      <c r="L320" s="1840"/>
      <c r="M320" s="1840"/>
      <c r="N320" s="1840"/>
      <c r="O320" s="1840"/>
      <c r="P320" s="1840"/>
      <c r="Q320" s="1840"/>
      <c r="R320" s="1840"/>
      <c r="S320" s="1840"/>
      <c r="T320" s="1840"/>
      <c r="U320" s="1840"/>
      <c r="V320" s="1840"/>
      <c r="W320" s="1840"/>
      <c r="X320" s="1841"/>
      <c r="Y320" s="1841"/>
      <c r="Z320" s="1841"/>
      <c r="AA320" s="1841"/>
      <c r="AB320" s="1841"/>
      <c r="AC320" s="1841"/>
      <c r="AD320" s="1841"/>
      <c r="AE320" s="1841"/>
      <c r="AF320" s="1841"/>
      <c r="AG320" s="1841"/>
      <c r="AH320" s="1841"/>
      <c r="AI320" s="1841"/>
      <c r="AJ320" s="1841"/>
      <c r="AK320" s="1841"/>
      <c r="AL320" s="1841"/>
      <c r="AM320" s="1841"/>
      <c r="AN320" s="1841"/>
      <c r="AO320" s="1841"/>
      <c r="AP320" s="1841"/>
      <c r="AQ320" s="1841"/>
      <c r="AR320" s="1841"/>
      <c r="AS320" s="1841"/>
      <c r="AT320" s="1841"/>
      <c r="AU320" s="1841"/>
      <c r="AV320" s="1841"/>
      <c r="AW320" s="1841"/>
      <c r="AX320" s="1841"/>
      <c r="AY320" s="1841"/>
      <c r="AZ320" s="1841"/>
      <c r="BA320" s="1841"/>
      <c r="BB320" s="1841"/>
      <c r="BC320" s="1841"/>
      <c r="BD320" s="1841"/>
      <c r="BE320" s="1841"/>
      <c r="BF320" s="1841"/>
      <c r="BG320" s="1841"/>
      <c r="BH320" s="1841"/>
      <c r="BI320" s="1841"/>
      <c r="BJ320" s="1841"/>
      <c r="BK320" s="1841"/>
      <c r="BL320" s="1841"/>
      <c r="BM320" s="1841"/>
      <c r="BN320" s="1841"/>
      <c r="BO320" s="1841"/>
    </row>
    <row r="321" spans="1:67" ht="20.100000000000001" customHeight="1">
      <c r="A321" s="1845">
        <v>8</v>
      </c>
      <c r="B321" s="1846" t="s">
        <v>918</v>
      </c>
      <c r="C321" s="1847" t="s">
        <v>919</v>
      </c>
      <c r="D321" s="1848" t="s">
        <v>539</v>
      </c>
      <c r="E321" s="1848"/>
      <c r="F321" s="1849"/>
      <c r="G321" s="1225" t="s">
        <v>1109</v>
      </c>
      <c r="H321" s="1850">
        <f t="shared" ref="H321:H347" ca="1" si="160">IFERROR(OFFSET(貼付け_2024実績,$A321,6),"")</f>
        <v>1.9E-2</v>
      </c>
      <c r="I321" s="1850">
        <f t="shared" ref="I321:I347" ca="1" si="161">IFERROR(OFFSET(貼付け_2025実績,$A321,6),"")</f>
        <v>1.9E-2</v>
      </c>
      <c r="J321" s="1850">
        <f t="shared" ref="J321:J347" ca="1" si="162">IFERROR(OFFSET(貼付け_2026実績,$A321,6),"")</f>
        <v>1.9E-2</v>
      </c>
      <c r="K321" s="1850">
        <f t="shared" ref="K321:K347" ca="1" si="163">IFERROR(OFFSET(貼付け_2027実績,$A321,6),"")</f>
        <v>1.9E-2</v>
      </c>
      <c r="L321" s="1851">
        <f ca="1">IFERROR($H321*44/12*参考2_エネ使用量経年!$H171*(参考2_エネ使用量経年!L171+参考2_エネ使用量経年!L258),"")</f>
        <v>0</v>
      </c>
      <c r="M321" s="1851">
        <f ca="1">IFERROR($I321*44/12*参考2_エネ使用量経年!$I171*(参考2_エネ使用量経年!M171+参考2_エネ使用量経年!M258),"")</f>
        <v>0</v>
      </c>
      <c r="N321" s="1851">
        <f ca="1">IFERROR($J321*44/12*参考2_エネ使用量経年!$J171*(参考2_エネ使用量経年!N171+参考2_エネ使用量経年!N258),"")</f>
        <v>0</v>
      </c>
      <c r="O321" s="1851">
        <f ca="1">IFERROR($K321*44/12*参考2_エネ使用量経年!$K171*(参考2_エネ使用量経年!O171+参考2_エネ使用量経年!O258),"")</f>
        <v>0</v>
      </c>
      <c r="P321" s="1852">
        <f ca="1">IFERROR($H321*44/12*参考2_エネ使用量経年!$H171*(参考2_エネ使用量経年!P171+参考2_エネ使用量経年!P258),"")</f>
        <v>0</v>
      </c>
      <c r="Q321" s="1852">
        <f ca="1">IFERROR($I321*44/12*参考2_エネ使用量経年!$I171*(参考2_エネ使用量経年!Q171+参考2_エネ使用量経年!Q258),"")</f>
        <v>0</v>
      </c>
      <c r="R321" s="1852">
        <f ca="1">IFERROR($J321*44/12*参考2_エネ使用量経年!$J171*(参考2_エネ使用量経年!R171+参考2_エネ使用量経年!R258),"")</f>
        <v>0</v>
      </c>
      <c r="S321" s="1852">
        <f ca="1">IFERROR($K321*44/12*参考2_エネ使用量経年!$K171*(参考2_エネ使用量経年!S171+参考2_エネ使用量経年!S258),"")</f>
        <v>0</v>
      </c>
      <c r="T321" s="1851">
        <f ca="1">IFERROR($H321*44/12*参考2_エネ使用量経年!$H171*(参考2_エネ使用量経年!T171+参考2_エネ使用量経年!T258),"")</f>
        <v>0</v>
      </c>
      <c r="U321" s="1851">
        <f ca="1">IFERROR($I321*44/12*参考2_エネ使用量経年!$I171*(参考2_エネ使用量経年!U171+参考2_エネ使用量経年!U258),"")</f>
        <v>0</v>
      </c>
      <c r="V321" s="1851">
        <f ca="1">IFERROR($J321*44/12*参考2_エネ使用量経年!$J171*(参考2_エネ使用量経年!V171+参考2_エネ使用量経年!V258),"")</f>
        <v>0</v>
      </c>
      <c r="W321" s="1851">
        <f ca="1">IFERROR($K321*44/12*参考2_エネ使用量経年!$K171*(参考2_エネ使用量経年!W171+参考2_エネ使用量経年!W258),"")</f>
        <v>0</v>
      </c>
      <c r="X321" s="1853">
        <f ca="1">IFERROR($H321*44/12*参考2_エネ使用量経年!$H171*(参考2_エネ使用量経年!X171+参考2_エネ使用量経年!X258),"")</f>
        <v>0</v>
      </c>
      <c r="Y321" s="1853">
        <f ca="1">IFERROR($I321*44/12*参考2_エネ使用量経年!$I171*(参考2_エネ使用量経年!Y171+参考2_エネ使用量経年!Y258),"")</f>
        <v>0</v>
      </c>
      <c r="Z321" s="1853">
        <f ca="1">IFERROR($J321*44/12*参考2_エネ使用量経年!$J171*(参考2_エネ使用量経年!Z171+参考2_エネ使用量経年!Z258),"")</f>
        <v>0</v>
      </c>
      <c r="AA321" s="1853">
        <f ca="1">IFERROR($K321*44/12*参考2_エネ使用量経年!$K171*(参考2_エネ使用量経年!AA171+参考2_エネ使用量経年!AA258),"")</f>
        <v>0</v>
      </c>
      <c r="AB321" s="1853"/>
      <c r="AC321" s="1853"/>
      <c r="AD321" s="1853"/>
      <c r="AE321" s="1853"/>
      <c r="AF321" s="1853"/>
      <c r="AG321" s="1853"/>
      <c r="AH321" s="1853"/>
      <c r="AI321" s="1853"/>
      <c r="AJ321" s="1853"/>
      <c r="AK321" s="1853"/>
      <c r="AL321" s="1853"/>
      <c r="AM321" s="1853"/>
      <c r="AN321" s="1853"/>
      <c r="AO321" s="1853"/>
      <c r="AP321" s="1853"/>
      <c r="AQ321" s="1853"/>
      <c r="AR321" s="1853"/>
      <c r="AS321" s="1853"/>
      <c r="AT321" s="1853"/>
      <c r="AU321" s="1853"/>
      <c r="AV321" s="1853"/>
      <c r="AW321" s="1853"/>
      <c r="AX321" s="1853"/>
      <c r="AY321" s="1853"/>
      <c r="AZ321" s="1853"/>
      <c r="BA321" s="1853"/>
      <c r="BB321" s="1853"/>
      <c r="BC321" s="1853"/>
      <c r="BD321" s="1853"/>
      <c r="BE321" s="1853"/>
      <c r="BF321" s="1853"/>
      <c r="BG321" s="1853"/>
      <c r="BH321" s="1853"/>
      <c r="BI321" s="1853"/>
      <c r="BJ321" s="1853"/>
      <c r="BK321" s="1853"/>
      <c r="BL321" s="1853"/>
      <c r="BM321" s="1853"/>
      <c r="BN321" s="1853"/>
      <c r="BO321" s="1853"/>
    </row>
    <row r="322" spans="1:67" ht="20.100000000000001" customHeight="1">
      <c r="A322" s="1845">
        <v>9</v>
      </c>
      <c r="B322" s="1854"/>
      <c r="C322" s="1847"/>
      <c r="D322" s="1848" t="s">
        <v>920</v>
      </c>
      <c r="E322" s="1848"/>
      <c r="F322" s="1849"/>
      <c r="G322" s="1225" t="s">
        <v>1109</v>
      </c>
      <c r="H322" s="1850">
        <f t="shared" ca="1" si="160"/>
        <v>1.83E-2</v>
      </c>
      <c r="I322" s="1850">
        <f t="shared" ca="1" si="161"/>
        <v>1.83E-2</v>
      </c>
      <c r="J322" s="1850">
        <f t="shared" ca="1" si="162"/>
        <v>1.83E-2</v>
      </c>
      <c r="K322" s="1850">
        <f t="shared" ca="1" si="163"/>
        <v>1.83E-2</v>
      </c>
      <c r="L322" s="1851">
        <f ca="1">IFERROR($H322*44/12*参考2_エネ使用量経年!$H172*(参考2_エネ使用量経年!L172+参考2_エネ使用量経年!L259),"")</f>
        <v>0</v>
      </c>
      <c r="M322" s="1851">
        <f ca="1">IFERROR($I322*44/12*参考2_エネ使用量経年!$I172*(参考2_エネ使用量経年!M172+参考2_エネ使用量経年!M259),"")</f>
        <v>0</v>
      </c>
      <c r="N322" s="1851">
        <f ca="1">IFERROR($J322*44/12*参考2_エネ使用量経年!$J172*(参考2_エネ使用量経年!N172+参考2_エネ使用量経年!N259),"")</f>
        <v>0</v>
      </c>
      <c r="O322" s="1851">
        <f ca="1">IFERROR($K322*44/12*参考2_エネ使用量経年!$K172*(参考2_エネ使用量経年!O172+参考2_エネ使用量経年!O259),"")</f>
        <v>0</v>
      </c>
      <c r="P322" s="1852">
        <f ca="1">IFERROR($H322*44/12*参考2_エネ使用量経年!$H172*(参考2_エネ使用量経年!P172+参考2_エネ使用量経年!P259),"")</f>
        <v>0</v>
      </c>
      <c r="Q322" s="1852">
        <f ca="1">IFERROR($I322*44/12*参考2_エネ使用量経年!$I172*(参考2_エネ使用量経年!Q172+参考2_エネ使用量経年!Q259),"")</f>
        <v>0</v>
      </c>
      <c r="R322" s="1852">
        <f ca="1">IFERROR($J322*44/12*参考2_エネ使用量経年!$J172*(参考2_エネ使用量経年!R172+参考2_エネ使用量経年!R259),"")</f>
        <v>0</v>
      </c>
      <c r="S322" s="1852">
        <f ca="1">IFERROR($K322*44/12*参考2_エネ使用量経年!$K172*(参考2_エネ使用量経年!S172+参考2_エネ使用量経年!S259),"")</f>
        <v>0</v>
      </c>
      <c r="T322" s="1851">
        <f ca="1">IFERROR($H322*44/12*参考2_エネ使用量経年!$H172*(参考2_エネ使用量経年!T172+参考2_エネ使用量経年!T259),"")</f>
        <v>0</v>
      </c>
      <c r="U322" s="1851">
        <f ca="1">IFERROR($I322*44/12*参考2_エネ使用量経年!$I172*(参考2_エネ使用量経年!U172+参考2_エネ使用量経年!U259),"")</f>
        <v>0</v>
      </c>
      <c r="V322" s="1851">
        <f ca="1">IFERROR($J322*44/12*参考2_エネ使用量経年!$J172*(参考2_エネ使用量経年!V172+参考2_エネ使用量経年!V259),"")</f>
        <v>0</v>
      </c>
      <c r="W322" s="1851">
        <f ca="1">IFERROR($K322*44/12*参考2_エネ使用量経年!$K172*(参考2_エネ使用量経年!W172+参考2_エネ使用量経年!W259),"")</f>
        <v>0</v>
      </c>
      <c r="X322" s="1853">
        <f ca="1">IFERROR($H322*44/12*参考2_エネ使用量経年!$H172*(参考2_エネ使用量経年!X172+参考2_エネ使用量経年!X259),"")</f>
        <v>0</v>
      </c>
      <c r="Y322" s="1853">
        <f ca="1">IFERROR($I322*44/12*参考2_エネ使用量経年!$I172*(参考2_エネ使用量経年!Y172+参考2_エネ使用量経年!Y259),"")</f>
        <v>0</v>
      </c>
      <c r="Z322" s="1853">
        <f ca="1">IFERROR($J322*44/12*参考2_エネ使用量経年!$J172*(参考2_エネ使用量経年!Z172+参考2_エネ使用量経年!Z259),"")</f>
        <v>0</v>
      </c>
      <c r="AA322" s="1853">
        <f ca="1">IFERROR($K322*44/12*参考2_エネ使用量経年!$K172*(参考2_エネ使用量経年!AA172+参考2_エネ使用量経年!AA259),"")</f>
        <v>0</v>
      </c>
      <c r="AB322" s="1853"/>
      <c r="AC322" s="1853"/>
      <c r="AD322" s="1853"/>
      <c r="AE322" s="1853"/>
      <c r="AF322" s="1853"/>
      <c r="AG322" s="1853"/>
      <c r="AH322" s="1853"/>
      <c r="AI322" s="1853"/>
      <c r="AJ322" s="1853"/>
      <c r="AK322" s="1853"/>
      <c r="AL322" s="1853"/>
      <c r="AM322" s="1853"/>
      <c r="AN322" s="1853"/>
      <c r="AO322" s="1853"/>
      <c r="AP322" s="1853"/>
      <c r="AQ322" s="1853"/>
      <c r="AR322" s="1853"/>
      <c r="AS322" s="1853"/>
      <c r="AT322" s="1853"/>
      <c r="AU322" s="1853"/>
      <c r="AV322" s="1853"/>
      <c r="AW322" s="1853"/>
      <c r="AX322" s="1853"/>
      <c r="AY322" s="1853"/>
      <c r="AZ322" s="1853"/>
      <c r="BA322" s="1853"/>
      <c r="BB322" s="1853"/>
      <c r="BC322" s="1853"/>
      <c r="BD322" s="1853"/>
      <c r="BE322" s="1853"/>
      <c r="BF322" s="1853"/>
      <c r="BG322" s="1853"/>
      <c r="BH322" s="1853"/>
      <c r="BI322" s="1853"/>
      <c r="BJ322" s="1853"/>
      <c r="BK322" s="1853"/>
      <c r="BL322" s="1853"/>
      <c r="BM322" s="1853"/>
      <c r="BN322" s="1853"/>
      <c r="BO322" s="1853"/>
    </row>
    <row r="323" spans="1:67" ht="20.100000000000001" customHeight="1">
      <c r="A323" s="1845">
        <v>10</v>
      </c>
      <c r="B323" s="1855"/>
      <c r="C323" s="1847"/>
      <c r="D323" s="1848" t="s">
        <v>921</v>
      </c>
      <c r="E323" s="1848"/>
      <c r="F323" s="1849"/>
      <c r="G323" s="1225" t="s">
        <v>1109</v>
      </c>
      <c r="H323" s="1850">
        <f t="shared" ca="1" si="160"/>
        <v>1.8700000000000001E-2</v>
      </c>
      <c r="I323" s="1850">
        <f t="shared" ca="1" si="161"/>
        <v>1.8700000000000001E-2</v>
      </c>
      <c r="J323" s="1850">
        <f t="shared" ca="1" si="162"/>
        <v>1.8700000000000001E-2</v>
      </c>
      <c r="K323" s="1850">
        <f t="shared" ca="1" si="163"/>
        <v>1.8700000000000001E-2</v>
      </c>
      <c r="L323" s="1851">
        <f ca="1">IFERROR($H323*44/12*参考2_エネ使用量経年!$H173*(参考2_エネ使用量経年!L173+参考2_エネ使用量経年!L260),"")</f>
        <v>0</v>
      </c>
      <c r="M323" s="1851">
        <f ca="1">IFERROR($I323*44/12*参考2_エネ使用量経年!$I173*(参考2_エネ使用量経年!M173+参考2_エネ使用量経年!M260),"")</f>
        <v>0</v>
      </c>
      <c r="N323" s="1851">
        <f ca="1">IFERROR($J323*44/12*参考2_エネ使用量経年!$J173*(参考2_エネ使用量経年!N173+参考2_エネ使用量経年!N260),"")</f>
        <v>0</v>
      </c>
      <c r="O323" s="1851">
        <f ca="1">IFERROR($K323*44/12*参考2_エネ使用量経年!$K173*(参考2_エネ使用量経年!O173+参考2_エネ使用量経年!O260),"")</f>
        <v>0</v>
      </c>
      <c r="P323" s="1852">
        <f ca="1">IFERROR($H323*44/12*参考2_エネ使用量経年!$H173*(参考2_エネ使用量経年!P173+参考2_エネ使用量経年!P260),"")</f>
        <v>0</v>
      </c>
      <c r="Q323" s="1852">
        <f ca="1">IFERROR($I323*44/12*参考2_エネ使用量経年!$I173*(参考2_エネ使用量経年!Q173+参考2_エネ使用量経年!Q260),"")</f>
        <v>0</v>
      </c>
      <c r="R323" s="1852">
        <f ca="1">IFERROR($J323*44/12*参考2_エネ使用量経年!$J173*(参考2_エネ使用量経年!R173+参考2_エネ使用量経年!R260),"")</f>
        <v>0</v>
      </c>
      <c r="S323" s="1852">
        <f ca="1">IFERROR($K323*44/12*参考2_エネ使用量経年!$K173*(参考2_エネ使用量経年!S173+参考2_エネ使用量経年!S260),"")</f>
        <v>0</v>
      </c>
      <c r="T323" s="1851">
        <f ca="1">IFERROR($H323*44/12*参考2_エネ使用量経年!$H173*(参考2_エネ使用量経年!T173+参考2_エネ使用量経年!T260),"")</f>
        <v>0</v>
      </c>
      <c r="U323" s="1851">
        <f ca="1">IFERROR($I323*44/12*参考2_エネ使用量経年!$I173*(参考2_エネ使用量経年!U173+参考2_エネ使用量経年!U260),"")</f>
        <v>0</v>
      </c>
      <c r="V323" s="1851">
        <f ca="1">IFERROR($J323*44/12*参考2_エネ使用量経年!$J173*(参考2_エネ使用量経年!V173+参考2_エネ使用量経年!V260),"")</f>
        <v>0</v>
      </c>
      <c r="W323" s="1851">
        <f ca="1">IFERROR($K323*44/12*参考2_エネ使用量経年!$K173*(参考2_エネ使用量経年!W173+参考2_エネ使用量経年!W260),"")</f>
        <v>0</v>
      </c>
      <c r="X323" s="1853">
        <f ca="1">IFERROR($H323*44/12*参考2_エネ使用量経年!$H173*(参考2_エネ使用量経年!X173+参考2_エネ使用量経年!X260),"")</f>
        <v>0</v>
      </c>
      <c r="Y323" s="1853">
        <f ca="1">IFERROR($I323*44/12*参考2_エネ使用量経年!$I173*(参考2_エネ使用量経年!Y173+参考2_エネ使用量経年!Y260),"")</f>
        <v>0</v>
      </c>
      <c r="Z323" s="1853">
        <f ca="1">IFERROR($J323*44/12*参考2_エネ使用量経年!$J173*(参考2_エネ使用量経年!Z173+参考2_エネ使用量経年!Z260),"")</f>
        <v>0</v>
      </c>
      <c r="AA323" s="1853">
        <f ca="1">IFERROR($K323*44/12*参考2_エネ使用量経年!$K173*(参考2_エネ使用量経年!AA173+参考2_エネ使用量経年!AA260),"")</f>
        <v>0</v>
      </c>
      <c r="AB323" s="1853"/>
      <c r="AC323" s="1853"/>
      <c r="AD323" s="1853"/>
      <c r="AE323" s="1853"/>
      <c r="AF323" s="1853"/>
      <c r="AG323" s="1853"/>
      <c r="AH323" s="1853"/>
      <c r="AI323" s="1853"/>
      <c r="AJ323" s="1853"/>
      <c r="AK323" s="1853"/>
      <c r="AL323" s="1853"/>
      <c r="AM323" s="1853"/>
      <c r="AN323" s="1853"/>
      <c r="AO323" s="1853"/>
      <c r="AP323" s="1853"/>
      <c r="AQ323" s="1853"/>
      <c r="AR323" s="1853"/>
      <c r="AS323" s="1853"/>
      <c r="AT323" s="1853"/>
      <c r="AU323" s="1853"/>
      <c r="AV323" s="1853"/>
      <c r="AW323" s="1853"/>
      <c r="AX323" s="1853"/>
      <c r="AY323" s="1853"/>
      <c r="AZ323" s="1853"/>
      <c r="BA323" s="1853"/>
      <c r="BB323" s="1853"/>
      <c r="BC323" s="1853"/>
      <c r="BD323" s="1853"/>
      <c r="BE323" s="1853"/>
      <c r="BF323" s="1853"/>
      <c r="BG323" s="1853"/>
      <c r="BH323" s="1853"/>
      <c r="BI323" s="1853"/>
      <c r="BJ323" s="1853"/>
      <c r="BK323" s="1853"/>
      <c r="BL323" s="1853"/>
      <c r="BM323" s="1853"/>
      <c r="BN323" s="1853"/>
      <c r="BO323" s="1853"/>
    </row>
    <row r="324" spans="1:67" ht="20.100000000000001" customHeight="1">
      <c r="A324" s="1845">
        <v>11</v>
      </c>
      <c r="B324" s="1854"/>
      <c r="C324" s="1847"/>
      <c r="D324" s="1848" t="s">
        <v>542</v>
      </c>
      <c r="E324" s="1848"/>
      <c r="F324" s="1849"/>
      <c r="G324" s="1225" t="s">
        <v>1109</v>
      </c>
      <c r="H324" s="1850">
        <f t="shared" ca="1" si="160"/>
        <v>1.8599999999999998E-2</v>
      </c>
      <c r="I324" s="1850">
        <f t="shared" ca="1" si="161"/>
        <v>1.8599999999999998E-2</v>
      </c>
      <c r="J324" s="1850">
        <f t="shared" ca="1" si="162"/>
        <v>1.8599999999999998E-2</v>
      </c>
      <c r="K324" s="1850">
        <f t="shared" ca="1" si="163"/>
        <v>1.8599999999999998E-2</v>
      </c>
      <c r="L324" s="1851">
        <f ca="1">IFERROR($H324*44/12*参考2_エネ使用量経年!$H174*(参考2_エネ使用量経年!L174+参考2_エネ使用量経年!L261),"")</f>
        <v>0</v>
      </c>
      <c r="M324" s="1851">
        <f ca="1">IFERROR($I324*44/12*参考2_エネ使用量経年!$I174*(参考2_エネ使用量経年!M174+参考2_エネ使用量経年!M261),"")</f>
        <v>0</v>
      </c>
      <c r="N324" s="1851">
        <f ca="1">IFERROR($J324*44/12*参考2_エネ使用量経年!$J174*(参考2_エネ使用量経年!N174+参考2_エネ使用量経年!N261),"")</f>
        <v>0</v>
      </c>
      <c r="O324" s="1851">
        <f ca="1">IFERROR($K324*44/12*参考2_エネ使用量経年!$K174*(参考2_エネ使用量経年!O174+参考2_エネ使用量経年!O261),"")</f>
        <v>0</v>
      </c>
      <c r="P324" s="1852">
        <f ca="1">IFERROR($H324*44/12*参考2_エネ使用量経年!$H174*(参考2_エネ使用量経年!P174+参考2_エネ使用量経年!P261),"")</f>
        <v>0</v>
      </c>
      <c r="Q324" s="1852">
        <f ca="1">IFERROR($I324*44/12*参考2_エネ使用量経年!$I174*(参考2_エネ使用量経年!Q174+参考2_エネ使用量経年!Q261),"")</f>
        <v>0</v>
      </c>
      <c r="R324" s="1852">
        <f ca="1">IFERROR($J324*44/12*参考2_エネ使用量経年!$J174*(参考2_エネ使用量経年!R174+参考2_エネ使用量経年!R261),"")</f>
        <v>0</v>
      </c>
      <c r="S324" s="1852">
        <f ca="1">IFERROR($K324*44/12*参考2_エネ使用量経年!$K174*(参考2_エネ使用量経年!S174+参考2_エネ使用量経年!S261),"")</f>
        <v>0</v>
      </c>
      <c r="T324" s="1851">
        <f ca="1">IFERROR($H324*44/12*参考2_エネ使用量経年!$H174*(参考2_エネ使用量経年!T174+参考2_エネ使用量経年!T261),"")</f>
        <v>0</v>
      </c>
      <c r="U324" s="1851">
        <f ca="1">IFERROR($I324*44/12*参考2_エネ使用量経年!$I174*(参考2_エネ使用量経年!U174+参考2_エネ使用量経年!U261),"")</f>
        <v>0</v>
      </c>
      <c r="V324" s="1851">
        <f ca="1">IFERROR($J324*44/12*参考2_エネ使用量経年!$J174*(参考2_エネ使用量経年!V174+参考2_エネ使用量経年!V261),"")</f>
        <v>0</v>
      </c>
      <c r="W324" s="1851">
        <f ca="1">IFERROR($K324*44/12*参考2_エネ使用量経年!$K174*(参考2_エネ使用量経年!W174+参考2_エネ使用量経年!W261),"")</f>
        <v>0</v>
      </c>
      <c r="X324" s="1853">
        <f ca="1">IFERROR($H324*44/12*参考2_エネ使用量経年!$H174*(参考2_エネ使用量経年!X174+参考2_エネ使用量経年!X261),"")</f>
        <v>0</v>
      </c>
      <c r="Y324" s="1853">
        <f ca="1">IFERROR($I324*44/12*参考2_エネ使用量経年!$I174*(参考2_エネ使用量経年!Y174+参考2_エネ使用量経年!Y261),"")</f>
        <v>0</v>
      </c>
      <c r="Z324" s="1853">
        <f ca="1">IFERROR($J324*44/12*参考2_エネ使用量経年!$J174*(参考2_エネ使用量経年!Z174+参考2_エネ使用量経年!Z261),"")</f>
        <v>0</v>
      </c>
      <c r="AA324" s="1853">
        <f ca="1">IFERROR($K324*44/12*参考2_エネ使用量経年!$K174*(参考2_エネ使用量経年!AA174+参考2_エネ使用量経年!AA261),"")</f>
        <v>0</v>
      </c>
      <c r="AB324" s="1853"/>
      <c r="AC324" s="1853"/>
      <c r="AD324" s="1853"/>
      <c r="AE324" s="1853"/>
      <c r="AF324" s="1853"/>
      <c r="AG324" s="1853"/>
      <c r="AH324" s="1853"/>
      <c r="AI324" s="1853"/>
      <c r="AJ324" s="1853"/>
      <c r="AK324" s="1853"/>
      <c r="AL324" s="1853"/>
      <c r="AM324" s="1853"/>
      <c r="AN324" s="1853"/>
      <c r="AO324" s="1853"/>
      <c r="AP324" s="1853"/>
      <c r="AQ324" s="1853"/>
      <c r="AR324" s="1853"/>
      <c r="AS324" s="1853"/>
      <c r="AT324" s="1853"/>
      <c r="AU324" s="1853"/>
      <c r="AV324" s="1853"/>
      <c r="AW324" s="1853"/>
      <c r="AX324" s="1853"/>
      <c r="AY324" s="1853"/>
      <c r="AZ324" s="1853"/>
      <c r="BA324" s="1853"/>
      <c r="BB324" s="1853"/>
      <c r="BC324" s="1853"/>
      <c r="BD324" s="1853"/>
      <c r="BE324" s="1853"/>
      <c r="BF324" s="1853"/>
      <c r="BG324" s="1853"/>
      <c r="BH324" s="1853"/>
      <c r="BI324" s="1853"/>
      <c r="BJ324" s="1853"/>
      <c r="BK324" s="1853"/>
      <c r="BL324" s="1853"/>
      <c r="BM324" s="1853"/>
      <c r="BN324" s="1853"/>
      <c r="BO324" s="1853"/>
    </row>
    <row r="325" spans="1:67" ht="20.100000000000001" customHeight="1">
      <c r="A325" s="1845">
        <v>12</v>
      </c>
      <c r="B325" s="1854"/>
      <c r="C325" s="1847"/>
      <c r="D325" s="1848" t="s">
        <v>922</v>
      </c>
      <c r="E325" s="1848"/>
      <c r="F325" s="1849"/>
      <c r="G325" s="1225" t="s">
        <v>1109</v>
      </c>
      <c r="H325" s="1850">
        <f t="shared" ca="1" si="160"/>
        <v>1.8599999999999998E-2</v>
      </c>
      <c r="I325" s="1850">
        <f t="shared" ca="1" si="161"/>
        <v>1.8599999999999998E-2</v>
      </c>
      <c r="J325" s="1850">
        <f t="shared" ca="1" si="162"/>
        <v>1.8599999999999998E-2</v>
      </c>
      <c r="K325" s="1850">
        <f t="shared" ca="1" si="163"/>
        <v>1.8599999999999998E-2</v>
      </c>
      <c r="L325" s="1851">
        <f ca="1">IFERROR($H325*44/12*参考2_エネ使用量経年!$H175*(参考2_エネ使用量経年!L175+参考2_エネ使用量経年!L262),"")</f>
        <v>0</v>
      </c>
      <c r="M325" s="1851">
        <f ca="1">IFERROR($I325*44/12*参考2_エネ使用量経年!$I175*(参考2_エネ使用量経年!M175+参考2_エネ使用量経年!M262),"")</f>
        <v>0</v>
      </c>
      <c r="N325" s="1851">
        <f ca="1">IFERROR($J325*44/12*参考2_エネ使用量経年!$J175*(参考2_エネ使用量経年!N175+参考2_エネ使用量経年!N262),"")</f>
        <v>0</v>
      </c>
      <c r="O325" s="1851">
        <f ca="1">IFERROR($K325*44/12*参考2_エネ使用量経年!$K175*(参考2_エネ使用量経年!O175+参考2_エネ使用量経年!O262),"")</f>
        <v>0</v>
      </c>
      <c r="P325" s="1852">
        <f ca="1">IFERROR($H325*44/12*参考2_エネ使用量経年!$H175*(参考2_エネ使用量経年!P175+参考2_エネ使用量経年!P262),"")</f>
        <v>0</v>
      </c>
      <c r="Q325" s="1852">
        <f ca="1">IFERROR($I325*44/12*参考2_エネ使用量経年!$I175*(参考2_エネ使用量経年!Q175+参考2_エネ使用量経年!Q262),"")</f>
        <v>0</v>
      </c>
      <c r="R325" s="1852">
        <f ca="1">IFERROR($J325*44/12*参考2_エネ使用量経年!$J175*(参考2_エネ使用量経年!R175+参考2_エネ使用量経年!R262),"")</f>
        <v>0</v>
      </c>
      <c r="S325" s="1852">
        <f ca="1">IFERROR($K325*44/12*参考2_エネ使用量経年!$K175*(参考2_エネ使用量経年!S175+参考2_エネ使用量経年!S262),"")</f>
        <v>0</v>
      </c>
      <c r="T325" s="1851">
        <f ca="1">IFERROR($H325*44/12*参考2_エネ使用量経年!$H175*(参考2_エネ使用量経年!T175+参考2_エネ使用量経年!T262),"")</f>
        <v>0</v>
      </c>
      <c r="U325" s="1851">
        <f ca="1">IFERROR($I325*44/12*参考2_エネ使用量経年!$I175*(参考2_エネ使用量経年!U175+参考2_エネ使用量経年!U262),"")</f>
        <v>0</v>
      </c>
      <c r="V325" s="1851">
        <f ca="1">IFERROR($J325*44/12*参考2_エネ使用量経年!$J175*(参考2_エネ使用量経年!V175+参考2_エネ使用量経年!V262),"")</f>
        <v>0</v>
      </c>
      <c r="W325" s="1851">
        <f ca="1">IFERROR($K325*44/12*参考2_エネ使用量経年!$K175*(参考2_エネ使用量経年!W175+参考2_エネ使用量経年!W262),"")</f>
        <v>0</v>
      </c>
      <c r="X325" s="1853">
        <f ca="1">IFERROR($H325*44/12*参考2_エネ使用量経年!$H175*(参考2_エネ使用量経年!X175+参考2_エネ使用量経年!X262),"")</f>
        <v>0</v>
      </c>
      <c r="Y325" s="1853">
        <f ca="1">IFERROR($I325*44/12*参考2_エネ使用量経年!$I175*(参考2_エネ使用量経年!Y175+参考2_エネ使用量経年!Y262),"")</f>
        <v>0</v>
      </c>
      <c r="Z325" s="1853">
        <f ca="1">IFERROR($J325*44/12*参考2_エネ使用量経年!$J175*(参考2_エネ使用量経年!Z175+参考2_エネ使用量経年!Z262),"")</f>
        <v>0</v>
      </c>
      <c r="AA325" s="1853">
        <f ca="1">IFERROR($K325*44/12*参考2_エネ使用量経年!$K175*(参考2_エネ使用量経年!AA175+参考2_エネ使用量経年!AA262),"")</f>
        <v>0</v>
      </c>
      <c r="AB325" s="1853"/>
      <c r="AC325" s="1853"/>
      <c r="AD325" s="1853"/>
      <c r="AE325" s="1853"/>
      <c r="AF325" s="1853"/>
      <c r="AG325" s="1853"/>
      <c r="AH325" s="1853"/>
      <c r="AI325" s="1853"/>
      <c r="AJ325" s="1853"/>
      <c r="AK325" s="1853"/>
      <c r="AL325" s="1853"/>
      <c r="AM325" s="1853"/>
      <c r="AN325" s="1853"/>
      <c r="AO325" s="1853"/>
      <c r="AP325" s="1853"/>
      <c r="AQ325" s="1853"/>
      <c r="AR325" s="1853"/>
      <c r="AS325" s="1853"/>
      <c r="AT325" s="1853"/>
      <c r="AU325" s="1853"/>
      <c r="AV325" s="1853"/>
      <c r="AW325" s="1853"/>
      <c r="AX325" s="1853"/>
      <c r="AY325" s="1853"/>
      <c r="AZ325" s="1853"/>
      <c r="BA325" s="1853"/>
      <c r="BB325" s="1853"/>
      <c r="BC325" s="1853"/>
      <c r="BD325" s="1853"/>
      <c r="BE325" s="1853"/>
      <c r="BF325" s="1853"/>
      <c r="BG325" s="1853"/>
      <c r="BH325" s="1853"/>
      <c r="BI325" s="1853"/>
      <c r="BJ325" s="1853"/>
      <c r="BK325" s="1853"/>
      <c r="BL325" s="1853"/>
      <c r="BM325" s="1853"/>
      <c r="BN325" s="1853"/>
      <c r="BO325" s="1853"/>
    </row>
    <row r="326" spans="1:67" ht="20.100000000000001" customHeight="1">
      <c r="A326" s="1845">
        <v>13</v>
      </c>
      <c r="B326" s="1855"/>
      <c r="C326" s="1847"/>
      <c r="D326" s="1848" t="s">
        <v>543</v>
      </c>
      <c r="E326" s="1848"/>
      <c r="F326" s="1849"/>
      <c r="G326" s="1225" t="s">
        <v>1109</v>
      </c>
      <c r="H326" s="1850">
        <f t="shared" ca="1" si="160"/>
        <v>1.8700000000000001E-2</v>
      </c>
      <c r="I326" s="1850">
        <f t="shared" ca="1" si="161"/>
        <v>1.8700000000000001E-2</v>
      </c>
      <c r="J326" s="1850">
        <f t="shared" ca="1" si="162"/>
        <v>1.8700000000000001E-2</v>
      </c>
      <c r="K326" s="1850">
        <f t="shared" ca="1" si="163"/>
        <v>1.8700000000000001E-2</v>
      </c>
      <c r="L326" s="1851">
        <f ca="1">IFERROR($H326*44/12*参考2_エネ使用量経年!$H176*(参考2_エネ使用量経年!L176+参考2_エネ使用量経年!L263),"")</f>
        <v>0</v>
      </c>
      <c r="M326" s="1851">
        <f ca="1">IFERROR($I326*44/12*参考2_エネ使用量経年!$I176*(参考2_エネ使用量経年!M176+参考2_エネ使用量経年!M263),"")</f>
        <v>0</v>
      </c>
      <c r="N326" s="1851">
        <f ca="1">IFERROR($J326*44/12*参考2_エネ使用量経年!$J176*(参考2_エネ使用量経年!N176+参考2_エネ使用量経年!N263),"")</f>
        <v>0</v>
      </c>
      <c r="O326" s="1851">
        <f ca="1">IFERROR($K326*44/12*参考2_エネ使用量経年!$K176*(参考2_エネ使用量経年!O176+参考2_エネ使用量経年!O263),"")</f>
        <v>0</v>
      </c>
      <c r="P326" s="1852">
        <f ca="1">IFERROR($H326*44/12*参考2_エネ使用量経年!$H176*(参考2_エネ使用量経年!P176+参考2_エネ使用量経年!P263),"")</f>
        <v>0</v>
      </c>
      <c r="Q326" s="1852">
        <f ca="1">IFERROR($I326*44/12*参考2_エネ使用量経年!$I176*(参考2_エネ使用量経年!Q176+参考2_エネ使用量経年!Q263),"")</f>
        <v>0</v>
      </c>
      <c r="R326" s="1852">
        <f ca="1">IFERROR($J326*44/12*参考2_エネ使用量経年!$J176*(参考2_エネ使用量経年!R176+参考2_エネ使用量経年!R263),"")</f>
        <v>0</v>
      </c>
      <c r="S326" s="1852">
        <f ca="1">IFERROR($K326*44/12*参考2_エネ使用量経年!$K176*(参考2_エネ使用量経年!S176+参考2_エネ使用量経年!S263),"")</f>
        <v>0</v>
      </c>
      <c r="T326" s="1851">
        <f ca="1">IFERROR($H326*44/12*参考2_エネ使用量経年!$H176*(参考2_エネ使用量経年!T176+参考2_エネ使用量経年!T263),"")</f>
        <v>0</v>
      </c>
      <c r="U326" s="1851">
        <f ca="1">IFERROR($I326*44/12*参考2_エネ使用量経年!$I176*(参考2_エネ使用量経年!U176+参考2_エネ使用量経年!U263),"")</f>
        <v>0</v>
      </c>
      <c r="V326" s="1851">
        <f ca="1">IFERROR($J326*44/12*参考2_エネ使用量経年!$J176*(参考2_エネ使用量経年!V176+参考2_エネ使用量経年!V263),"")</f>
        <v>0</v>
      </c>
      <c r="W326" s="1851">
        <f ca="1">IFERROR($K326*44/12*参考2_エネ使用量経年!$K176*(参考2_エネ使用量経年!W176+参考2_エネ使用量経年!W263),"")</f>
        <v>0</v>
      </c>
      <c r="X326" s="1853">
        <f ca="1">IFERROR($H326*44/12*参考2_エネ使用量経年!$H176*(参考2_エネ使用量経年!X176+参考2_エネ使用量経年!X263),"")</f>
        <v>0</v>
      </c>
      <c r="Y326" s="1853">
        <f ca="1">IFERROR($I326*44/12*参考2_エネ使用量経年!$I176*(参考2_エネ使用量経年!Y176+参考2_エネ使用量経年!Y263),"")</f>
        <v>0</v>
      </c>
      <c r="Z326" s="1853">
        <f ca="1">IFERROR($J326*44/12*参考2_エネ使用量経年!$J176*(参考2_エネ使用量経年!Z176+参考2_エネ使用量経年!Z263),"")</f>
        <v>0</v>
      </c>
      <c r="AA326" s="1853">
        <f ca="1">IFERROR($K326*44/12*参考2_エネ使用量経年!$K176*(参考2_エネ使用量経年!AA176+参考2_エネ使用量経年!AA263),"")</f>
        <v>0</v>
      </c>
      <c r="AB326" s="1853"/>
      <c r="AC326" s="1853"/>
      <c r="AD326" s="1853"/>
      <c r="AE326" s="1853"/>
      <c r="AF326" s="1853"/>
      <c r="AG326" s="1853"/>
      <c r="AH326" s="1853"/>
      <c r="AI326" s="1853"/>
      <c r="AJ326" s="1853"/>
      <c r="AK326" s="1853"/>
      <c r="AL326" s="1853"/>
      <c r="AM326" s="1853"/>
      <c r="AN326" s="1853"/>
      <c r="AO326" s="1853"/>
      <c r="AP326" s="1853"/>
      <c r="AQ326" s="1853"/>
      <c r="AR326" s="1853"/>
      <c r="AS326" s="1853"/>
      <c r="AT326" s="1853"/>
      <c r="AU326" s="1853"/>
      <c r="AV326" s="1853"/>
      <c r="AW326" s="1853"/>
      <c r="AX326" s="1853"/>
      <c r="AY326" s="1853"/>
      <c r="AZ326" s="1853"/>
      <c r="BA326" s="1853"/>
      <c r="BB326" s="1853"/>
      <c r="BC326" s="1853"/>
      <c r="BD326" s="1853"/>
      <c r="BE326" s="1853"/>
      <c r="BF326" s="1853"/>
      <c r="BG326" s="1853"/>
      <c r="BH326" s="1853"/>
      <c r="BI326" s="1853"/>
      <c r="BJ326" s="1853"/>
      <c r="BK326" s="1853"/>
      <c r="BL326" s="1853"/>
      <c r="BM326" s="1853"/>
      <c r="BN326" s="1853"/>
      <c r="BO326" s="1853"/>
    </row>
    <row r="327" spans="1:67" ht="20.100000000000001" customHeight="1">
      <c r="A327" s="1845">
        <v>14</v>
      </c>
      <c r="B327" s="1855"/>
      <c r="C327" s="1847"/>
      <c r="D327" s="1848" t="s">
        <v>544</v>
      </c>
      <c r="E327" s="1848"/>
      <c r="F327" s="1849"/>
      <c r="G327" s="1225" t="s">
        <v>1109</v>
      </c>
      <c r="H327" s="1850">
        <f t="shared" ca="1" si="160"/>
        <v>1.8800000000000001E-2</v>
      </c>
      <c r="I327" s="1850">
        <f t="shared" ca="1" si="161"/>
        <v>1.8800000000000001E-2</v>
      </c>
      <c r="J327" s="1850">
        <f t="shared" ca="1" si="162"/>
        <v>1.8800000000000001E-2</v>
      </c>
      <c r="K327" s="1850">
        <f t="shared" ca="1" si="163"/>
        <v>1.8800000000000001E-2</v>
      </c>
      <c r="L327" s="1851">
        <f ca="1">IFERROR($H327*44/12*参考2_エネ使用量経年!$H177*(参考2_エネ使用量経年!L177+参考2_エネ使用量経年!L264),"")</f>
        <v>0</v>
      </c>
      <c r="M327" s="1851">
        <f ca="1">IFERROR($I327*44/12*参考2_エネ使用量経年!$I177*(参考2_エネ使用量経年!M177+参考2_エネ使用量経年!M264),"")</f>
        <v>0</v>
      </c>
      <c r="N327" s="1851">
        <f ca="1">IFERROR($J327*44/12*参考2_エネ使用量経年!$J177*(参考2_エネ使用量経年!N177+参考2_エネ使用量経年!N264),"")</f>
        <v>0</v>
      </c>
      <c r="O327" s="1851">
        <f ca="1">IFERROR($K327*44/12*参考2_エネ使用量経年!$K177*(参考2_エネ使用量経年!O177+参考2_エネ使用量経年!O264),"")</f>
        <v>0</v>
      </c>
      <c r="P327" s="1852">
        <f ca="1">IFERROR($H327*44/12*参考2_エネ使用量経年!$H177*(参考2_エネ使用量経年!P177+参考2_エネ使用量経年!P264),"")</f>
        <v>0</v>
      </c>
      <c r="Q327" s="1852">
        <f ca="1">IFERROR($I327*44/12*参考2_エネ使用量経年!$I177*(参考2_エネ使用量経年!Q177+参考2_エネ使用量経年!Q264),"")</f>
        <v>0</v>
      </c>
      <c r="R327" s="1852">
        <f ca="1">IFERROR($J327*44/12*参考2_エネ使用量経年!$J177*(参考2_エネ使用量経年!R177+参考2_エネ使用量経年!R264),"")</f>
        <v>0</v>
      </c>
      <c r="S327" s="1852">
        <f ca="1">IFERROR($K327*44/12*参考2_エネ使用量経年!$K177*(参考2_エネ使用量経年!S177+参考2_エネ使用量経年!S264),"")</f>
        <v>0</v>
      </c>
      <c r="T327" s="1851">
        <f ca="1">IFERROR($H327*44/12*参考2_エネ使用量経年!$H177*(参考2_エネ使用量経年!T177+参考2_エネ使用量経年!T264),"")</f>
        <v>0</v>
      </c>
      <c r="U327" s="1851">
        <f ca="1">IFERROR($I327*44/12*参考2_エネ使用量経年!$I177*(参考2_エネ使用量経年!U177+参考2_エネ使用量経年!U264),"")</f>
        <v>0</v>
      </c>
      <c r="V327" s="1851">
        <f ca="1">IFERROR($J327*44/12*参考2_エネ使用量経年!$J177*(参考2_エネ使用量経年!V177+参考2_エネ使用量経年!V264),"")</f>
        <v>0</v>
      </c>
      <c r="W327" s="1851">
        <f ca="1">IFERROR($K327*44/12*参考2_エネ使用量経年!$K177*(参考2_エネ使用量経年!W177+参考2_エネ使用量経年!W264),"")</f>
        <v>0</v>
      </c>
      <c r="X327" s="1853">
        <f ca="1">IFERROR($H327*44/12*参考2_エネ使用量経年!$H177*(参考2_エネ使用量経年!X177+参考2_エネ使用量経年!X264),"")</f>
        <v>0</v>
      </c>
      <c r="Y327" s="1853">
        <f ca="1">IFERROR($I327*44/12*参考2_エネ使用量経年!$I177*(参考2_エネ使用量経年!Y177+参考2_エネ使用量経年!Y264),"")</f>
        <v>0</v>
      </c>
      <c r="Z327" s="1853">
        <f ca="1">IFERROR($J327*44/12*参考2_エネ使用量経年!$J177*(参考2_エネ使用量経年!Z177+参考2_エネ使用量経年!Z264),"")</f>
        <v>0</v>
      </c>
      <c r="AA327" s="1853">
        <f ca="1">IFERROR($K327*44/12*参考2_エネ使用量経年!$K177*(参考2_エネ使用量経年!AA177+参考2_エネ使用量経年!AA264),"")</f>
        <v>0</v>
      </c>
      <c r="AB327" s="1853"/>
      <c r="AC327" s="1853"/>
      <c r="AD327" s="1853"/>
      <c r="AE327" s="1853"/>
      <c r="AF327" s="1853"/>
      <c r="AG327" s="1853"/>
      <c r="AH327" s="1853"/>
      <c r="AI327" s="1853"/>
      <c r="AJ327" s="1853"/>
      <c r="AK327" s="1853"/>
      <c r="AL327" s="1853"/>
      <c r="AM327" s="1853"/>
      <c r="AN327" s="1853"/>
      <c r="AO327" s="1853"/>
      <c r="AP327" s="1853"/>
      <c r="AQ327" s="1853"/>
      <c r="AR327" s="1853"/>
      <c r="AS327" s="1853"/>
      <c r="AT327" s="1853"/>
      <c r="AU327" s="1853"/>
      <c r="AV327" s="1853"/>
      <c r="AW327" s="1853"/>
      <c r="AX327" s="1853"/>
      <c r="AY327" s="1853"/>
      <c r="AZ327" s="1853"/>
      <c r="BA327" s="1853"/>
      <c r="BB327" s="1853"/>
      <c r="BC327" s="1853"/>
      <c r="BD327" s="1853"/>
      <c r="BE327" s="1853"/>
      <c r="BF327" s="1853"/>
      <c r="BG327" s="1853"/>
      <c r="BH327" s="1853"/>
      <c r="BI327" s="1853"/>
      <c r="BJ327" s="1853"/>
      <c r="BK327" s="1853"/>
      <c r="BL327" s="1853"/>
      <c r="BM327" s="1853"/>
      <c r="BN327" s="1853"/>
      <c r="BO327" s="1853"/>
    </row>
    <row r="328" spans="1:67" ht="20.100000000000001" customHeight="1">
      <c r="A328" s="1845">
        <v>15</v>
      </c>
      <c r="B328" s="1854"/>
      <c r="C328" s="1847"/>
      <c r="D328" s="1848" t="s">
        <v>545</v>
      </c>
      <c r="E328" s="1848"/>
      <c r="F328" s="1849"/>
      <c r="G328" s="1225" t="s">
        <v>1109</v>
      </c>
      <c r="H328" s="1850">
        <f t="shared" ca="1" si="160"/>
        <v>1.9300000000000001E-2</v>
      </c>
      <c r="I328" s="1850">
        <f t="shared" ca="1" si="161"/>
        <v>1.9300000000000001E-2</v>
      </c>
      <c r="J328" s="1850">
        <f t="shared" ca="1" si="162"/>
        <v>1.9300000000000001E-2</v>
      </c>
      <c r="K328" s="1850">
        <f t="shared" ca="1" si="163"/>
        <v>1.9300000000000001E-2</v>
      </c>
      <c r="L328" s="1851">
        <f ca="1">IFERROR($H328*44/12*参考2_エネ使用量経年!$H178*(参考2_エネ使用量経年!L178+参考2_エネ使用量経年!L265),"")</f>
        <v>0</v>
      </c>
      <c r="M328" s="1851">
        <f ca="1">IFERROR($I328*44/12*参考2_エネ使用量経年!$I178*(参考2_エネ使用量経年!M178+参考2_エネ使用量経年!M265),"")</f>
        <v>0</v>
      </c>
      <c r="N328" s="1851">
        <f ca="1">IFERROR($J328*44/12*参考2_エネ使用量経年!$J178*(参考2_エネ使用量経年!N178+参考2_エネ使用量経年!N265),"")</f>
        <v>0</v>
      </c>
      <c r="O328" s="1851">
        <f ca="1">IFERROR($K328*44/12*参考2_エネ使用量経年!$K178*(参考2_エネ使用量経年!O178+参考2_エネ使用量経年!O265),"")</f>
        <v>0</v>
      </c>
      <c r="P328" s="1852">
        <f ca="1">IFERROR($H328*44/12*参考2_エネ使用量経年!$H178*(参考2_エネ使用量経年!P178+参考2_エネ使用量経年!P265),"")</f>
        <v>0</v>
      </c>
      <c r="Q328" s="1852">
        <f ca="1">IFERROR($I328*44/12*参考2_エネ使用量経年!$I178*(参考2_エネ使用量経年!Q178+参考2_エネ使用量経年!Q265),"")</f>
        <v>0</v>
      </c>
      <c r="R328" s="1852">
        <f ca="1">IFERROR($J328*44/12*参考2_エネ使用量経年!$J178*(参考2_エネ使用量経年!R178+参考2_エネ使用量経年!R265),"")</f>
        <v>0</v>
      </c>
      <c r="S328" s="1852">
        <f ca="1">IFERROR($K328*44/12*参考2_エネ使用量経年!$K178*(参考2_エネ使用量経年!S178+参考2_エネ使用量経年!S265),"")</f>
        <v>0</v>
      </c>
      <c r="T328" s="1851">
        <f ca="1">IFERROR($H328*44/12*参考2_エネ使用量経年!$H178*(参考2_エネ使用量経年!T178+参考2_エネ使用量経年!T265),"")</f>
        <v>0</v>
      </c>
      <c r="U328" s="1851">
        <f ca="1">IFERROR($I328*44/12*参考2_エネ使用量経年!$I178*(参考2_エネ使用量経年!U178+参考2_エネ使用量経年!U265),"")</f>
        <v>0</v>
      </c>
      <c r="V328" s="1851">
        <f ca="1">IFERROR($J328*44/12*参考2_エネ使用量経年!$J178*(参考2_エネ使用量経年!V178+参考2_エネ使用量経年!V265),"")</f>
        <v>0</v>
      </c>
      <c r="W328" s="1851">
        <f ca="1">IFERROR($K328*44/12*参考2_エネ使用量経年!$K178*(参考2_エネ使用量経年!W178+参考2_エネ使用量経年!W265),"")</f>
        <v>0</v>
      </c>
      <c r="X328" s="1853">
        <f ca="1">IFERROR($H328*44/12*参考2_エネ使用量経年!$H178*(参考2_エネ使用量経年!X178+参考2_エネ使用量経年!X265),"")</f>
        <v>0</v>
      </c>
      <c r="Y328" s="1853">
        <f ca="1">IFERROR($I328*44/12*参考2_エネ使用量経年!$I178*(参考2_エネ使用量経年!Y178+参考2_エネ使用量経年!Y265),"")</f>
        <v>0</v>
      </c>
      <c r="Z328" s="1853">
        <f ca="1">IFERROR($J328*44/12*参考2_エネ使用量経年!$J178*(参考2_エネ使用量経年!Z178+参考2_エネ使用量経年!Z265),"")</f>
        <v>0</v>
      </c>
      <c r="AA328" s="1853">
        <f ca="1">IFERROR($K328*44/12*参考2_エネ使用量経年!$K178*(参考2_エネ使用量経年!AA178+参考2_エネ使用量経年!AA265),"")</f>
        <v>0</v>
      </c>
      <c r="AB328" s="1853"/>
      <c r="AC328" s="1853"/>
      <c r="AD328" s="1853"/>
      <c r="AE328" s="1853"/>
      <c r="AF328" s="1853"/>
      <c r="AG328" s="1853"/>
      <c r="AH328" s="1853"/>
      <c r="AI328" s="1853"/>
      <c r="AJ328" s="1853"/>
      <c r="AK328" s="1853"/>
      <c r="AL328" s="1853"/>
      <c r="AM328" s="1853"/>
      <c r="AN328" s="1853"/>
      <c r="AO328" s="1853"/>
      <c r="AP328" s="1853"/>
      <c r="AQ328" s="1853"/>
      <c r="AR328" s="1853"/>
      <c r="AS328" s="1853"/>
      <c r="AT328" s="1853"/>
      <c r="AU328" s="1853"/>
      <c r="AV328" s="1853"/>
      <c r="AW328" s="1853"/>
      <c r="AX328" s="1853"/>
      <c r="AY328" s="1853"/>
      <c r="AZ328" s="1853"/>
      <c r="BA328" s="1853"/>
      <c r="BB328" s="1853"/>
      <c r="BC328" s="1853"/>
      <c r="BD328" s="1853"/>
      <c r="BE328" s="1853"/>
      <c r="BF328" s="1853"/>
      <c r="BG328" s="1853"/>
      <c r="BH328" s="1853"/>
      <c r="BI328" s="1853"/>
      <c r="BJ328" s="1853"/>
      <c r="BK328" s="1853"/>
      <c r="BL328" s="1853"/>
      <c r="BM328" s="1853"/>
      <c r="BN328" s="1853"/>
      <c r="BO328" s="1853"/>
    </row>
    <row r="329" spans="1:67" ht="20.100000000000001" customHeight="1">
      <c r="A329" s="1845">
        <v>16</v>
      </c>
      <c r="B329" s="1854"/>
      <c r="C329" s="1847"/>
      <c r="D329" s="1848" t="s">
        <v>546</v>
      </c>
      <c r="E329" s="1837"/>
      <c r="F329" s="1849"/>
      <c r="G329" s="1225" t="s">
        <v>1109</v>
      </c>
      <c r="H329" s="1850">
        <f t="shared" ca="1" si="160"/>
        <v>2.0199999999999999E-2</v>
      </c>
      <c r="I329" s="1850">
        <f t="shared" ca="1" si="161"/>
        <v>2.0199999999999999E-2</v>
      </c>
      <c r="J329" s="1850">
        <f t="shared" ca="1" si="162"/>
        <v>2.0199999999999999E-2</v>
      </c>
      <c r="K329" s="1850">
        <f t="shared" ca="1" si="163"/>
        <v>2.0199999999999999E-2</v>
      </c>
      <c r="L329" s="1851">
        <f ca="1">IFERROR($H329*44/12*参考2_エネ使用量経年!$H179*(参考2_エネ使用量経年!L179+参考2_エネ使用量経年!L266),"")</f>
        <v>0</v>
      </c>
      <c r="M329" s="1851">
        <f ca="1">IFERROR($I329*44/12*参考2_エネ使用量経年!$I179*(参考2_エネ使用量経年!M179+参考2_エネ使用量経年!M266),"")</f>
        <v>0</v>
      </c>
      <c r="N329" s="1851">
        <f ca="1">IFERROR($J329*44/12*参考2_エネ使用量経年!$J179*(参考2_エネ使用量経年!N179+参考2_エネ使用量経年!N266),"")</f>
        <v>0</v>
      </c>
      <c r="O329" s="1851">
        <f ca="1">IFERROR($K329*44/12*参考2_エネ使用量経年!$K179*(参考2_エネ使用量経年!O179+参考2_エネ使用量経年!O266),"")</f>
        <v>0</v>
      </c>
      <c r="P329" s="1852">
        <f ca="1">IFERROR($H329*44/12*参考2_エネ使用量経年!$H179*(参考2_エネ使用量経年!P179+参考2_エネ使用量経年!P266),"")</f>
        <v>0</v>
      </c>
      <c r="Q329" s="1852">
        <f ca="1">IFERROR($I329*44/12*参考2_エネ使用量経年!$I179*(参考2_エネ使用量経年!Q179+参考2_エネ使用量経年!Q266),"")</f>
        <v>0</v>
      </c>
      <c r="R329" s="1852">
        <f ca="1">IFERROR($J329*44/12*参考2_エネ使用量経年!$J179*(参考2_エネ使用量経年!R179+参考2_エネ使用量経年!R266),"")</f>
        <v>0</v>
      </c>
      <c r="S329" s="1852">
        <f ca="1">IFERROR($K329*44/12*参考2_エネ使用量経年!$K179*(参考2_エネ使用量経年!S179+参考2_エネ使用量経年!S266),"")</f>
        <v>0</v>
      </c>
      <c r="T329" s="1851">
        <f ca="1">IFERROR($H329*44/12*参考2_エネ使用量経年!$H179*(参考2_エネ使用量経年!T179+参考2_エネ使用量経年!T266),"")</f>
        <v>0</v>
      </c>
      <c r="U329" s="1851">
        <f ca="1">IFERROR($I329*44/12*参考2_エネ使用量経年!$I179*(参考2_エネ使用量経年!U179+参考2_エネ使用量経年!U266),"")</f>
        <v>0</v>
      </c>
      <c r="V329" s="1851">
        <f ca="1">IFERROR($J329*44/12*参考2_エネ使用量経年!$J179*(参考2_エネ使用量経年!V179+参考2_エネ使用量経年!V266),"")</f>
        <v>0</v>
      </c>
      <c r="W329" s="1851">
        <f ca="1">IFERROR($K329*44/12*参考2_エネ使用量経年!$K179*(参考2_エネ使用量経年!W179+参考2_エネ使用量経年!W266),"")</f>
        <v>0</v>
      </c>
      <c r="X329" s="1853">
        <f ca="1">IFERROR($H329*44/12*参考2_エネ使用量経年!$H179*(参考2_エネ使用量経年!X179+参考2_エネ使用量経年!X266),"")</f>
        <v>0</v>
      </c>
      <c r="Y329" s="1853">
        <f ca="1">IFERROR($I329*44/12*参考2_エネ使用量経年!$I179*(参考2_エネ使用量経年!Y179+参考2_エネ使用量経年!Y266),"")</f>
        <v>0</v>
      </c>
      <c r="Z329" s="1853">
        <f ca="1">IFERROR($J329*44/12*参考2_エネ使用量経年!$J179*(参考2_エネ使用量経年!Z179+参考2_エネ使用量経年!Z266),"")</f>
        <v>0</v>
      </c>
      <c r="AA329" s="1853">
        <f ca="1">IFERROR($K329*44/12*参考2_エネ使用量経年!$K179*(参考2_エネ使用量経年!AA179+参考2_エネ使用量経年!AA266),"")</f>
        <v>0</v>
      </c>
      <c r="AB329" s="1853"/>
      <c r="AC329" s="1853"/>
      <c r="AD329" s="1853"/>
      <c r="AE329" s="1853"/>
      <c r="AF329" s="1853"/>
      <c r="AG329" s="1853"/>
      <c r="AH329" s="1853"/>
      <c r="AI329" s="1853"/>
      <c r="AJ329" s="1853"/>
      <c r="AK329" s="1853"/>
      <c r="AL329" s="1853"/>
      <c r="AM329" s="1853"/>
      <c r="AN329" s="1853"/>
      <c r="AO329" s="1853"/>
      <c r="AP329" s="1853"/>
      <c r="AQ329" s="1853"/>
      <c r="AR329" s="1853"/>
      <c r="AS329" s="1853"/>
      <c r="AT329" s="1853"/>
      <c r="AU329" s="1853"/>
      <c r="AV329" s="1853"/>
      <c r="AW329" s="1853"/>
      <c r="AX329" s="1853"/>
      <c r="AY329" s="1853"/>
      <c r="AZ329" s="1853"/>
      <c r="BA329" s="1853"/>
      <c r="BB329" s="1853"/>
      <c r="BC329" s="1853"/>
      <c r="BD329" s="1853"/>
      <c r="BE329" s="1853"/>
      <c r="BF329" s="1853"/>
      <c r="BG329" s="1853"/>
      <c r="BH329" s="1853"/>
      <c r="BI329" s="1853"/>
      <c r="BJ329" s="1853"/>
      <c r="BK329" s="1853"/>
      <c r="BL329" s="1853"/>
      <c r="BM329" s="1853"/>
      <c r="BN329" s="1853"/>
      <c r="BO329" s="1853"/>
    </row>
    <row r="330" spans="1:67" ht="20.100000000000001" customHeight="1">
      <c r="A330" s="1845">
        <v>17</v>
      </c>
      <c r="B330" s="1854"/>
      <c r="C330" s="1847"/>
      <c r="D330" s="1848" t="s">
        <v>547</v>
      </c>
      <c r="E330" s="1848"/>
      <c r="F330" s="1849"/>
      <c r="G330" s="1225" t="s">
        <v>1109</v>
      </c>
      <c r="H330" s="1850">
        <f t="shared" ca="1" si="160"/>
        <v>2.0400000000000001E-2</v>
      </c>
      <c r="I330" s="1850">
        <f t="shared" ca="1" si="161"/>
        <v>2.0400000000000001E-2</v>
      </c>
      <c r="J330" s="1850">
        <f t="shared" ca="1" si="162"/>
        <v>2.0400000000000001E-2</v>
      </c>
      <c r="K330" s="1850">
        <f t="shared" ca="1" si="163"/>
        <v>2.0400000000000001E-2</v>
      </c>
      <c r="L330" s="1851">
        <f ca="1">IFERROR($H330*44/12*参考2_エネ使用量経年!$H180*(参考2_エネ使用量経年!L180+参考2_エネ使用量経年!L267),"")</f>
        <v>0</v>
      </c>
      <c r="M330" s="1851">
        <f ca="1">IFERROR($I330*44/12*参考2_エネ使用量経年!$I180*(参考2_エネ使用量経年!M180+参考2_エネ使用量経年!M267),"")</f>
        <v>0</v>
      </c>
      <c r="N330" s="1851">
        <f ca="1">IFERROR($J330*44/12*参考2_エネ使用量経年!$J180*(参考2_エネ使用量経年!N180+参考2_エネ使用量経年!N267),"")</f>
        <v>0</v>
      </c>
      <c r="O330" s="1851">
        <f ca="1">IFERROR($K330*44/12*参考2_エネ使用量経年!$K180*(参考2_エネ使用量経年!O180+参考2_エネ使用量経年!O267),"")</f>
        <v>0</v>
      </c>
      <c r="P330" s="1852">
        <f ca="1">IFERROR($H330*44/12*参考2_エネ使用量経年!$H180*(参考2_エネ使用量経年!P180+参考2_エネ使用量経年!P267),"")</f>
        <v>0</v>
      </c>
      <c r="Q330" s="1852">
        <f ca="1">IFERROR($I330*44/12*参考2_エネ使用量経年!$I180*(参考2_エネ使用量経年!Q180+参考2_エネ使用量経年!Q267),"")</f>
        <v>0</v>
      </c>
      <c r="R330" s="1852">
        <f ca="1">IFERROR($J330*44/12*参考2_エネ使用量経年!$J180*(参考2_エネ使用量経年!R180+参考2_エネ使用量経年!R267),"")</f>
        <v>0</v>
      </c>
      <c r="S330" s="1852">
        <f ca="1">IFERROR($K330*44/12*参考2_エネ使用量経年!$K180*(参考2_エネ使用量経年!S180+参考2_エネ使用量経年!S267),"")</f>
        <v>0</v>
      </c>
      <c r="T330" s="1851">
        <f ca="1">IFERROR($H330*44/12*参考2_エネ使用量経年!$H180*(参考2_エネ使用量経年!T180+参考2_エネ使用量経年!T267),"")</f>
        <v>0</v>
      </c>
      <c r="U330" s="1851">
        <f ca="1">IFERROR($I330*44/12*参考2_エネ使用量経年!$I180*(参考2_エネ使用量経年!U180+参考2_エネ使用量経年!U267),"")</f>
        <v>0</v>
      </c>
      <c r="V330" s="1851">
        <f ca="1">IFERROR($J330*44/12*参考2_エネ使用量経年!$J180*(参考2_エネ使用量経年!V180+参考2_エネ使用量経年!V267),"")</f>
        <v>0</v>
      </c>
      <c r="W330" s="1851">
        <f ca="1">IFERROR($K330*44/12*参考2_エネ使用量経年!$K180*(参考2_エネ使用量経年!W180+参考2_エネ使用量経年!W267),"")</f>
        <v>0</v>
      </c>
      <c r="X330" s="1853">
        <f ca="1">IFERROR($H330*44/12*参考2_エネ使用量経年!$H180*(参考2_エネ使用量経年!X180+参考2_エネ使用量経年!X267),"")</f>
        <v>0</v>
      </c>
      <c r="Y330" s="1853">
        <f ca="1">IFERROR($I330*44/12*参考2_エネ使用量経年!$I180*(参考2_エネ使用量経年!Y180+参考2_エネ使用量経年!Y267),"")</f>
        <v>0</v>
      </c>
      <c r="Z330" s="1853">
        <f ca="1">IFERROR($J330*44/12*参考2_エネ使用量経年!$J180*(参考2_エネ使用量経年!Z180+参考2_エネ使用量経年!Z267),"")</f>
        <v>0</v>
      </c>
      <c r="AA330" s="1853">
        <f ca="1">IFERROR($K330*44/12*参考2_エネ使用量経年!$K180*(参考2_エネ使用量経年!AA180+参考2_エネ使用量経年!AA267),"")</f>
        <v>0</v>
      </c>
      <c r="AB330" s="1853"/>
      <c r="AC330" s="1853"/>
      <c r="AD330" s="1853"/>
      <c r="AE330" s="1853"/>
      <c r="AF330" s="1853"/>
      <c r="AG330" s="1853"/>
      <c r="AH330" s="1853"/>
      <c r="AI330" s="1853"/>
      <c r="AJ330" s="1853"/>
      <c r="AK330" s="1853"/>
      <c r="AL330" s="1853"/>
      <c r="AM330" s="1853"/>
      <c r="AN330" s="1853"/>
      <c r="AO330" s="1853"/>
      <c r="AP330" s="1853"/>
      <c r="AQ330" s="1853"/>
      <c r="AR330" s="1853"/>
      <c r="AS330" s="1853"/>
      <c r="AT330" s="1853"/>
      <c r="AU330" s="1853"/>
      <c r="AV330" s="1853"/>
      <c r="AW330" s="1853"/>
      <c r="AX330" s="1853"/>
      <c r="AY330" s="1853"/>
      <c r="AZ330" s="1853"/>
      <c r="BA330" s="1853"/>
      <c r="BB330" s="1853"/>
      <c r="BC330" s="1853"/>
      <c r="BD330" s="1853"/>
      <c r="BE330" s="1853"/>
      <c r="BF330" s="1853"/>
      <c r="BG330" s="1853"/>
      <c r="BH330" s="1853"/>
      <c r="BI330" s="1853"/>
      <c r="BJ330" s="1853"/>
      <c r="BK330" s="1853"/>
      <c r="BL330" s="1853"/>
      <c r="BM330" s="1853"/>
      <c r="BN330" s="1853"/>
      <c r="BO330" s="1853"/>
    </row>
    <row r="331" spans="1:67" ht="20.100000000000001" customHeight="1">
      <c r="A331" s="1845">
        <v>18</v>
      </c>
      <c r="B331" s="1854"/>
      <c r="C331" s="1847"/>
      <c r="D331" s="1848" t="s">
        <v>549</v>
      </c>
      <c r="E331" s="1848"/>
      <c r="F331" s="1849"/>
      <c r="G331" s="1225" t="s">
        <v>1109</v>
      </c>
      <c r="H331" s="1850">
        <f t="shared" ca="1" si="160"/>
        <v>2.5399999999999999E-2</v>
      </c>
      <c r="I331" s="1850">
        <f t="shared" ca="1" si="161"/>
        <v>2.5399999999999999E-2</v>
      </c>
      <c r="J331" s="1850">
        <f t="shared" ca="1" si="162"/>
        <v>2.5399999999999999E-2</v>
      </c>
      <c r="K331" s="1850">
        <f t="shared" ca="1" si="163"/>
        <v>2.5399999999999999E-2</v>
      </c>
      <c r="L331" s="1851">
        <f ca="1">IFERROR($H331*44/12*参考2_エネ使用量経年!$H181*(参考2_エネ使用量経年!L181+参考2_エネ使用量経年!L268),"")</f>
        <v>0</v>
      </c>
      <c r="M331" s="1851">
        <f ca="1">IFERROR($I331*44/12*参考2_エネ使用量経年!$I181*(参考2_エネ使用量経年!M181+参考2_エネ使用量経年!M268),"")</f>
        <v>0</v>
      </c>
      <c r="N331" s="1851">
        <f ca="1">IFERROR($J331*44/12*参考2_エネ使用量経年!$J181*(参考2_エネ使用量経年!N181+参考2_エネ使用量経年!N268),"")</f>
        <v>0</v>
      </c>
      <c r="O331" s="1851">
        <f ca="1">IFERROR($K331*44/12*参考2_エネ使用量経年!$K181*(参考2_エネ使用量経年!O181+参考2_エネ使用量経年!O268),"")</f>
        <v>0</v>
      </c>
      <c r="P331" s="1852">
        <f ca="1">IFERROR($H331*44/12*参考2_エネ使用量経年!$H181*(参考2_エネ使用量経年!P181+参考2_エネ使用量経年!P268),"")</f>
        <v>0</v>
      </c>
      <c r="Q331" s="1852">
        <f ca="1">IFERROR($I331*44/12*参考2_エネ使用量経年!$I181*(参考2_エネ使用量経年!Q181+参考2_エネ使用量経年!Q268),"")</f>
        <v>0</v>
      </c>
      <c r="R331" s="1852">
        <f ca="1">IFERROR($J331*44/12*参考2_エネ使用量経年!$J181*(参考2_エネ使用量経年!R181+参考2_エネ使用量経年!R268),"")</f>
        <v>0</v>
      </c>
      <c r="S331" s="1852">
        <f ca="1">IFERROR($K331*44/12*参考2_エネ使用量経年!$K181*(参考2_エネ使用量経年!S181+参考2_エネ使用量経年!S268),"")</f>
        <v>0</v>
      </c>
      <c r="T331" s="1851">
        <f ca="1">IFERROR($H331*44/12*参考2_エネ使用量経年!$H181*(参考2_エネ使用量経年!T181+参考2_エネ使用量経年!T268),"")</f>
        <v>0</v>
      </c>
      <c r="U331" s="1851">
        <f ca="1">IFERROR($I331*44/12*参考2_エネ使用量経年!$I181*(参考2_エネ使用量経年!U181+参考2_エネ使用量経年!U268),"")</f>
        <v>0</v>
      </c>
      <c r="V331" s="1851">
        <f ca="1">IFERROR($J331*44/12*参考2_エネ使用量経年!$J181*(参考2_エネ使用量経年!V181+参考2_エネ使用量経年!V268),"")</f>
        <v>0</v>
      </c>
      <c r="W331" s="1851">
        <f ca="1">IFERROR($K331*44/12*参考2_エネ使用量経年!$K181*(参考2_エネ使用量経年!W181+参考2_エネ使用量経年!W268),"")</f>
        <v>0</v>
      </c>
      <c r="X331" s="1853">
        <f ca="1">IFERROR($H331*44/12*参考2_エネ使用量経年!$H181*(参考2_エネ使用量経年!X181+参考2_エネ使用量経年!X268),"")</f>
        <v>0</v>
      </c>
      <c r="Y331" s="1853">
        <f ca="1">IFERROR($I331*44/12*参考2_エネ使用量経年!$I181*(参考2_エネ使用量経年!Y181+参考2_エネ使用量経年!Y268),"")</f>
        <v>0</v>
      </c>
      <c r="Z331" s="1853">
        <f ca="1">IFERROR($J331*44/12*参考2_エネ使用量経年!$J181*(参考2_エネ使用量経年!Z181+参考2_エネ使用量経年!Z268),"")</f>
        <v>0</v>
      </c>
      <c r="AA331" s="1853">
        <f ca="1">IFERROR($K331*44/12*参考2_エネ使用量経年!$K181*(参考2_エネ使用量経年!AA181+参考2_エネ使用量経年!AA268),"")</f>
        <v>0</v>
      </c>
      <c r="AB331" s="1853"/>
      <c r="AC331" s="1853"/>
      <c r="AD331" s="1853"/>
      <c r="AE331" s="1853"/>
      <c r="AF331" s="1853"/>
      <c r="AG331" s="1853"/>
      <c r="AH331" s="1853"/>
      <c r="AI331" s="1853"/>
      <c r="AJ331" s="1853"/>
      <c r="AK331" s="1853"/>
      <c r="AL331" s="1853"/>
      <c r="AM331" s="1853"/>
      <c r="AN331" s="1853"/>
      <c r="AO331" s="1853"/>
      <c r="AP331" s="1853"/>
      <c r="AQ331" s="1853"/>
      <c r="AR331" s="1853"/>
      <c r="AS331" s="1853"/>
      <c r="AT331" s="1853"/>
      <c r="AU331" s="1853"/>
      <c r="AV331" s="1853"/>
      <c r="AW331" s="1853"/>
      <c r="AX331" s="1853"/>
      <c r="AY331" s="1853"/>
      <c r="AZ331" s="1853"/>
      <c r="BA331" s="1853"/>
      <c r="BB331" s="1853"/>
      <c r="BC331" s="1853"/>
      <c r="BD331" s="1853"/>
      <c r="BE331" s="1853"/>
      <c r="BF331" s="1853"/>
      <c r="BG331" s="1853"/>
      <c r="BH331" s="1853"/>
      <c r="BI331" s="1853"/>
      <c r="BJ331" s="1853"/>
      <c r="BK331" s="1853"/>
      <c r="BL331" s="1853"/>
      <c r="BM331" s="1853"/>
      <c r="BN331" s="1853"/>
      <c r="BO331" s="1853"/>
    </row>
    <row r="332" spans="1:67" ht="20.100000000000001" customHeight="1">
      <c r="A332" s="1845">
        <v>19</v>
      </c>
      <c r="B332" s="1855"/>
      <c r="C332" s="1847"/>
      <c r="D332" s="1848" t="s">
        <v>923</v>
      </c>
      <c r="E332" s="1848"/>
      <c r="F332" s="1849"/>
      <c r="G332" s="1225" t="s">
        <v>1109</v>
      </c>
      <c r="H332" s="1850">
        <f t="shared" ca="1" si="160"/>
        <v>1.6299999999999999E-2</v>
      </c>
      <c r="I332" s="1850">
        <f t="shared" ca="1" si="161"/>
        <v>1.6299999999999999E-2</v>
      </c>
      <c r="J332" s="1850">
        <f t="shared" ca="1" si="162"/>
        <v>1.6299999999999999E-2</v>
      </c>
      <c r="K332" s="1850">
        <f t="shared" ca="1" si="163"/>
        <v>1.6299999999999999E-2</v>
      </c>
      <c r="L332" s="1851">
        <f ca="1">IFERROR($H332*44/12*参考2_エネ使用量経年!$H182*(参考2_エネ使用量経年!L182+参考2_エネ使用量経年!L269),"")</f>
        <v>0</v>
      </c>
      <c r="M332" s="1851">
        <f ca="1">IFERROR($I332*44/12*参考2_エネ使用量経年!$I182*(参考2_エネ使用量経年!M182+参考2_エネ使用量経年!M269),"")</f>
        <v>0</v>
      </c>
      <c r="N332" s="1851">
        <f ca="1">IFERROR($J332*44/12*参考2_エネ使用量経年!$J182*(参考2_エネ使用量経年!N182+参考2_エネ使用量経年!N269),"")</f>
        <v>0</v>
      </c>
      <c r="O332" s="1851">
        <f ca="1">IFERROR($K332*44/12*参考2_エネ使用量経年!$K182*(参考2_エネ使用量経年!O182+参考2_エネ使用量経年!O269),"")</f>
        <v>0</v>
      </c>
      <c r="P332" s="1852">
        <f ca="1">IFERROR($H332*44/12*参考2_エネ使用量経年!$H182*(参考2_エネ使用量経年!P182+参考2_エネ使用量経年!P269),"")</f>
        <v>0</v>
      </c>
      <c r="Q332" s="1852">
        <f ca="1">IFERROR($I332*44/12*参考2_エネ使用量経年!$I182*(参考2_エネ使用量経年!Q182+参考2_エネ使用量経年!Q269),"")</f>
        <v>0</v>
      </c>
      <c r="R332" s="1852">
        <f ca="1">IFERROR($J332*44/12*参考2_エネ使用量経年!$J182*(参考2_エネ使用量経年!R182+参考2_エネ使用量経年!R269),"")</f>
        <v>0</v>
      </c>
      <c r="S332" s="1852">
        <f ca="1">IFERROR($K332*44/12*参考2_エネ使用量経年!$K182*(参考2_エネ使用量経年!S182+参考2_エネ使用量経年!S269),"")</f>
        <v>0</v>
      </c>
      <c r="T332" s="1851">
        <f ca="1">IFERROR($H332*44/12*参考2_エネ使用量経年!$H182*(参考2_エネ使用量経年!T182+参考2_エネ使用量経年!T269),"")</f>
        <v>0</v>
      </c>
      <c r="U332" s="1851">
        <f ca="1">IFERROR($I332*44/12*参考2_エネ使用量経年!$I182*(参考2_エネ使用量経年!U182+参考2_エネ使用量経年!U269),"")</f>
        <v>0</v>
      </c>
      <c r="V332" s="1851">
        <f ca="1">IFERROR($J332*44/12*参考2_エネ使用量経年!$J182*(参考2_エネ使用量経年!V182+参考2_エネ使用量経年!V269),"")</f>
        <v>0</v>
      </c>
      <c r="W332" s="1851">
        <f ca="1">IFERROR($K332*44/12*参考2_エネ使用量経年!$K182*(参考2_エネ使用量経年!W182+参考2_エネ使用量経年!W269),"")</f>
        <v>0</v>
      </c>
      <c r="X332" s="1853">
        <f ca="1">IFERROR($H332*44/12*参考2_エネ使用量経年!$H182*(参考2_エネ使用量経年!X182+参考2_エネ使用量経年!X269),"")</f>
        <v>0</v>
      </c>
      <c r="Y332" s="1853">
        <f ca="1">IFERROR($I332*44/12*参考2_エネ使用量経年!$I182*(参考2_エネ使用量経年!Y182+参考2_エネ使用量経年!Y269),"")</f>
        <v>0</v>
      </c>
      <c r="Z332" s="1853">
        <f ca="1">IFERROR($J332*44/12*参考2_エネ使用量経年!$J182*(参考2_エネ使用量経年!Z182+参考2_エネ使用量経年!Z269),"")</f>
        <v>0</v>
      </c>
      <c r="AA332" s="1853">
        <f ca="1">IFERROR($K332*44/12*参考2_エネ使用量経年!$K182*(参考2_エネ使用量経年!AA182+参考2_エネ使用量経年!AA269),"")</f>
        <v>0</v>
      </c>
      <c r="AB332" s="1853"/>
      <c r="AC332" s="1853"/>
      <c r="AD332" s="1853"/>
      <c r="AE332" s="1853"/>
      <c r="AF332" s="1853"/>
      <c r="AG332" s="1853"/>
      <c r="AH332" s="1853"/>
      <c r="AI332" s="1853"/>
      <c r="AJ332" s="1853"/>
      <c r="AK332" s="1853"/>
      <c r="AL332" s="1853"/>
      <c r="AM332" s="1853"/>
      <c r="AN332" s="1853"/>
      <c r="AO332" s="1853"/>
      <c r="AP332" s="1853"/>
      <c r="AQ332" s="1853"/>
      <c r="AR332" s="1853"/>
      <c r="AS332" s="1853"/>
      <c r="AT332" s="1853"/>
      <c r="AU332" s="1853"/>
      <c r="AV332" s="1853"/>
      <c r="AW332" s="1853"/>
      <c r="AX332" s="1853"/>
      <c r="AY332" s="1853"/>
      <c r="AZ332" s="1853"/>
      <c r="BA332" s="1853"/>
      <c r="BB332" s="1853"/>
      <c r="BC332" s="1853"/>
      <c r="BD332" s="1853"/>
      <c r="BE332" s="1853"/>
      <c r="BF332" s="1853"/>
      <c r="BG332" s="1853"/>
      <c r="BH332" s="1853"/>
      <c r="BI332" s="1853"/>
      <c r="BJ332" s="1853"/>
      <c r="BK332" s="1853"/>
      <c r="BL332" s="1853"/>
      <c r="BM332" s="1853"/>
      <c r="BN332" s="1853"/>
      <c r="BO332" s="1853"/>
    </row>
    <row r="333" spans="1:67" ht="20.100000000000001" customHeight="1">
      <c r="A333" s="1845">
        <v>20</v>
      </c>
      <c r="B333" s="1854"/>
      <c r="C333" s="1847"/>
      <c r="D333" s="1848" t="s">
        <v>924</v>
      </c>
      <c r="E333" s="1848"/>
      <c r="F333" s="1849"/>
      <c r="G333" s="1225" t="s">
        <v>1109</v>
      </c>
      <c r="H333" s="1850">
        <f t="shared" ca="1" si="160"/>
        <v>1.44E-2</v>
      </c>
      <c r="I333" s="1850">
        <f t="shared" ca="1" si="161"/>
        <v>1.44E-2</v>
      </c>
      <c r="J333" s="1850">
        <f t="shared" ca="1" si="162"/>
        <v>1.44E-2</v>
      </c>
      <c r="K333" s="1850">
        <f t="shared" ca="1" si="163"/>
        <v>1.44E-2</v>
      </c>
      <c r="L333" s="1851">
        <f ca="1">IFERROR($H333*44/12*参考2_エネ使用量経年!$H183*(参考2_エネ使用量経年!L183+参考2_エネ使用量経年!L270),"")</f>
        <v>0</v>
      </c>
      <c r="M333" s="1851">
        <f ca="1">IFERROR($I333*44/12*参考2_エネ使用量経年!$I183*(参考2_エネ使用量経年!M183+参考2_エネ使用量経年!M270),"")</f>
        <v>0</v>
      </c>
      <c r="N333" s="1851">
        <f ca="1">IFERROR($J333*44/12*参考2_エネ使用量経年!$J183*(参考2_エネ使用量経年!N183+参考2_エネ使用量経年!N270),"")</f>
        <v>0</v>
      </c>
      <c r="O333" s="1851">
        <f ca="1">IFERROR($K333*44/12*参考2_エネ使用量経年!$K183*(参考2_エネ使用量経年!O183+参考2_エネ使用量経年!O270),"")</f>
        <v>0</v>
      </c>
      <c r="P333" s="1852">
        <f ca="1">IFERROR($H333*44/12*参考2_エネ使用量経年!$H183*(参考2_エネ使用量経年!P183+参考2_エネ使用量経年!P270),"")</f>
        <v>0</v>
      </c>
      <c r="Q333" s="1852">
        <f ca="1">IFERROR($I333*44/12*参考2_エネ使用量経年!$I183*(参考2_エネ使用量経年!Q183+参考2_エネ使用量経年!Q270),"")</f>
        <v>0</v>
      </c>
      <c r="R333" s="1852">
        <f ca="1">IFERROR($J333*44/12*参考2_エネ使用量経年!$J183*(参考2_エネ使用量経年!R183+参考2_エネ使用量経年!R270),"")</f>
        <v>0</v>
      </c>
      <c r="S333" s="1852">
        <f ca="1">IFERROR($K333*44/12*参考2_エネ使用量経年!$K183*(参考2_エネ使用量経年!S183+参考2_エネ使用量経年!S270),"")</f>
        <v>0</v>
      </c>
      <c r="T333" s="1851">
        <f ca="1">IFERROR($H333*44/12*参考2_エネ使用量経年!$H183*(参考2_エネ使用量経年!T183+参考2_エネ使用量経年!T270),"")</f>
        <v>0</v>
      </c>
      <c r="U333" s="1851">
        <f ca="1">IFERROR($I333*44/12*参考2_エネ使用量経年!$I183*(参考2_エネ使用量経年!U183+参考2_エネ使用量経年!U270),"")</f>
        <v>0</v>
      </c>
      <c r="V333" s="1851">
        <f ca="1">IFERROR($J333*44/12*参考2_エネ使用量経年!$J183*(参考2_エネ使用量経年!V183+参考2_エネ使用量経年!V270),"")</f>
        <v>0</v>
      </c>
      <c r="W333" s="1851">
        <f ca="1">IFERROR($K333*44/12*参考2_エネ使用量経年!$K183*(参考2_エネ使用量経年!W183+参考2_エネ使用量経年!W270),"")</f>
        <v>0</v>
      </c>
      <c r="X333" s="1853">
        <f ca="1">IFERROR($H333*44/12*参考2_エネ使用量経年!$H183*(参考2_エネ使用量経年!X183+参考2_エネ使用量経年!X270),"")</f>
        <v>0</v>
      </c>
      <c r="Y333" s="1853">
        <f ca="1">IFERROR($I333*44/12*参考2_エネ使用量経年!$I183*(参考2_エネ使用量経年!Y183+参考2_エネ使用量経年!Y270),"")</f>
        <v>0</v>
      </c>
      <c r="Z333" s="1853">
        <f ca="1">IFERROR($J333*44/12*参考2_エネ使用量経年!$J183*(参考2_エネ使用量経年!Z183+参考2_エネ使用量経年!Z270),"")</f>
        <v>0</v>
      </c>
      <c r="AA333" s="1853">
        <f ca="1">IFERROR($K333*44/12*参考2_エネ使用量経年!$K183*(参考2_エネ使用量経年!AA183+参考2_エネ使用量経年!AA270),"")</f>
        <v>0</v>
      </c>
      <c r="AB333" s="1853"/>
      <c r="AC333" s="1853"/>
      <c r="AD333" s="1853"/>
      <c r="AE333" s="1853"/>
      <c r="AF333" s="1853"/>
      <c r="AG333" s="1853"/>
      <c r="AH333" s="1853"/>
      <c r="AI333" s="1853"/>
      <c r="AJ333" s="1853"/>
      <c r="AK333" s="1853"/>
      <c r="AL333" s="1853"/>
      <c r="AM333" s="1853"/>
      <c r="AN333" s="1853"/>
      <c r="AO333" s="1853"/>
      <c r="AP333" s="1853"/>
      <c r="AQ333" s="1853"/>
      <c r="AR333" s="1853"/>
      <c r="AS333" s="1853"/>
      <c r="AT333" s="1853"/>
      <c r="AU333" s="1853"/>
      <c r="AV333" s="1853"/>
      <c r="AW333" s="1853"/>
      <c r="AX333" s="1853"/>
      <c r="AY333" s="1853"/>
      <c r="AZ333" s="1853"/>
      <c r="BA333" s="1853"/>
      <c r="BB333" s="1853"/>
      <c r="BC333" s="1853"/>
      <c r="BD333" s="1853"/>
      <c r="BE333" s="1853"/>
      <c r="BF333" s="1853"/>
      <c r="BG333" s="1853"/>
      <c r="BH333" s="1853"/>
      <c r="BI333" s="1853"/>
      <c r="BJ333" s="1853"/>
      <c r="BK333" s="1853"/>
      <c r="BL333" s="1853"/>
      <c r="BM333" s="1853"/>
      <c r="BN333" s="1853"/>
      <c r="BO333" s="1853"/>
    </row>
    <row r="334" spans="1:67" ht="20.100000000000001" customHeight="1">
      <c r="A334" s="1845">
        <v>21</v>
      </c>
      <c r="B334" s="1855"/>
      <c r="C334" s="1847"/>
      <c r="D334" s="1848" t="s">
        <v>925</v>
      </c>
      <c r="E334" s="1837"/>
      <c r="F334" s="1849"/>
      <c r="G334" s="1225" t="s">
        <v>1109</v>
      </c>
      <c r="H334" s="1850">
        <f t="shared" ca="1" si="160"/>
        <v>1.3899999999999999E-2</v>
      </c>
      <c r="I334" s="1850">
        <f t="shared" ca="1" si="161"/>
        <v>1.3899999999999999E-2</v>
      </c>
      <c r="J334" s="1850">
        <f t="shared" ca="1" si="162"/>
        <v>1.3899999999999999E-2</v>
      </c>
      <c r="K334" s="1850">
        <f t="shared" ca="1" si="163"/>
        <v>1.3899999999999999E-2</v>
      </c>
      <c r="L334" s="1851">
        <f ca="1">IFERROR($H334*44/12*参考2_エネ使用量経年!$H184*(参考2_エネ使用量経年!L184+参考2_エネ使用量経年!L271),"")</f>
        <v>0</v>
      </c>
      <c r="M334" s="1851">
        <f ca="1">IFERROR($I334*44/12*参考2_エネ使用量経年!$I184*(参考2_エネ使用量経年!M184+参考2_エネ使用量経年!M271),"")</f>
        <v>0</v>
      </c>
      <c r="N334" s="1851">
        <f ca="1">IFERROR($J334*44/12*参考2_エネ使用量経年!$J184*(参考2_エネ使用量経年!N184+参考2_エネ使用量経年!N271),"")</f>
        <v>0</v>
      </c>
      <c r="O334" s="1851">
        <f ca="1">IFERROR($K334*44/12*参考2_エネ使用量経年!$K184*(参考2_エネ使用量経年!O184+参考2_エネ使用量経年!O271),"")</f>
        <v>0</v>
      </c>
      <c r="P334" s="1852">
        <f ca="1">IFERROR($H334*44/12*参考2_エネ使用量経年!$H184*(参考2_エネ使用量経年!P184+参考2_エネ使用量経年!P271),"")</f>
        <v>0</v>
      </c>
      <c r="Q334" s="1852">
        <f ca="1">IFERROR($I334*44/12*参考2_エネ使用量経年!$I184*(参考2_エネ使用量経年!Q184+参考2_エネ使用量経年!Q271),"")</f>
        <v>0</v>
      </c>
      <c r="R334" s="1852">
        <f ca="1">IFERROR($J334*44/12*参考2_エネ使用量経年!$J184*(参考2_エネ使用量経年!R184+参考2_エネ使用量経年!R271),"")</f>
        <v>0</v>
      </c>
      <c r="S334" s="1852">
        <f ca="1">IFERROR($K334*44/12*参考2_エネ使用量経年!$K184*(参考2_エネ使用量経年!S184+参考2_エネ使用量経年!S271),"")</f>
        <v>0</v>
      </c>
      <c r="T334" s="1851">
        <f ca="1">IFERROR($H334*44/12*参考2_エネ使用量経年!$H184*(参考2_エネ使用量経年!T184+参考2_エネ使用量経年!T271),"")</f>
        <v>0</v>
      </c>
      <c r="U334" s="1851">
        <f ca="1">IFERROR($I334*44/12*参考2_エネ使用量経年!$I184*(参考2_エネ使用量経年!U184+参考2_エネ使用量経年!U271),"")</f>
        <v>0</v>
      </c>
      <c r="V334" s="1851">
        <f ca="1">IFERROR($J334*44/12*参考2_エネ使用量経年!$J184*(参考2_エネ使用量経年!V184+参考2_エネ使用量経年!V271),"")</f>
        <v>0</v>
      </c>
      <c r="W334" s="1851">
        <f ca="1">IFERROR($K334*44/12*参考2_エネ使用量経年!$K184*(参考2_エネ使用量経年!W184+参考2_エネ使用量経年!W271),"")</f>
        <v>0</v>
      </c>
      <c r="X334" s="1853">
        <f ca="1">IFERROR($H334*44/12*参考2_エネ使用量経年!$H184*(参考2_エネ使用量経年!X184+参考2_エネ使用量経年!X271),"")</f>
        <v>0</v>
      </c>
      <c r="Y334" s="1853">
        <f ca="1">IFERROR($I334*44/12*参考2_エネ使用量経年!$I184*(参考2_エネ使用量経年!Y184+参考2_エネ使用量経年!Y271),"")</f>
        <v>0</v>
      </c>
      <c r="Z334" s="1853">
        <f ca="1">IFERROR($J334*44/12*参考2_エネ使用量経年!$J184*(参考2_エネ使用量経年!Z184+参考2_エネ使用量経年!Z271),"")</f>
        <v>0</v>
      </c>
      <c r="AA334" s="1853">
        <f ca="1">IFERROR($K334*44/12*参考2_エネ使用量経年!$K184*(参考2_エネ使用量経年!AA184+参考2_エネ使用量経年!AA271),"")</f>
        <v>0</v>
      </c>
      <c r="AB334" s="1853"/>
      <c r="AC334" s="1853"/>
      <c r="AD334" s="1853"/>
      <c r="AE334" s="1853"/>
      <c r="AF334" s="1853"/>
      <c r="AG334" s="1853"/>
      <c r="AH334" s="1853"/>
      <c r="AI334" s="1853"/>
      <c r="AJ334" s="1853"/>
      <c r="AK334" s="1853"/>
      <c r="AL334" s="1853"/>
      <c r="AM334" s="1853"/>
      <c r="AN334" s="1853"/>
      <c r="AO334" s="1853"/>
      <c r="AP334" s="1853"/>
      <c r="AQ334" s="1853"/>
      <c r="AR334" s="1853"/>
      <c r="AS334" s="1853"/>
      <c r="AT334" s="1853"/>
      <c r="AU334" s="1853"/>
      <c r="AV334" s="1853"/>
      <c r="AW334" s="1853"/>
      <c r="AX334" s="1853"/>
      <c r="AY334" s="1853"/>
      <c r="AZ334" s="1853"/>
      <c r="BA334" s="1853"/>
      <c r="BB334" s="1853"/>
      <c r="BC334" s="1853"/>
      <c r="BD334" s="1853"/>
      <c r="BE334" s="1853"/>
      <c r="BF334" s="1853"/>
      <c r="BG334" s="1853"/>
      <c r="BH334" s="1853"/>
      <c r="BI334" s="1853"/>
      <c r="BJ334" s="1853"/>
      <c r="BK334" s="1853"/>
      <c r="BL334" s="1853"/>
      <c r="BM334" s="1853"/>
      <c r="BN334" s="1853"/>
      <c r="BO334" s="1853"/>
    </row>
    <row r="335" spans="1:67" ht="20.100000000000001" customHeight="1">
      <c r="A335" s="1845">
        <v>22</v>
      </c>
      <c r="B335" s="1854"/>
      <c r="C335" s="1847"/>
      <c r="D335" s="1848" t="s">
        <v>926</v>
      </c>
      <c r="E335" s="1848"/>
      <c r="F335" s="1849"/>
      <c r="G335" s="1225" t="s">
        <v>1109</v>
      </c>
      <c r="H335" s="1850">
        <f t="shared" ca="1" si="160"/>
        <v>1.3899999999999999E-2</v>
      </c>
      <c r="I335" s="1850">
        <f t="shared" ca="1" si="161"/>
        <v>1.3899999999999999E-2</v>
      </c>
      <c r="J335" s="1850">
        <f t="shared" ca="1" si="162"/>
        <v>1.3899999999999999E-2</v>
      </c>
      <c r="K335" s="1850">
        <f t="shared" ca="1" si="163"/>
        <v>1.3899999999999999E-2</v>
      </c>
      <c r="L335" s="1851">
        <f ca="1">IFERROR($H335*44/12*参考2_エネ使用量経年!$H185*(参考2_エネ使用量経年!L185+参考2_エネ使用量経年!L272),"")</f>
        <v>0</v>
      </c>
      <c r="M335" s="1851">
        <f ca="1">IFERROR($I335*44/12*参考2_エネ使用量経年!$I185*(参考2_エネ使用量経年!M185+参考2_エネ使用量経年!M272),"")</f>
        <v>0</v>
      </c>
      <c r="N335" s="1851">
        <f ca="1">IFERROR($J335*44/12*参考2_エネ使用量経年!$J185*(参考2_エネ使用量経年!N185+参考2_エネ使用量経年!N272),"")</f>
        <v>0</v>
      </c>
      <c r="O335" s="1851">
        <f ca="1">IFERROR($K335*44/12*参考2_エネ使用量経年!$K185*(参考2_エネ使用量経年!O185+参考2_エネ使用量経年!O272),"")</f>
        <v>0</v>
      </c>
      <c r="P335" s="1852">
        <f ca="1">IFERROR($H335*44/12*参考2_エネ使用量経年!$H185*(参考2_エネ使用量経年!P185+参考2_エネ使用量経年!P272),"")</f>
        <v>0</v>
      </c>
      <c r="Q335" s="1852">
        <f ca="1">IFERROR($I335*44/12*参考2_エネ使用量経年!$I185*(参考2_エネ使用量経年!Q185+参考2_エネ使用量経年!Q272),"")</f>
        <v>0</v>
      </c>
      <c r="R335" s="1852">
        <f ca="1">IFERROR($J335*44/12*参考2_エネ使用量経年!$J185*(参考2_エネ使用量経年!R185+参考2_エネ使用量経年!R272),"")</f>
        <v>0</v>
      </c>
      <c r="S335" s="1852">
        <f ca="1">IFERROR($K335*44/12*参考2_エネ使用量経年!$K185*(参考2_エネ使用量経年!S185+参考2_エネ使用量経年!S272),"")</f>
        <v>0</v>
      </c>
      <c r="T335" s="1851">
        <f ca="1">IFERROR($H335*44/12*参考2_エネ使用量経年!$H185*(参考2_エネ使用量経年!T185+参考2_エネ使用量経年!T272),"")</f>
        <v>0</v>
      </c>
      <c r="U335" s="1851">
        <f ca="1">IFERROR($I335*44/12*参考2_エネ使用量経年!$I185*(参考2_エネ使用量経年!U185+参考2_エネ使用量経年!U272),"")</f>
        <v>0</v>
      </c>
      <c r="V335" s="1851">
        <f ca="1">IFERROR($J335*44/12*参考2_エネ使用量経年!$J185*(参考2_エネ使用量経年!V185+参考2_エネ使用量経年!V272),"")</f>
        <v>0</v>
      </c>
      <c r="W335" s="1851">
        <f ca="1">IFERROR($K335*44/12*参考2_エネ使用量経年!$K185*(参考2_エネ使用量経年!W185+参考2_エネ使用量経年!W272),"")</f>
        <v>0</v>
      </c>
      <c r="X335" s="1853">
        <f ca="1">IFERROR($H335*44/12*参考2_エネ使用量経年!$H185*(参考2_エネ使用量経年!X185+参考2_エネ使用量経年!X272),"")</f>
        <v>0</v>
      </c>
      <c r="Y335" s="1853">
        <f ca="1">IFERROR($I335*44/12*参考2_エネ使用量経年!$I185*(参考2_エネ使用量経年!Y185+参考2_エネ使用量経年!Y272),"")</f>
        <v>0</v>
      </c>
      <c r="Z335" s="1853">
        <f ca="1">IFERROR($J335*44/12*参考2_エネ使用量経年!$J185*(参考2_エネ使用量経年!Z185+参考2_エネ使用量経年!Z272),"")</f>
        <v>0</v>
      </c>
      <c r="AA335" s="1853">
        <f ca="1">IFERROR($K335*44/12*参考2_エネ使用量経年!$K185*(参考2_エネ使用量経年!AA185+参考2_エネ使用量経年!AA272),"")</f>
        <v>0</v>
      </c>
      <c r="AB335" s="1853"/>
      <c r="AC335" s="1853"/>
      <c r="AD335" s="1853"/>
      <c r="AE335" s="1853"/>
      <c r="AF335" s="1853"/>
      <c r="AG335" s="1853"/>
      <c r="AH335" s="1853"/>
      <c r="AI335" s="1853"/>
      <c r="AJ335" s="1853"/>
      <c r="AK335" s="1853"/>
      <c r="AL335" s="1853"/>
      <c r="AM335" s="1853"/>
      <c r="AN335" s="1853"/>
      <c r="AO335" s="1853"/>
      <c r="AP335" s="1853"/>
      <c r="AQ335" s="1853"/>
      <c r="AR335" s="1853"/>
      <c r="AS335" s="1853"/>
      <c r="AT335" s="1853"/>
      <c r="AU335" s="1853"/>
      <c r="AV335" s="1853"/>
      <c r="AW335" s="1853"/>
      <c r="AX335" s="1853"/>
      <c r="AY335" s="1853"/>
      <c r="AZ335" s="1853"/>
      <c r="BA335" s="1853"/>
      <c r="BB335" s="1853"/>
      <c r="BC335" s="1853"/>
      <c r="BD335" s="1853"/>
      <c r="BE335" s="1853"/>
      <c r="BF335" s="1853"/>
      <c r="BG335" s="1853"/>
      <c r="BH335" s="1853"/>
      <c r="BI335" s="1853"/>
      <c r="BJ335" s="1853"/>
      <c r="BK335" s="1853"/>
      <c r="BL335" s="1853"/>
      <c r="BM335" s="1853"/>
      <c r="BN335" s="1853"/>
      <c r="BO335" s="1853"/>
    </row>
    <row r="336" spans="1:67" ht="20.100000000000001" customHeight="1">
      <c r="A336" s="1845">
        <v>23</v>
      </c>
      <c r="B336" s="1854"/>
      <c r="C336" s="1847"/>
      <c r="D336" s="1848" t="s">
        <v>927</v>
      </c>
      <c r="E336" s="1848"/>
      <c r="F336" s="1849"/>
      <c r="G336" s="1225" t="s">
        <v>1109</v>
      </c>
      <c r="H336" s="1850">
        <f t="shared" ca="1" si="160"/>
        <v>2.46E-2</v>
      </c>
      <c r="I336" s="1850">
        <f t="shared" ca="1" si="161"/>
        <v>2.46E-2</v>
      </c>
      <c r="J336" s="1850">
        <f t="shared" ca="1" si="162"/>
        <v>2.46E-2</v>
      </c>
      <c r="K336" s="1850">
        <f t="shared" ca="1" si="163"/>
        <v>2.46E-2</v>
      </c>
      <c r="L336" s="1851">
        <f ca="1">IFERROR($H336*44/12*参考2_エネ使用量経年!$H186*(参考2_エネ使用量経年!L186+参考2_エネ使用量経年!L273),"")</f>
        <v>0</v>
      </c>
      <c r="M336" s="1851">
        <f ca="1">IFERROR($I336*44/12*参考2_エネ使用量経年!$I186*(参考2_エネ使用量経年!M186+参考2_エネ使用量経年!M273),"")</f>
        <v>0</v>
      </c>
      <c r="N336" s="1851">
        <f ca="1">IFERROR($J336*44/12*参考2_エネ使用量経年!$J186*(参考2_エネ使用量経年!N186+参考2_エネ使用量経年!N273),"")</f>
        <v>0</v>
      </c>
      <c r="O336" s="1851">
        <f ca="1">IFERROR($K336*44/12*参考2_エネ使用量経年!$K186*(参考2_エネ使用量経年!O186+参考2_エネ使用量経年!O273),"")</f>
        <v>0</v>
      </c>
      <c r="P336" s="1852">
        <f ca="1">IFERROR($H336*44/12*参考2_エネ使用量経年!$H186*(参考2_エネ使用量経年!P186+参考2_エネ使用量経年!P273),"")</f>
        <v>0</v>
      </c>
      <c r="Q336" s="1852">
        <f ca="1">IFERROR($I336*44/12*参考2_エネ使用量経年!$I186*(参考2_エネ使用量経年!Q186+参考2_エネ使用量経年!Q273),"")</f>
        <v>0</v>
      </c>
      <c r="R336" s="1852">
        <f ca="1">IFERROR($J336*44/12*参考2_エネ使用量経年!$J186*(参考2_エネ使用量経年!R186+参考2_エネ使用量経年!R273),"")</f>
        <v>0</v>
      </c>
      <c r="S336" s="1852">
        <f ca="1">IFERROR($K336*44/12*参考2_エネ使用量経年!$K186*(参考2_エネ使用量経年!S186+参考2_エネ使用量経年!S273),"")</f>
        <v>0</v>
      </c>
      <c r="T336" s="1851">
        <f ca="1">IFERROR($H336*44/12*参考2_エネ使用量経年!$H186*(参考2_エネ使用量経年!T186+参考2_エネ使用量経年!T273),"")</f>
        <v>0</v>
      </c>
      <c r="U336" s="1851">
        <f ca="1">IFERROR($I336*44/12*参考2_エネ使用量経年!$I186*(参考2_エネ使用量経年!U186+参考2_エネ使用量経年!U273),"")</f>
        <v>0</v>
      </c>
      <c r="V336" s="1851">
        <f ca="1">IFERROR($J336*44/12*参考2_エネ使用量経年!$J186*(参考2_エネ使用量経年!V186+参考2_エネ使用量経年!V273),"")</f>
        <v>0</v>
      </c>
      <c r="W336" s="1851">
        <f ca="1">IFERROR($K336*44/12*参考2_エネ使用量経年!$K186*(参考2_エネ使用量経年!W186+参考2_エネ使用量経年!W273),"")</f>
        <v>0</v>
      </c>
      <c r="X336" s="1853">
        <f ca="1">IFERROR($H336*44/12*参考2_エネ使用量経年!$H186*(参考2_エネ使用量経年!X186+参考2_エネ使用量経年!X273),"")</f>
        <v>0</v>
      </c>
      <c r="Y336" s="1853">
        <f ca="1">IFERROR($I336*44/12*参考2_エネ使用量経年!$I186*(参考2_エネ使用量経年!Y186+参考2_エネ使用量経年!Y273),"")</f>
        <v>0</v>
      </c>
      <c r="Z336" s="1853">
        <f ca="1">IFERROR($J336*44/12*参考2_エネ使用量経年!$J186*(参考2_エネ使用量経年!Z186+参考2_エネ使用量経年!Z273),"")</f>
        <v>0</v>
      </c>
      <c r="AA336" s="1853">
        <f ca="1">IFERROR($K336*44/12*参考2_エネ使用量経年!$K186*(参考2_エネ使用量経年!AA186+参考2_エネ使用量経年!AA273),"")</f>
        <v>0</v>
      </c>
      <c r="AB336" s="1853"/>
      <c r="AC336" s="1853"/>
      <c r="AD336" s="1853"/>
      <c r="AE336" s="1853"/>
      <c r="AF336" s="1853"/>
      <c r="AG336" s="1853"/>
      <c r="AH336" s="1853"/>
      <c r="AI336" s="1853"/>
      <c r="AJ336" s="1853"/>
      <c r="AK336" s="1853"/>
      <c r="AL336" s="1853"/>
      <c r="AM336" s="1853"/>
      <c r="AN336" s="1853"/>
      <c r="AO336" s="1853"/>
      <c r="AP336" s="1853"/>
      <c r="AQ336" s="1853"/>
      <c r="AR336" s="1853"/>
      <c r="AS336" s="1853"/>
      <c r="AT336" s="1853"/>
      <c r="AU336" s="1853"/>
      <c r="AV336" s="1853"/>
      <c r="AW336" s="1853"/>
      <c r="AX336" s="1853"/>
      <c r="AY336" s="1853"/>
      <c r="AZ336" s="1853"/>
      <c r="BA336" s="1853"/>
      <c r="BB336" s="1853"/>
      <c r="BC336" s="1853"/>
      <c r="BD336" s="1853"/>
      <c r="BE336" s="1853"/>
      <c r="BF336" s="1853"/>
      <c r="BG336" s="1853"/>
      <c r="BH336" s="1853"/>
      <c r="BI336" s="1853"/>
      <c r="BJ336" s="1853"/>
      <c r="BK336" s="1853"/>
      <c r="BL336" s="1853"/>
      <c r="BM336" s="1853"/>
      <c r="BN336" s="1853"/>
      <c r="BO336" s="1853"/>
    </row>
    <row r="337" spans="1:67" ht="20.100000000000001" customHeight="1">
      <c r="A337" s="1845">
        <v>24</v>
      </c>
      <c r="B337" s="1854"/>
      <c r="C337" s="1847"/>
      <c r="D337" s="1848" t="s">
        <v>928</v>
      </c>
      <c r="E337" s="1837"/>
      <c r="F337" s="1849"/>
      <c r="G337" s="1225" t="s">
        <v>1109</v>
      </c>
      <c r="H337" s="1850">
        <f t="shared" ca="1" si="160"/>
        <v>2.4500000000000001E-2</v>
      </c>
      <c r="I337" s="1850">
        <f t="shared" ca="1" si="161"/>
        <v>2.4500000000000001E-2</v>
      </c>
      <c r="J337" s="1850">
        <f t="shared" ca="1" si="162"/>
        <v>2.4500000000000001E-2</v>
      </c>
      <c r="K337" s="1850">
        <f t="shared" ca="1" si="163"/>
        <v>2.4500000000000001E-2</v>
      </c>
      <c r="L337" s="1851">
        <f ca="1">IFERROR($H337*44/12*参考2_エネ使用量経年!$H187*(参考2_エネ使用量経年!L187+参考2_エネ使用量経年!L274),"")</f>
        <v>0</v>
      </c>
      <c r="M337" s="1851">
        <f ca="1">IFERROR($I337*44/12*参考2_エネ使用量経年!$I187*(参考2_エネ使用量経年!M187+参考2_エネ使用量経年!M274),"")</f>
        <v>0</v>
      </c>
      <c r="N337" s="1851">
        <f ca="1">IFERROR($J337*44/12*参考2_エネ使用量経年!$J187*(参考2_エネ使用量経年!N187+参考2_エネ使用量経年!N274),"")</f>
        <v>0</v>
      </c>
      <c r="O337" s="1851">
        <f ca="1">IFERROR($K337*44/12*参考2_エネ使用量経年!$K187*(参考2_エネ使用量経年!O187+参考2_エネ使用量経年!O274),"")</f>
        <v>0</v>
      </c>
      <c r="P337" s="1852">
        <f ca="1">IFERROR($H337*44/12*参考2_エネ使用量経年!$H187*(参考2_エネ使用量経年!P187+参考2_エネ使用量経年!P274),"")</f>
        <v>0</v>
      </c>
      <c r="Q337" s="1852">
        <f ca="1">IFERROR($I337*44/12*参考2_エネ使用量経年!$I187*(参考2_エネ使用量経年!Q187+参考2_エネ使用量経年!Q274),"")</f>
        <v>0</v>
      </c>
      <c r="R337" s="1852">
        <f ca="1">IFERROR($J337*44/12*参考2_エネ使用量経年!$J187*(参考2_エネ使用量経年!R187+参考2_エネ使用量経年!R274),"")</f>
        <v>0</v>
      </c>
      <c r="S337" s="1852">
        <f ca="1">IFERROR($K337*44/12*参考2_エネ使用量経年!$K187*(参考2_エネ使用量経年!S187+参考2_エネ使用量経年!S274),"")</f>
        <v>0</v>
      </c>
      <c r="T337" s="1851">
        <f ca="1">IFERROR($H337*44/12*参考2_エネ使用量経年!$H187*(参考2_エネ使用量経年!T187+参考2_エネ使用量経年!T274),"")</f>
        <v>0</v>
      </c>
      <c r="U337" s="1851">
        <f ca="1">IFERROR($I337*44/12*参考2_エネ使用量経年!$I187*(参考2_エネ使用量経年!U187+参考2_エネ使用量経年!U274),"")</f>
        <v>0</v>
      </c>
      <c r="V337" s="1851">
        <f ca="1">IFERROR($J337*44/12*参考2_エネ使用量経年!$J187*(参考2_エネ使用量経年!V187+参考2_エネ使用量経年!V274),"")</f>
        <v>0</v>
      </c>
      <c r="W337" s="1851">
        <f ca="1">IFERROR($K337*44/12*参考2_エネ使用量経年!$K187*(参考2_エネ使用量経年!W187+参考2_エネ使用量経年!W274),"")</f>
        <v>0</v>
      </c>
      <c r="X337" s="1853">
        <f ca="1">IFERROR($H337*44/12*参考2_エネ使用量経年!$H187*(参考2_エネ使用量経年!X187+参考2_エネ使用量経年!X274),"")</f>
        <v>0</v>
      </c>
      <c r="Y337" s="1853">
        <f ca="1">IFERROR($I337*44/12*参考2_エネ使用量経年!$I187*(参考2_エネ使用量経年!Y187+参考2_エネ使用量経年!Y274),"")</f>
        <v>0</v>
      </c>
      <c r="Z337" s="1853">
        <f ca="1">IFERROR($J337*44/12*参考2_エネ使用量経年!$J187*(参考2_エネ使用量経年!Z187+参考2_エネ使用量経年!Z274),"")</f>
        <v>0</v>
      </c>
      <c r="AA337" s="1853">
        <f ca="1">IFERROR($K337*44/12*参考2_エネ使用量経年!$K187*(参考2_エネ使用量経年!AA187+参考2_エネ使用量経年!AA274),"")</f>
        <v>0</v>
      </c>
      <c r="AB337" s="1853"/>
      <c r="AC337" s="1853"/>
      <c r="AD337" s="1853"/>
      <c r="AE337" s="1853"/>
      <c r="AF337" s="1853"/>
      <c r="AG337" s="1853"/>
      <c r="AH337" s="1853"/>
      <c r="AI337" s="1853"/>
      <c r="AJ337" s="1853"/>
      <c r="AK337" s="1853"/>
      <c r="AL337" s="1853"/>
      <c r="AM337" s="1853"/>
      <c r="AN337" s="1853"/>
      <c r="AO337" s="1853"/>
      <c r="AP337" s="1853"/>
      <c r="AQ337" s="1853"/>
      <c r="AR337" s="1853"/>
      <c r="AS337" s="1853"/>
      <c r="AT337" s="1853"/>
      <c r="AU337" s="1853"/>
      <c r="AV337" s="1853"/>
      <c r="AW337" s="1853"/>
      <c r="AX337" s="1853"/>
      <c r="AY337" s="1853"/>
      <c r="AZ337" s="1853"/>
      <c r="BA337" s="1853"/>
      <c r="BB337" s="1853"/>
      <c r="BC337" s="1853"/>
      <c r="BD337" s="1853"/>
      <c r="BE337" s="1853"/>
      <c r="BF337" s="1853"/>
      <c r="BG337" s="1853"/>
      <c r="BH337" s="1853"/>
      <c r="BI337" s="1853"/>
      <c r="BJ337" s="1853"/>
      <c r="BK337" s="1853"/>
      <c r="BL337" s="1853"/>
      <c r="BM337" s="1853"/>
      <c r="BN337" s="1853"/>
      <c r="BO337" s="1853"/>
    </row>
    <row r="338" spans="1:67" ht="20.100000000000001" customHeight="1">
      <c r="A338" s="1845">
        <v>25</v>
      </c>
      <c r="B338" s="1854"/>
      <c r="C338" s="1847"/>
      <c r="D338" s="1848" t="s">
        <v>929</v>
      </c>
      <c r="E338" s="1848"/>
      <c r="F338" s="1849"/>
      <c r="G338" s="1225" t="s">
        <v>1109</v>
      </c>
      <c r="H338" s="1850">
        <f t="shared" ca="1" si="160"/>
        <v>2.5100000000000001E-2</v>
      </c>
      <c r="I338" s="1850">
        <f t="shared" ca="1" si="161"/>
        <v>2.5100000000000001E-2</v>
      </c>
      <c r="J338" s="1850">
        <f t="shared" ca="1" si="162"/>
        <v>2.5100000000000001E-2</v>
      </c>
      <c r="K338" s="1850">
        <f t="shared" ca="1" si="163"/>
        <v>2.5100000000000001E-2</v>
      </c>
      <c r="L338" s="1851">
        <f ca="1">IFERROR($H338*44/12*参考2_エネ使用量経年!$H188*(参考2_エネ使用量経年!L188+参考2_エネ使用量経年!L275),"")</f>
        <v>0</v>
      </c>
      <c r="M338" s="1851">
        <f ca="1">IFERROR($I338*44/12*参考2_エネ使用量経年!$I188*(参考2_エネ使用量経年!M188+参考2_エネ使用量経年!M275),"")</f>
        <v>0</v>
      </c>
      <c r="N338" s="1851">
        <f ca="1">IFERROR($J338*44/12*参考2_エネ使用量経年!$J188*(参考2_エネ使用量経年!N188+参考2_エネ使用量経年!N275),"")</f>
        <v>0</v>
      </c>
      <c r="O338" s="1851">
        <f ca="1">IFERROR($K338*44/12*参考2_エネ使用量経年!$K188*(参考2_エネ使用量経年!O188+参考2_エネ使用量経年!O275),"")</f>
        <v>0</v>
      </c>
      <c r="P338" s="1852">
        <f ca="1">IFERROR($H338*44/12*参考2_エネ使用量経年!$H188*(参考2_エネ使用量経年!P188+参考2_エネ使用量経年!P275),"")</f>
        <v>0</v>
      </c>
      <c r="Q338" s="1852">
        <f ca="1">IFERROR($I338*44/12*参考2_エネ使用量経年!$I188*(参考2_エネ使用量経年!Q188+参考2_エネ使用量経年!Q275),"")</f>
        <v>0</v>
      </c>
      <c r="R338" s="1852">
        <f ca="1">IFERROR($J338*44/12*参考2_エネ使用量経年!$J188*(参考2_エネ使用量経年!R188+参考2_エネ使用量経年!R275),"")</f>
        <v>0</v>
      </c>
      <c r="S338" s="1852">
        <f ca="1">IFERROR($K338*44/12*参考2_エネ使用量経年!$K188*(参考2_エネ使用量経年!S188+参考2_エネ使用量経年!S275),"")</f>
        <v>0</v>
      </c>
      <c r="T338" s="1851">
        <f ca="1">IFERROR($H338*44/12*参考2_エネ使用量経年!$H188*(参考2_エネ使用量経年!T188+参考2_エネ使用量経年!T275),"")</f>
        <v>0</v>
      </c>
      <c r="U338" s="1851">
        <f ca="1">IFERROR($I338*44/12*参考2_エネ使用量経年!$I188*(参考2_エネ使用量経年!U188+参考2_エネ使用量経年!U275),"")</f>
        <v>0</v>
      </c>
      <c r="V338" s="1851">
        <f ca="1">IFERROR($J338*44/12*参考2_エネ使用量経年!$J188*(参考2_エネ使用量経年!V188+参考2_エネ使用量経年!V275),"")</f>
        <v>0</v>
      </c>
      <c r="W338" s="1851">
        <f ca="1">IFERROR($K338*44/12*参考2_エネ使用量経年!$K188*(参考2_エネ使用量経年!W188+参考2_エネ使用量経年!W275),"")</f>
        <v>0</v>
      </c>
      <c r="X338" s="1853">
        <f ca="1">IFERROR($H338*44/12*参考2_エネ使用量経年!$H188*(参考2_エネ使用量経年!X188+参考2_エネ使用量経年!X275),"")</f>
        <v>0</v>
      </c>
      <c r="Y338" s="1853">
        <f ca="1">IFERROR($I338*44/12*参考2_エネ使用量経年!$I188*(参考2_エネ使用量経年!Y188+参考2_エネ使用量経年!Y275),"")</f>
        <v>0</v>
      </c>
      <c r="Z338" s="1853">
        <f ca="1">IFERROR($J338*44/12*参考2_エネ使用量経年!$J188*(参考2_エネ使用量経年!Z188+参考2_エネ使用量経年!Z275),"")</f>
        <v>0</v>
      </c>
      <c r="AA338" s="1853">
        <f ca="1">IFERROR($K338*44/12*参考2_エネ使用量経年!$K188*(参考2_エネ使用量経年!AA188+参考2_エネ使用量経年!AA275),"")</f>
        <v>0</v>
      </c>
      <c r="AB338" s="1853"/>
      <c r="AC338" s="1853"/>
      <c r="AD338" s="1853"/>
      <c r="AE338" s="1853"/>
      <c r="AF338" s="1853"/>
      <c r="AG338" s="1853"/>
      <c r="AH338" s="1853"/>
      <c r="AI338" s="1853"/>
      <c r="AJ338" s="1853"/>
      <c r="AK338" s="1853"/>
      <c r="AL338" s="1853"/>
      <c r="AM338" s="1853"/>
      <c r="AN338" s="1853"/>
      <c r="AO338" s="1853"/>
      <c r="AP338" s="1853"/>
      <c r="AQ338" s="1853"/>
      <c r="AR338" s="1853"/>
      <c r="AS338" s="1853"/>
      <c r="AT338" s="1853"/>
      <c r="AU338" s="1853"/>
      <c r="AV338" s="1853"/>
      <c r="AW338" s="1853"/>
      <c r="AX338" s="1853"/>
      <c r="AY338" s="1853"/>
      <c r="AZ338" s="1853"/>
      <c r="BA338" s="1853"/>
      <c r="BB338" s="1853"/>
      <c r="BC338" s="1853"/>
      <c r="BD338" s="1853"/>
      <c r="BE338" s="1853"/>
      <c r="BF338" s="1853"/>
      <c r="BG338" s="1853"/>
      <c r="BH338" s="1853"/>
      <c r="BI338" s="1853"/>
      <c r="BJ338" s="1853"/>
      <c r="BK338" s="1853"/>
      <c r="BL338" s="1853"/>
      <c r="BM338" s="1853"/>
      <c r="BN338" s="1853"/>
      <c r="BO338" s="1853"/>
    </row>
    <row r="339" spans="1:67" ht="20.100000000000001" customHeight="1">
      <c r="A339" s="1845">
        <v>26</v>
      </c>
      <c r="B339" s="1854"/>
      <c r="C339" s="1847"/>
      <c r="D339" s="1848" t="s">
        <v>930</v>
      </c>
      <c r="E339" s="1848"/>
      <c r="F339" s="1849"/>
      <c r="G339" s="1225" t="s">
        <v>1109</v>
      </c>
      <c r="H339" s="1850">
        <f t="shared" ca="1" si="160"/>
        <v>2.4299999999999999E-2</v>
      </c>
      <c r="I339" s="1850">
        <f t="shared" ca="1" si="161"/>
        <v>2.4299999999999999E-2</v>
      </c>
      <c r="J339" s="1850">
        <f t="shared" ca="1" si="162"/>
        <v>2.4299999999999999E-2</v>
      </c>
      <c r="K339" s="1850">
        <f t="shared" ca="1" si="163"/>
        <v>2.4299999999999999E-2</v>
      </c>
      <c r="L339" s="1851">
        <f ca="1">IFERROR($H339*44/12*参考2_エネ使用量経年!$H189*(参考2_エネ使用量経年!L189+参考2_エネ使用量経年!L276),"")</f>
        <v>0</v>
      </c>
      <c r="M339" s="1851">
        <f ca="1">IFERROR($I339*44/12*参考2_エネ使用量経年!$I189*(参考2_エネ使用量経年!M189+参考2_エネ使用量経年!M276),"")</f>
        <v>0</v>
      </c>
      <c r="N339" s="1851">
        <f ca="1">IFERROR($J339*44/12*参考2_エネ使用量経年!$J189*(参考2_エネ使用量経年!N189+参考2_エネ使用量経年!N276),"")</f>
        <v>0</v>
      </c>
      <c r="O339" s="1851">
        <f ca="1">IFERROR($K339*44/12*参考2_エネ使用量経年!$K189*(参考2_エネ使用量経年!O189+参考2_エネ使用量経年!O276),"")</f>
        <v>0</v>
      </c>
      <c r="P339" s="1852">
        <f ca="1">IFERROR($H339*44/12*参考2_エネ使用量経年!$H189*(参考2_エネ使用量経年!P189+参考2_エネ使用量経年!P276),"")</f>
        <v>0</v>
      </c>
      <c r="Q339" s="1852">
        <f ca="1">IFERROR($I339*44/12*参考2_エネ使用量経年!$I189*(参考2_エネ使用量経年!Q189+参考2_エネ使用量経年!Q276),"")</f>
        <v>0</v>
      </c>
      <c r="R339" s="1852">
        <f ca="1">IFERROR($J339*44/12*参考2_エネ使用量経年!$J189*(参考2_エネ使用量経年!R189+参考2_エネ使用量経年!R276),"")</f>
        <v>0</v>
      </c>
      <c r="S339" s="1852">
        <f ca="1">IFERROR($K339*44/12*参考2_エネ使用量経年!$K189*(参考2_エネ使用量経年!S189+参考2_エネ使用量経年!S276),"")</f>
        <v>0</v>
      </c>
      <c r="T339" s="1851">
        <f ca="1">IFERROR($H339*44/12*参考2_エネ使用量経年!$H189*(参考2_エネ使用量経年!T189+参考2_エネ使用量経年!T276),"")</f>
        <v>0</v>
      </c>
      <c r="U339" s="1851">
        <f ca="1">IFERROR($I339*44/12*参考2_エネ使用量経年!$I189*(参考2_エネ使用量経年!U189+参考2_エネ使用量経年!U276),"")</f>
        <v>0</v>
      </c>
      <c r="V339" s="1851">
        <f ca="1">IFERROR($J339*44/12*参考2_エネ使用量経年!$J189*(参考2_エネ使用量経年!V189+参考2_エネ使用量経年!V276),"")</f>
        <v>0</v>
      </c>
      <c r="W339" s="1851">
        <f ca="1">IFERROR($K339*44/12*参考2_エネ使用量経年!$K189*(参考2_エネ使用量経年!W189+参考2_エネ使用量経年!W276),"")</f>
        <v>0</v>
      </c>
      <c r="X339" s="1853">
        <f ca="1">IFERROR($H339*44/12*参考2_エネ使用量経年!$H189*(参考2_エネ使用量経年!X189+参考2_エネ使用量経年!X276),"")</f>
        <v>0</v>
      </c>
      <c r="Y339" s="1853">
        <f ca="1">IFERROR($I339*44/12*参考2_エネ使用量経年!$I189*(参考2_エネ使用量経年!Y189+参考2_エネ使用量経年!Y276),"")</f>
        <v>0</v>
      </c>
      <c r="Z339" s="1853">
        <f ca="1">IFERROR($J339*44/12*参考2_エネ使用量経年!$J189*(参考2_エネ使用量経年!Z189+参考2_エネ使用量経年!Z276),"")</f>
        <v>0</v>
      </c>
      <c r="AA339" s="1853">
        <f ca="1">IFERROR($K339*44/12*参考2_エネ使用量経年!$K189*(参考2_エネ使用量経年!AA189+参考2_エネ使用量経年!AA276),"")</f>
        <v>0</v>
      </c>
      <c r="AB339" s="1853"/>
      <c r="AC339" s="1853"/>
      <c r="AD339" s="1853"/>
      <c r="AE339" s="1853"/>
      <c r="AF339" s="1853"/>
      <c r="AG339" s="1853"/>
      <c r="AH339" s="1853"/>
      <c r="AI339" s="1853"/>
      <c r="AJ339" s="1853"/>
      <c r="AK339" s="1853"/>
      <c r="AL339" s="1853"/>
      <c r="AM339" s="1853"/>
      <c r="AN339" s="1853"/>
      <c r="AO339" s="1853"/>
      <c r="AP339" s="1853"/>
      <c r="AQ339" s="1853"/>
      <c r="AR339" s="1853"/>
      <c r="AS339" s="1853"/>
      <c r="AT339" s="1853"/>
      <c r="AU339" s="1853"/>
      <c r="AV339" s="1853"/>
      <c r="AW339" s="1853"/>
      <c r="AX339" s="1853"/>
      <c r="AY339" s="1853"/>
      <c r="AZ339" s="1853"/>
      <c r="BA339" s="1853"/>
      <c r="BB339" s="1853"/>
      <c r="BC339" s="1853"/>
      <c r="BD339" s="1853"/>
      <c r="BE339" s="1853"/>
      <c r="BF339" s="1853"/>
      <c r="BG339" s="1853"/>
      <c r="BH339" s="1853"/>
      <c r="BI339" s="1853"/>
      <c r="BJ339" s="1853"/>
      <c r="BK339" s="1853"/>
      <c r="BL339" s="1853"/>
      <c r="BM339" s="1853"/>
      <c r="BN339" s="1853"/>
      <c r="BO339" s="1853"/>
    </row>
    <row r="340" spans="1:67" ht="20.100000000000001" customHeight="1">
      <c r="A340" s="1845">
        <v>27</v>
      </c>
      <c r="B340" s="1854"/>
      <c r="C340" s="1847"/>
      <c r="D340" s="1848" t="s">
        <v>931</v>
      </c>
      <c r="E340" s="1848"/>
      <c r="F340" s="1849"/>
      <c r="G340" s="1225" t="s">
        <v>1109</v>
      </c>
      <c r="H340" s="1850">
        <f t="shared" ca="1" si="160"/>
        <v>2.4199999999999999E-2</v>
      </c>
      <c r="I340" s="1850">
        <f t="shared" ca="1" si="161"/>
        <v>2.4199999999999999E-2</v>
      </c>
      <c r="J340" s="1850">
        <f t="shared" ca="1" si="162"/>
        <v>2.4199999999999999E-2</v>
      </c>
      <c r="K340" s="1850">
        <f t="shared" ca="1" si="163"/>
        <v>2.4199999999999999E-2</v>
      </c>
      <c r="L340" s="1851">
        <f ca="1">IFERROR($H340*44/12*参考2_エネ使用量経年!$H190*(参考2_エネ使用量経年!L190+参考2_エネ使用量経年!L277),"")</f>
        <v>0</v>
      </c>
      <c r="M340" s="1851">
        <f ca="1">IFERROR($I340*44/12*参考2_エネ使用量経年!$I190*(参考2_エネ使用量経年!M190+参考2_エネ使用量経年!M277),"")</f>
        <v>0</v>
      </c>
      <c r="N340" s="1851">
        <f ca="1">IFERROR($J340*44/12*参考2_エネ使用量経年!$J190*(参考2_エネ使用量経年!N190+参考2_エネ使用量経年!N277),"")</f>
        <v>0</v>
      </c>
      <c r="O340" s="1851">
        <f ca="1">IFERROR($K340*44/12*参考2_エネ使用量経年!$K190*(参考2_エネ使用量経年!O190+参考2_エネ使用量経年!O277),"")</f>
        <v>0</v>
      </c>
      <c r="P340" s="1852">
        <f ca="1">IFERROR($H340*44/12*参考2_エネ使用量経年!$H190*(参考2_エネ使用量経年!P190+参考2_エネ使用量経年!P277),"")</f>
        <v>0</v>
      </c>
      <c r="Q340" s="1852">
        <f ca="1">IFERROR($I340*44/12*参考2_エネ使用量経年!$I190*(参考2_エネ使用量経年!Q190+参考2_エネ使用量経年!Q277),"")</f>
        <v>0</v>
      </c>
      <c r="R340" s="1852">
        <f ca="1">IFERROR($J340*44/12*参考2_エネ使用量経年!$J190*(参考2_エネ使用量経年!R190+参考2_エネ使用量経年!R277),"")</f>
        <v>0</v>
      </c>
      <c r="S340" s="1852">
        <f ca="1">IFERROR($K340*44/12*参考2_エネ使用量経年!$K190*(参考2_エネ使用量経年!S190+参考2_エネ使用量経年!S277),"")</f>
        <v>0</v>
      </c>
      <c r="T340" s="1851">
        <f ca="1">IFERROR($H340*44/12*参考2_エネ使用量経年!$H190*(参考2_エネ使用量経年!T190+参考2_エネ使用量経年!T277),"")</f>
        <v>0</v>
      </c>
      <c r="U340" s="1851">
        <f ca="1">IFERROR($I340*44/12*参考2_エネ使用量経年!$I190*(参考2_エネ使用量経年!U190+参考2_エネ使用量経年!U277),"")</f>
        <v>0</v>
      </c>
      <c r="V340" s="1851">
        <f ca="1">IFERROR($J340*44/12*参考2_エネ使用量経年!$J190*(参考2_エネ使用量経年!V190+参考2_エネ使用量経年!V277),"")</f>
        <v>0</v>
      </c>
      <c r="W340" s="1851">
        <f ca="1">IFERROR($K340*44/12*参考2_エネ使用量経年!$K190*(参考2_エネ使用量経年!W190+参考2_エネ使用量経年!W277),"")</f>
        <v>0</v>
      </c>
      <c r="X340" s="1853">
        <f ca="1">IFERROR($H340*44/12*参考2_エネ使用量経年!$H190*(参考2_エネ使用量経年!X190+参考2_エネ使用量経年!X277),"")</f>
        <v>0</v>
      </c>
      <c r="Y340" s="1853">
        <f ca="1">IFERROR($I340*44/12*参考2_エネ使用量経年!$I190*(参考2_エネ使用量経年!Y190+参考2_エネ使用量経年!Y277),"")</f>
        <v>0</v>
      </c>
      <c r="Z340" s="1853">
        <f ca="1">IFERROR($J340*44/12*参考2_エネ使用量経年!$J190*(参考2_エネ使用量経年!Z190+参考2_エネ使用量経年!Z277),"")</f>
        <v>0</v>
      </c>
      <c r="AA340" s="1853">
        <f ca="1">IFERROR($K340*44/12*参考2_エネ使用量経年!$K190*(参考2_エネ使用量経年!AA190+参考2_エネ使用量経年!AA277),"")</f>
        <v>0</v>
      </c>
      <c r="AB340" s="1853"/>
      <c r="AC340" s="1853"/>
      <c r="AD340" s="1853"/>
      <c r="AE340" s="1853"/>
      <c r="AF340" s="1853"/>
      <c r="AG340" s="1853"/>
      <c r="AH340" s="1853"/>
      <c r="AI340" s="1853"/>
      <c r="AJ340" s="1853"/>
      <c r="AK340" s="1853"/>
      <c r="AL340" s="1853"/>
      <c r="AM340" s="1853"/>
      <c r="AN340" s="1853"/>
      <c r="AO340" s="1853"/>
      <c r="AP340" s="1853"/>
      <c r="AQ340" s="1853"/>
      <c r="AR340" s="1853"/>
      <c r="AS340" s="1853"/>
      <c r="AT340" s="1853"/>
      <c r="AU340" s="1853"/>
      <c r="AV340" s="1853"/>
      <c r="AW340" s="1853"/>
      <c r="AX340" s="1853"/>
      <c r="AY340" s="1853"/>
      <c r="AZ340" s="1853"/>
      <c r="BA340" s="1853"/>
      <c r="BB340" s="1853"/>
      <c r="BC340" s="1853"/>
      <c r="BD340" s="1853"/>
      <c r="BE340" s="1853"/>
      <c r="BF340" s="1853"/>
      <c r="BG340" s="1853"/>
      <c r="BH340" s="1853"/>
      <c r="BI340" s="1853"/>
      <c r="BJ340" s="1853"/>
      <c r="BK340" s="1853"/>
      <c r="BL340" s="1853"/>
      <c r="BM340" s="1853"/>
      <c r="BN340" s="1853"/>
      <c r="BO340" s="1853"/>
    </row>
    <row r="341" spans="1:67" ht="20.100000000000001" customHeight="1">
      <c r="A341" s="1845">
        <v>28</v>
      </c>
      <c r="B341" s="1854"/>
      <c r="C341" s="1847"/>
      <c r="D341" s="1848" t="s">
        <v>932</v>
      </c>
      <c r="E341" s="1848"/>
      <c r="F341" s="1849"/>
      <c r="G341" s="1225" t="s">
        <v>1109</v>
      </c>
      <c r="H341" s="1850">
        <f t="shared" ca="1" si="160"/>
        <v>2.5899999999999999E-2</v>
      </c>
      <c r="I341" s="1850">
        <f t="shared" ca="1" si="161"/>
        <v>2.5899999999999999E-2</v>
      </c>
      <c r="J341" s="1850">
        <f t="shared" ca="1" si="162"/>
        <v>2.5899999999999999E-2</v>
      </c>
      <c r="K341" s="1850">
        <f t="shared" ca="1" si="163"/>
        <v>2.5899999999999999E-2</v>
      </c>
      <c r="L341" s="1851">
        <f ca="1">IFERROR($H341*44/12*参考2_エネ使用量経年!$H191*(参考2_エネ使用量経年!L191+参考2_エネ使用量経年!L278),"")</f>
        <v>0</v>
      </c>
      <c r="M341" s="1851">
        <f ca="1">IFERROR($I341*44/12*参考2_エネ使用量経年!$I191*(参考2_エネ使用量経年!M191+参考2_エネ使用量経年!M278),"")</f>
        <v>0</v>
      </c>
      <c r="N341" s="1851">
        <f ca="1">IFERROR($J341*44/12*参考2_エネ使用量経年!$J191*(参考2_エネ使用量経年!N191+参考2_エネ使用量経年!N278),"")</f>
        <v>0</v>
      </c>
      <c r="O341" s="1851">
        <f ca="1">IFERROR($K341*44/12*参考2_エネ使用量経年!$K191*(参考2_エネ使用量経年!O191+参考2_エネ使用量経年!O278),"")</f>
        <v>0</v>
      </c>
      <c r="P341" s="1852">
        <f ca="1">IFERROR($H341*44/12*参考2_エネ使用量経年!$H191*(参考2_エネ使用量経年!P191+参考2_エネ使用量経年!P278),"")</f>
        <v>0</v>
      </c>
      <c r="Q341" s="1852">
        <f ca="1">IFERROR($I341*44/12*参考2_エネ使用量経年!$I191*(参考2_エネ使用量経年!Q191+参考2_エネ使用量経年!Q278),"")</f>
        <v>0</v>
      </c>
      <c r="R341" s="1852">
        <f ca="1">IFERROR($J341*44/12*参考2_エネ使用量経年!$J191*(参考2_エネ使用量経年!R191+参考2_エネ使用量経年!R278),"")</f>
        <v>0</v>
      </c>
      <c r="S341" s="1852">
        <f ca="1">IFERROR($K341*44/12*参考2_エネ使用量経年!$K191*(参考2_エネ使用量経年!S191+参考2_エネ使用量経年!S278),"")</f>
        <v>0</v>
      </c>
      <c r="T341" s="1851">
        <f ca="1">IFERROR($H341*44/12*参考2_エネ使用量経年!$H191*(参考2_エネ使用量経年!T191+参考2_エネ使用量経年!T278),"")</f>
        <v>0</v>
      </c>
      <c r="U341" s="1851">
        <f ca="1">IFERROR($I341*44/12*参考2_エネ使用量経年!$I191*(参考2_エネ使用量経年!U191+参考2_エネ使用量経年!U278),"")</f>
        <v>0</v>
      </c>
      <c r="V341" s="1851">
        <f ca="1">IFERROR($J341*44/12*参考2_エネ使用量経年!$J191*(参考2_エネ使用量経年!V191+参考2_エネ使用量経年!V278),"")</f>
        <v>0</v>
      </c>
      <c r="W341" s="1851">
        <f ca="1">IFERROR($K341*44/12*参考2_エネ使用量経年!$K191*(参考2_エネ使用量経年!W191+参考2_エネ使用量経年!W278),"")</f>
        <v>0</v>
      </c>
      <c r="X341" s="1853">
        <f ca="1">IFERROR($H341*44/12*参考2_エネ使用量経年!$H191*(参考2_エネ使用量経年!X191+参考2_エネ使用量経年!X278),"")</f>
        <v>0</v>
      </c>
      <c r="Y341" s="1853">
        <f ca="1">IFERROR($I341*44/12*参考2_エネ使用量経年!$I191*(参考2_エネ使用量経年!Y191+参考2_エネ使用量経年!Y278),"")</f>
        <v>0</v>
      </c>
      <c r="Z341" s="1853">
        <f ca="1">IFERROR($J341*44/12*参考2_エネ使用量経年!$J191*(参考2_エネ使用量経年!Z191+参考2_エネ使用量経年!Z278),"")</f>
        <v>0</v>
      </c>
      <c r="AA341" s="1853">
        <f ca="1">IFERROR($K341*44/12*参考2_エネ使用量経年!$K191*(参考2_エネ使用量経年!AA191+参考2_エネ使用量経年!AA278),"")</f>
        <v>0</v>
      </c>
      <c r="AB341" s="1853"/>
      <c r="AC341" s="1853"/>
      <c r="AD341" s="1853"/>
      <c r="AE341" s="1853"/>
      <c r="AF341" s="1853"/>
      <c r="AG341" s="1853"/>
      <c r="AH341" s="1853"/>
      <c r="AI341" s="1853"/>
      <c r="AJ341" s="1853"/>
      <c r="AK341" s="1853"/>
      <c r="AL341" s="1853"/>
      <c r="AM341" s="1853"/>
      <c r="AN341" s="1853"/>
      <c r="AO341" s="1853"/>
      <c r="AP341" s="1853"/>
      <c r="AQ341" s="1853"/>
      <c r="AR341" s="1853"/>
      <c r="AS341" s="1853"/>
      <c r="AT341" s="1853"/>
      <c r="AU341" s="1853"/>
      <c r="AV341" s="1853"/>
      <c r="AW341" s="1853"/>
      <c r="AX341" s="1853"/>
      <c r="AY341" s="1853"/>
      <c r="AZ341" s="1853"/>
      <c r="BA341" s="1853"/>
      <c r="BB341" s="1853"/>
      <c r="BC341" s="1853"/>
      <c r="BD341" s="1853"/>
      <c r="BE341" s="1853"/>
      <c r="BF341" s="1853"/>
      <c r="BG341" s="1853"/>
      <c r="BH341" s="1853"/>
      <c r="BI341" s="1853"/>
      <c r="BJ341" s="1853"/>
      <c r="BK341" s="1853"/>
      <c r="BL341" s="1853"/>
      <c r="BM341" s="1853"/>
      <c r="BN341" s="1853"/>
      <c r="BO341" s="1853"/>
    </row>
    <row r="342" spans="1:67" ht="20.100000000000001" customHeight="1">
      <c r="A342" s="1845">
        <v>29</v>
      </c>
      <c r="B342" s="1854"/>
      <c r="C342" s="1847"/>
      <c r="D342" s="1848" t="s">
        <v>558</v>
      </c>
      <c r="E342" s="1848"/>
      <c r="F342" s="1849"/>
      <c r="G342" s="1225" t="s">
        <v>1109</v>
      </c>
      <c r="H342" s="1850">
        <f t="shared" ca="1" si="160"/>
        <v>2.9899999999999999E-2</v>
      </c>
      <c r="I342" s="1850">
        <f t="shared" ca="1" si="161"/>
        <v>2.9899999999999999E-2</v>
      </c>
      <c r="J342" s="1850">
        <f t="shared" ca="1" si="162"/>
        <v>2.9899999999999999E-2</v>
      </c>
      <c r="K342" s="1850">
        <f t="shared" ca="1" si="163"/>
        <v>2.9899999999999999E-2</v>
      </c>
      <c r="L342" s="1851">
        <f ca="1">IFERROR($H342*44/12*参考2_エネ使用量経年!$H192*(参考2_エネ使用量経年!L192+参考2_エネ使用量経年!L279),"")</f>
        <v>0</v>
      </c>
      <c r="M342" s="1851">
        <f ca="1">IFERROR($I342*44/12*参考2_エネ使用量経年!$I192*(参考2_エネ使用量経年!M192+参考2_エネ使用量経年!M279),"")</f>
        <v>0</v>
      </c>
      <c r="N342" s="1851">
        <f ca="1">IFERROR($J342*44/12*参考2_エネ使用量経年!$J192*(参考2_エネ使用量経年!N192+参考2_エネ使用量経年!N279),"")</f>
        <v>0</v>
      </c>
      <c r="O342" s="1851">
        <f ca="1">IFERROR($K342*44/12*参考2_エネ使用量経年!$K192*(参考2_エネ使用量経年!O192+参考2_エネ使用量経年!O279),"")</f>
        <v>0</v>
      </c>
      <c r="P342" s="1852">
        <f ca="1">IFERROR($H342*44/12*参考2_エネ使用量経年!$H192*(参考2_エネ使用量経年!P192+参考2_エネ使用量経年!P279),"")</f>
        <v>0</v>
      </c>
      <c r="Q342" s="1852">
        <f ca="1">IFERROR($I342*44/12*参考2_エネ使用量経年!$I192*(参考2_エネ使用量経年!Q192+参考2_エネ使用量経年!Q279),"")</f>
        <v>0</v>
      </c>
      <c r="R342" s="1852">
        <f ca="1">IFERROR($J342*44/12*参考2_エネ使用量経年!$J192*(参考2_エネ使用量経年!R192+参考2_エネ使用量経年!R279),"")</f>
        <v>0</v>
      </c>
      <c r="S342" s="1852">
        <f ca="1">IFERROR($K342*44/12*参考2_エネ使用量経年!$K192*(参考2_エネ使用量経年!S192+参考2_エネ使用量経年!S279),"")</f>
        <v>0</v>
      </c>
      <c r="T342" s="1851">
        <f ca="1">IFERROR($H342*44/12*参考2_エネ使用量経年!$H192*(参考2_エネ使用量経年!T192+参考2_エネ使用量経年!T279),"")</f>
        <v>0</v>
      </c>
      <c r="U342" s="1851">
        <f ca="1">IFERROR($I342*44/12*参考2_エネ使用量経年!$I192*(参考2_エネ使用量経年!U192+参考2_エネ使用量経年!U279),"")</f>
        <v>0</v>
      </c>
      <c r="V342" s="1851">
        <f ca="1">IFERROR($J342*44/12*参考2_エネ使用量経年!$J192*(参考2_エネ使用量経年!V192+参考2_エネ使用量経年!V279),"")</f>
        <v>0</v>
      </c>
      <c r="W342" s="1851">
        <f ca="1">IFERROR($K342*44/12*参考2_エネ使用量経年!$K192*(参考2_エネ使用量経年!W192+参考2_エネ使用量経年!W279),"")</f>
        <v>0</v>
      </c>
      <c r="X342" s="1853">
        <f ca="1">IFERROR($H342*44/12*参考2_エネ使用量経年!$H192*(参考2_エネ使用量経年!X192+参考2_エネ使用量経年!X279),"")</f>
        <v>0</v>
      </c>
      <c r="Y342" s="1853">
        <f ca="1">IFERROR($I342*44/12*参考2_エネ使用量経年!$I192*(参考2_エネ使用量経年!Y192+参考2_エネ使用量経年!Y279),"")</f>
        <v>0</v>
      </c>
      <c r="Z342" s="1853">
        <f ca="1">IFERROR($J342*44/12*参考2_エネ使用量経年!$J192*(参考2_エネ使用量経年!Z192+参考2_エネ使用量経年!Z279),"")</f>
        <v>0</v>
      </c>
      <c r="AA342" s="1853">
        <f ca="1">IFERROR($K342*44/12*参考2_エネ使用量経年!$K192*(参考2_エネ使用量経年!AA192+参考2_エネ使用量経年!AA279),"")</f>
        <v>0</v>
      </c>
      <c r="AB342" s="1853"/>
      <c r="AC342" s="1853"/>
      <c r="AD342" s="1853"/>
      <c r="AE342" s="1853"/>
      <c r="AF342" s="1853"/>
      <c r="AG342" s="1853"/>
      <c r="AH342" s="1853"/>
      <c r="AI342" s="1853"/>
      <c r="AJ342" s="1853"/>
      <c r="AK342" s="1853"/>
      <c r="AL342" s="1853"/>
      <c r="AM342" s="1853"/>
      <c r="AN342" s="1853"/>
      <c r="AO342" s="1853"/>
      <c r="AP342" s="1853"/>
      <c r="AQ342" s="1853"/>
      <c r="AR342" s="1853"/>
      <c r="AS342" s="1853"/>
      <c r="AT342" s="1853"/>
      <c r="AU342" s="1853"/>
      <c r="AV342" s="1853"/>
      <c r="AW342" s="1853"/>
      <c r="AX342" s="1853"/>
      <c r="AY342" s="1853"/>
      <c r="AZ342" s="1853"/>
      <c r="BA342" s="1853"/>
      <c r="BB342" s="1853"/>
      <c r="BC342" s="1853"/>
      <c r="BD342" s="1853"/>
      <c r="BE342" s="1853"/>
      <c r="BF342" s="1853"/>
      <c r="BG342" s="1853"/>
      <c r="BH342" s="1853"/>
      <c r="BI342" s="1853"/>
      <c r="BJ342" s="1853"/>
      <c r="BK342" s="1853"/>
      <c r="BL342" s="1853"/>
      <c r="BM342" s="1853"/>
      <c r="BN342" s="1853"/>
      <c r="BO342" s="1853"/>
    </row>
    <row r="343" spans="1:67" ht="20.100000000000001" customHeight="1">
      <c r="A343" s="1845">
        <v>30</v>
      </c>
      <c r="B343" s="1854"/>
      <c r="C343" s="1847"/>
      <c r="D343" s="1848" t="s">
        <v>559</v>
      </c>
      <c r="E343" s="1837"/>
      <c r="F343" s="1849"/>
      <c r="G343" s="1225" t="s">
        <v>1109</v>
      </c>
      <c r="H343" s="1850">
        <f t="shared" ca="1" si="160"/>
        <v>2.0899999999999998E-2</v>
      </c>
      <c r="I343" s="1850">
        <f t="shared" ca="1" si="161"/>
        <v>2.0899999999999998E-2</v>
      </c>
      <c r="J343" s="1850">
        <f t="shared" ca="1" si="162"/>
        <v>2.0899999999999998E-2</v>
      </c>
      <c r="K343" s="1850">
        <f t="shared" ca="1" si="163"/>
        <v>2.0899999999999998E-2</v>
      </c>
      <c r="L343" s="1851">
        <f ca="1">IFERROR($H343*44/12*参考2_エネ使用量経年!$H193*(参考2_エネ使用量経年!L193+参考2_エネ使用量経年!L280),"")</f>
        <v>0</v>
      </c>
      <c r="M343" s="1851">
        <f ca="1">IFERROR($I343*44/12*参考2_エネ使用量経年!$I193*(参考2_エネ使用量経年!M193+参考2_エネ使用量経年!M280),"")</f>
        <v>0</v>
      </c>
      <c r="N343" s="1851">
        <f ca="1">IFERROR($J343*44/12*参考2_エネ使用量経年!$J193*(参考2_エネ使用量経年!N193+参考2_エネ使用量経年!N280),"")</f>
        <v>0</v>
      </c>
      <c r="O343" s="1851">
        <f ca="1">IFERROR($K343*44/12*参考2_エネ使用量経年!$K193*(参考2_エネ使用量経年!O193+参考2_エネ使用量経年!O280),"")</f>
        <v>0</v>
      </c>
      <c r="P343" s="1852">
        <f ca="1">IFERROR($H343*44/12*参考2_エネ使用量経年!$H193*(参考2_エネ使用量経年!P193+参考2_エネ使用量経年!P280),"")</f>
        <v>0</v>
      </c>
      <c r="Q343" s="1852">
        <f ca="1">IFERROR($I343*44/12*参考2_エネ使用量経年!$I193*(参考2_エネ使用量経年!Q193+参考2_エネ使用量経年!Q280),"")</f>
        <v>0</v>
      </c>
      <c r="R343" s="1852">
        <f ca="1">IFERROR($J343*44/12*参考2_エネ使用量経年!$J193*(参考2_エネ使用量経年!R193+参考2_エネ使用量経年!R280),"")</f>
        <v>0</v>
      </c>
      <c r="S343" s="1852">
        <f ca="1">IFERROR($K343*44/12*参考2_エネ使用量経年!$K193*(参考2_エネ使用量経年!S193+参考2_エネ使用量経年!S280),"")</f>
        <v>0</v>
      </c>
      <c r="T343" s="1851">
        <f ca="1">IFERROR($H343*44/12*参考2_エネ使用量経年!$H193*(参考2_エネ使用量経年!T193+参考2_エネ使用量経年!T280),"")</f>
        <v>0</v>
      </c>
      <c r="U343" s="1851">
        <f ca="1">IFERROR($I343*44/12*参考2_エネ使用量経年!$I193*(参考2_エネ使用量経年!U193+参考2_エネ使用量経年!U280),"")</f>
        <v>0</v>
      </c>
      <c r="V343" s="1851">
        <f ca="1">IFERROR($J343*44/12*参考2_エネ使用量経年!$J193*(参考2_エネ使用量経年!V193+参考2_エネ使用量経年!V280),"")</f>
        <v>0</v>
      </c>
      <c r="W343" s="1851">
        <f ca="1">IFERROR($K343*44/12*参考2_エネ使用量経年!$K193*(参考2_エネ使用量経年!W193+参考2_エネ使用量経年!W280),"")</f>
        <v>0</v>
      </c>
      <c r="X343" s="1853">
        <f ca="1">IFERROR($H343*44/12*参考2_エネ使用量経年!$H193*(参考2_エネ使用量経年!X193+参考2_エネ使用量経年!X280),"")</f>
        <v>0</v>
      </c>
      <c r="Y343" s="1853">
        <f ca="1">IFERROR($I343*44/12*参考2_エネ使用量経年!$I193*(参考2_エネ使用量経年!Y193+参考2_エネ使用量経年!Y280),"")</f>
        <v>0</v>
      </c>
      <c r="Z343" s="1853">
        <f ca="1">IFERROR($J343*44/12*参考2_エネ使用量経年!$J193*(参考2_エネ使用量経年!Z193+参考2_エネ使用量経年!Z280),"")</f>
        <v>0</v>
      </c>
      <c r="AA343" s="1853">
        <f ca="1">IFERROR($K343*44/12*参考2_エネ使用量経年!$K193*(参考2_エネ使用量経年!AA193+参考2_エネ使用量経年!AA280),"")</f>
        <v>0</v>
      </c>
      <c r="AB343" s="1853"/>
      <c r="AC343" s="1853"/>
      <c r="AD343" s="1853"/>
      <c r="AE343" s="1853"/>
      <c r="AF343" s="1853"/>
      <c r="AG343" s="1853"/>
      <c r="AH343" s="1853"/>
      <c r="AI343" s="1853"/>
      <c r="AJ343" s="1853"/>
      <c r="AK343" s="1853"/>
      <c r="AL343" s="1853"/>
      <c r="AM343" s="1853"/>
      <c r="AN343" s="1853"/>
      <c r="AO343" s="1853"/>
      <c r="AP343" s="1853"/>
      <c r="AQ343" s="1853"/>
      <c r="AR343" s="1853"/>
      <c r="AS343" s="1853"/>
      <c r="AT343" s="1853"/>
      <c r="AU343" s="1853"/>
      <c r="AV343" s="1853"/>
      <c r="AW343" s="1853"/>
      <c r="AX343" s="1853"/>
      <c r="AY343" s="1853"/>
      <c r="AZ343" s="1853"/>
      <c r="BA343" s="1853"/>
      <c r="BB343" s="1853"/>
      <c r="BC343" s="1853"/>
      <c r="BD343" s="1853"/>
      <c r="BE343" s="1853"/>
      <c r="BF343" s="1853"/>
      <c r="BG343" s="1853"/>
      <c r="BH343" s="1853"/>
      <c r="BI343" s="1853"/>
      <c r="BJ343" s="1853"/>
      <c r="BK343" s="1853"/>
      <c r="BL343" s="1853"/>
      <c r="BM343" s="1853"/>
      <c r="BN343" s="1853"/>
      <c r="BO343" s="1853"/>
    </row>
    <row r="344" spans="1:67" ht="20.100000000000001" customHeight="1">
      <c r="A344" s="1845">
        <v>31</v>
      </c>
      <c r="B344" s="1854"/>
      <c r="C344" s="1847"/>
      <c r="D344" s="1848" t="s">
        <v>560</v>
      </c>
      <c r="E344" s="1848"/>
      <c r="F344" s="1849"/>
      <c r="G344" s="1225" t="s">
        <v>1109</v>
      </c>
      <c r="H344" s="1850">
        <f t="shared" ca="1" si="160"/>
        <v>1.09E-2</v>
      </c>
      <c r="I344" s="1850">
        <f t="shared" ca="1" si="161"/>
        <v>1.09E-2</v>
      </c>
      <c r="J344" s="1850">
        <f t="shared" ca="1" si="162"/>
        <v>1.09E-2</v>
      </c>
      <c r="K344" s="1850">
        <f t="shared" ca="1" si="163"/>
        <v>1.09E-2</v>
      </c>
      <c r="L344" s="1851">
        <f ca="1">IFERROR($H344*44/12*参考2_エネ使用量経年!$H194*(参考2_エネ使用量経年!L194+参考2_エネ使用量経年!L281),"")</f>
        <v>0</v>
      </c>
      <c r="M344" s="1851">
        <f ca="1">IFERROR($I344*44/12*参考2_エネ使用量経年!$I194*(参考2_エネ使用量経年!M194+参考2_エネ使用量経年!M281),"")</f>
        <v>0</v>
      </c>
      <c r="N344" s="1851">
        <f ca="1">IFERROR($J344*44/12*参考2_エネ使用量経年!$J194*(参考2_エネ使用量経年!N194+参考2_エネ使用量経年!N281),"")</f>
        <v>0</v>
      </c>
      <c r="O344" s="1851">
        <f ca="1">IFERROR($K344*44/12*参考2_エネ使用量経年!$K194*(参考2_エネ使用量経年!O194+参考2_エネ使用量経年!O281),"")</f>
        <v>0</v>
      </c>
      <c r="P344" s="1852">
        <f ca="1">IFERROR($H344*44/12*参考2_エネ使用量経年!$H194*(参考2_エネ使用量経年!P194+参考2_エネ使用量経年!P281),"")</f>
        <v>0</v>
      </c>
      <c r="Q344" s="1852">
        <f ca="1">IFERROR($I344*44/12*参考2_エネ使用量経年!$I194*(参考2_エネ使用量経年!Q194+参考2_エネ使用量経年!Q281),"")</f>
        <v>0</v>
      </c>
      <c r="R344" s="1852">
        <f ca="1">IFERROR($J344*44/12*参考2_エネ使用量経年!$J194*(参考2_エネ使用量経年!R194+参考2_エネ使用量経年!R281),"")</f>
        <v>0</v>
      </c>
      <c r="S344" s="1852">
        <f ca="1">IFERROR($K344*44/12*参考2_エネ使用量経年!$K194*(参考2_エネ使用量経年!S194+参考2_エネ使用量経年!S281),"")</f>
        <v>0</v>
      </c>
      <c r="T344" s="1851">
        <f ca="1">IFERROR($H344*44/12*参考2_エネ使用量経年!$H194*(参考2_エネ使用量経年!T194+参考2_エネ使用量経年!T281),"")</f>
        <v>0</v>
      </c>
      <c r="U344" s="1851">
        <f ca="1">IFERROR($I344*44/12*参考2_エネ使用量経年!$I194*(参考2_エネ使用量経年!U194+参考2_エネ使用量経年!U281),"")</f>
        <v>0</v>
      </c>
      <c r="V344" s="1851">
        <f ca="1">IFERROR($J344*44/12*参考2_エネ使用量経年!$J194*(参考2_エネ使用量経年!V194+参考2_エネ使用量経年!V281),"")</f>
        <v>0</v>
      </c>
      <c r="W344" s="1851">
        <f ca="1">IFERROR($K344*44/12*参考2_エネ使用量経年!$K194*(参考2_エネ使用量経年!W194+参考2_エネ使用量経年!W281),"")</f>
        <v>0</v>
      </c>
      <c r="X344" s="1853">
        <f ca="1">IFERROR($H344*44/12*参考2_エネ使用量経年!$H194*(参考2_エネ使用量経年!X194+参考2_エネ使用量経年!X281),"")</f>
        <v>0</v>
      </c>
      <c r="Y344" s="1853">
        <f ca="1">IFERROR($I344*44/12*参考2_エネ使用量経年!$I194*(参考2_エネ使用量経年!Y194+参考2_エネ使用量経年!Y281),"")</f>
        <v>0</v>
      </c>
      <c r="Z344" s="1853">
        <f ca="1">IFERROR($J344*44/12*参考2_エネ使用量経年!$J194*(参考2_エネ使用量経年!Z194+参考2_エネ使用量経年!Z281),"")</f>
        <v>0</v>
      </c>
      <c r="AA344" s="1853">
        <f ca="1">IFERROR($K344*44/12*参考2_エネ使用量経年!$K194*(参考2_エネ使用量経年!AA194+参考2_エネ使用量経年!AA281),"")</f>
        <v>0</v>
      </c>
      <c r="AB344" s="1853"/>
      <c r="AC344" s="1853"/>
      <c r="AD344" s="1853"/>
      <c r="AE344" s="1853"/>
      <c r="AF344" s="1853"/>
      <c r="AG344" s="1853"/>
      <c r="AH344" s="1853"/>
      <c r="AI344" s="1853"/>
      <c r="AJ344" s="1853"/>
      <c r="AK344" s="1853"/>
      <c r="AL344" s="1853"/>
      <c r="AM344" s="1853"/>
      <c r="AN344" s="1853"/>
      <c r="AO344" s="1853"/>
      <c r="AP344" s="1853"/>
      <c r="AQ344" s="1853"/>
      <c r="AR344" s="1853"/>
      <c r="AS344" s="1853"/>
      <c r="AT344" s="1853"/>
      <c r="AU344" s="1853"/>
      <c r="AV344" s="1853"/>
      <c r="AW344" s="1853"/>
      <c r="AX344" s="1853"/>
      <c r="AY344" s="1853"/>
      <c r="AZ344" s="1853"/>
      <c r="BA344" s="1853"/>
      <c r="BB344" s="1853"/>
      <c r="BC344" s="1853"/>
      <c r="BD344" s="1853"/>
      <c r="BE344" s="1853"/>
      <c r="BF344" s="1853"/>
      <c r="BG344" s="1853"/>
      <c r="BH344" s="1853"/>
      <c r="BI344" s="1853"/>
      <c r="BJ344" s="1853"/>
      <c r="BK344" s="1853"/>
      <c r="BL344" s="1853"/>
      <c r="BM344" s="1853"/>
      <c r="BN344" s="1853"/>
      <c r="BO344" s="1853"/>
    </row>
    <row r="345" spans="1:67" ht="20.100000000000001" customHeight="1">
      <c r="A345" s="1845">
        <v>32</v>
      </c>
      <c r="B345" s="1854"/>
      <c r="C345" s="1847"/>
      <c r="D345" s="1848" t="s">
        <v>561</v>
      </c>
      <c r="E345" s="1848"/>
      <c r="F345" s="1849"/>
      <c r="G345" s="1225" t="s">
        <v>1109</v>
      </c>
      <c r="H345" s="1850">
        <f t="shared" ca="1" si="160"/>
        <v>2.64E-2</v>
      </c>
      <c r="I345" s="1850">
        <f t="shared" ca="1" si="161"/>
        <v>2.64E-2</v>
      </c>
      <c r="J345" s="1850">
        <f t="shared" ca="1" si="162"/>
        <v>2.64E-2</v>
      </c>
      <c r="K345" s="1850">
        <f t="shared" ca="1" si="163"/>
        <v>2.64E-2</v>
      </c>
      <c r="L345" s="1851">
        <f ca="1">IFERROR($H345*44/12*参考2_エネ使用量経年!$H195*(参考2_エネ使用量経年!L195+参考2_エネ使用量経年!L282),"")</f>
        <v>0</v>
      </c>
      <c r="M345" s="1851">
        <f ca="1">IFERROR($I345*44/12*参考2_エネ使用量経年!$I195*(参考2_エネ使用量経年!M195+参考2_エネ使用量経年!M282),"")</f>
        <v>0</v>
      </c>
      <c r="N345" s="1851">
        <f ca="1">IFERROR($J345*44/12*参考2_エネ使用量経年!$J195*(参考2_エネ使用量経年!N195+参考2_エネ使用量経年!N282),"")</f>
        <v>0</v>
      </c>
      <c r="O345" s="1851">
        <f ca="1">IFERROR($K345*44/12*参考2_エネ使用量経年!$K195*(参考2_エネ使用量経年!O195+参考2_エネ使用量経年!O282),"")</f>
        <v>0</v>
      </c>
      <c r="P345" s="1852">
        <f ca="1">IFERROR($H345*44/12*参考2_エネ使用量経年!$H195*(参考2_エネ使用量経年!P195+参考2_エネ使用量経年!P282),"")</f>
        <v>0</v>
      </c>
      <c r="Q345" s="1852">
        <f ca="1">IFERROR($I345*44/12*参考2_エネ使用量経年!$I195*(参考2_エネ使用量経年!Q195+参考2_エネ使用量経年!Q282),"")</f>
        <v>0</v>
      </c>
      <c r="R345" s="1852">
        <f ca="1">IFERROR($J345*44/12*参考2_エネ使用量経年!$J195*(参考2_エネ使用量経年!R195+参考2_エネ使用量経年!R282),"")</f>
        <v>0</v>
      </c>
      <c r="S345" s="1852">
        <f ca="1">IFERROR($K345*44/12*参考2_エネ使用量経年!$K195*(参考2_エネ使用量経年!S195+参考2_エネ使用量経年!S282),"")</f>
        <v>0</v>
      </c>
      <c r="T345" s="1851">
        <f ca="1">IFERROR($H345*44/12*参考2_エネ使用量経年!$H195*(参考2_エネ使用量経年!T195+参考2_エネ使用量経年!T282),"")</f>
        <v>0</v>
      </c>
      <c r="U345" s="1851">
        <f ca="1">IFERROR($I345*44/12*参考2_エネ使用量経年!$I195*(参考2_エネ使用量経年!U195+参考2_エネ使用量経年!U282),"")</f>
        <v>0</v>
      </c>
      <c r="V345" s="1851">
        <f ca="1">IFERROR($J345*44/12*参考2_エネ使用量経年!$J195*(参考2_エネ使用量経年!V195+参考2_エネ使用量経年!V282),"")</f>
        <v>0</v>
      </c>
      <c r="W345" s="1851">
        <f ca="1">IFERROR($K345*44/12*参考2_エネ使用量経年!$K195*(参考2_エネ使用量経年!W195+参考2_エネ使用量経年!W282),"")</f>
        <v>0</v>
      </c>
      <c r="X345" s="1853">
        <f ca="1">IFERROR($H345*44/12*参考2_エネ使用量経年!$H195*(参考2_エネ使用量経年!X195+参考2_エネ使用量経年!X282),"")</f>
        <v>0</v>
      </c>
      <c r="Y345" s="1853">
        <f ca="1">IFERROR($I345*44/12*参考2_エネ使用量経年!$I195*(参考2_エネ使用量経年!Y195+参考2_エネ使用量経年!Y282),"")</f>
        <v>0</v>
      </c>
      <c r="Z345" s="1853">
        <f ca="1">IFERROR($J345*44/12*参考2_エネ使用量経年!$J195*(参考2_エネ使用量経年!Z195+参考2_エネ使用量経年!Z282),"")</f>
        <v>0</v>
      </c>
      <c r="AA345" s="1853">
        <f ca="1">IFERROR($K345*44/12*参考2_エネ使用量経年!$K195*(参考2_エネ使用量経年!AA195+参考2_エネ使用量経年!AA282),"")</f>
        <v>0</v>
      </c>
      <c r="AB345" s="1853"/>
      <c r="AC345" s="1853"/>
      <c r="AD345" s="1853"/>
      <c r="AE345" s="1853"/>
      <c r="AF345" s="1853"/>
      <c r="AG345" s="1853"/>
      <c r="AH345" s="1853"/>
      <c r="AI345" s="1853"/>
      <c r="AJ345" s="1853"/>
      <c r="AK345" s="1853"/>
      <c r="AL345" s="1853"/>
      <c r="AM345" s="1853"/>
      <c r="AN345" s="1853"/>
      <c r="AO345" s="1853"/>
      <c r="AP345" s="1853"/>
      <c r="AQ345" s="1853"/>
      <c r="AR345" s="1853"/>
      <c r="AS345" s="1853"/>
      <c r="AT345" s="1853"/>
      <c r="AU345" s="1853"/>
      <c r="AV345" s="1853"/>
      <c r="AW345" s="1853"/>
      <c r="AX345" s="1853"/>
      <c r="AY345" s="1853"/>
      <c r="AZ345" s="1853"/>
      <c r="BA345" s="1853"/>
      <c r="BB345" s="1853"/>
      <c r="BC345" s="1853"/>
      <c r="BD345" s="1853"/>
      <c r="BE345" s="1853"/>
      <c r="BF345" s="1853"/>
      <c r="BG345" s="1853"/>
      <c r="BH345" s="1853"/>
      <c r="BI345" s="1853"/>
      <c r="BJ345" s="1853"/>
      <c r="BK345" s="1853"/>
      <c r="BL345" s="1853"/>
      <c r="BM345" s="1853"/>
      <c r="BN345" s="1853"/>
      <c r="BO345" s="1853"/>
    </row>
    <row r="346" spans="1:67" ht="20.100000000000001" customHeight="1">
      <c r="A346" s="1845">
        <v>33</v>
      </c>
      <c r="B346" s="1854"/>
      <c r="C346" s="1847"/>
      <c r="D346" s="1848" t="s">
        <v>933</v>
      </c>
      <c r="E346" s="1848"/>
      <c r="F346" s="1849"/>
      <c r="G346" s="1225" t="s">
        <v>1109</v>
      </c>
      <c r="H346" s="1850">
        <f t="shared" ca="1" si="160"/>
        <v>2.64E-2</v>
      </c>
      <c r="I346" s="1850">
        <f t="shared" ca="1" si="161"/>
        <v>2.64E-2</v>
      </c>
      <c r="J346" s="1850">
        <f t="shared" ca="1" si="162"/>
        <v>2.64E-2</v>
      </c>
      <c r="K346" s="1850">
        <f t="shared" ca="1" si="163"/>
        <v>2.64E-2</v>
      </c>
      <c r="L346" s="1851">
        <f ca="1">IFERROR($H346*44/12*参考2_エネ使用量経年!$H196*(参考2_エネ使用量経年!L196+参考2_エネ使用量経年!L283),"")</f>
        <v>0</v>
      </c>
      <c r="M346" s="1851">
        <f ca="1">IFERROR($I346*44/12*参考2_エネ使用量経年!$I196*(参考2_エネ使用量経年!M196+参考2_エネ使用量経年!M283),"")</f>
        <v>0</v>
      </c>
      <c r="N346" s="1851">
        <f ca="1">IFERROR($J346*44/12*参考2_エネ使用量経年!$J196*(参考2_エネ使用量経年!N196+参考2_エネ使用量経年!N283),"")</f>
        <v>0</v>
      </c>
      <c r="O346" s="1851">
        <f ca="1">IFERROR($K346*44/12*参考2_エネ使用量経年!$K196*(参考2_エネ使用量経年!O196+参考2_エネ使用量経年!O283),"")</f>
        <v>0</v>
      </c>
      <c r="P346" s="1852">
        <f ca="1">IFERROR($H346*44/12*参考2_エネ使用量経年!$H196*(参考2_エネ使用量経年!P196+参考2_エネ使用量経年!P283),"")</f>
        <v>0</v>
      </c>
      <c r="Q346" s="1852">
        <f ca="1">IFERROR($I346*44/12*参考2_エネ使用量経年!$I196*(参考2_エネ使用量経年!Q196+参考2_エネ使用量経年!Q283),"")</f>
        <v>0</v>
      </c>
      <c r="R346" s="1852">
        <f ca="1">IFERROR($J346*44/12*参考2_エネ使用量経年!$J196*(参考2_エネ使用量経年!R196+参考2_エネ使用量経年!R283),"")</f>
        <v>0</v>
      </c>
      <c r="S346" s="1852">
        <f ca="1">IFERROR($K346*44/12*参考2_エネ使用量経年!$K196*(参考2_エネ使用量経年!S196+参考2_エネ使用量経年!S283),"")</f>
        <v>0</v>
      </c>
      <c r="T346" s="1851">
        <f ca="1">IFERROR($H346*44/12*参考2_エネ使用量経年!$H196*(参考2_エネ使用量経年!T196+参考2_エネ使用量経年!T283),"")</f>
        <v>0</v>
      </c>
      <c r="U346" s="1851">
        <f ca="1">IFERROR($I346*44/12*参考2_エネ使用量経年!$I196*(参考2_エネ使用量経年!U196+参考2_エネ使用量経年!U283),"")</f>
        <v>0</v>
      </c>
      <c r="V346" s="1851">
        <f ca="1">IFERROR($J346*44/12*参考2_エネ使用量経年!$J196*(参考2_エネ使用量経年!V196+参考2_エネ使用量経年!V283),"")</f>
        <v>0</v>
      </c>
      <c r="W346" s="1851">
        <f ca="1">IFERROR($K346*44/12*参考2_エネ使用量経年!$K196*(参考2_エネ使用量経年!W196+参考2_エネ使用量経年!W283),"")</f>
        <v>0</v>
      </c>
      <c r="X346" s="1853">
        <f ca="1">IFERROR($H346*44/12*参考2_エネ使用量経年!$H196*(参考2_エネ使用量経年!X196+参考2_エネ使用量経年!X283),"")</f>
        <v>0</v>
      </c>
      <c r="Y346" s="1853">
        <f ca="1">IFERROR($I346*44/12*参考2_エネ使用量経年!$I196*(参考2_エネ使用量経年!Y196+参考2_エネ使用量経年!Y283),"")</f>
        <v>0</v>
      </c>
      <c r="Z346" s="1853">
        <f ca="1">IFERROR($J346*44/12*参考2_エネ使用量経年!$J196*(参考2_エネ使用量経年!Z196+参考2_エネ使用量経年!Z283),"")</f>
        <v>0</v>
      </c>
      <c r="AA346" s="1853">
        <f ca="1">IFERROR($K346*44/12*参考2_エネ使用量経年!$K196*(参考2_エネ使用量経年!AA196+参考2_エネ使用量経年!AA283),"")</f>
        <v>0</v>
      </c>
      <c r="AB346" s="1853"/>
      <c r="AC346" s="1853"/>
      <c r="AD346" s="1853"/>
      <c r="AE346" s="1853"/>
      <c r="AF346" s="1853"/>
      <c r="AG346" s="1853"/>
      <c r="AH346" s="1853"/>
      <c r="AI346" s="1853"/>
      <c r="AJ346" s="1853"/>
      <c r="AK346" s="1853"/>
      <c r="AL346" s="1853"/>
      <c r="AM346" s="1853"/>
      <c r="AN346" s="1853"/>
      <c r="AO346" s="1853"/>
      <c r="AP346" s="1853"/>
      <c r="AQ346" s="1853"/>
      <c r="AR346" s="1853"/>
      <c r="AS346" s="1853"/>
      <c r="AT346" s="1853"/>
      <c r="AU346" s="1853"/>
      <c r="AV346" s="1853"/>
      <c r="AW346" s="1853"/>
      <c r="AX346" s="1853"/>
      <c r="AY346" s="1853"/>
      <c r="AZ346" s="1853"/>
      <c r="BA346" s="1853"/>
      <c r="BB346" s="1853"/>
      <c r="BC346" s="1853"/>
      <c r="BD346" s="1853"/>
      <c r="BE346" s="1853"/>
      <c r="BF346" s="1853"/>
      <c r="BG346" s="1853"/>
      <c r="BH346" s="1853"/>
      <c r="BI346" s="1853"/>
      <c r="BJ346" s="1853"/>
      <c r="BK346" s="1853"/>
      <c r="BL346" s="1853"/>
      <c r="BM346" s="1853"/>
      <c r="BN346" s="1853"/>
      <c r="BO346" s="1853"/>
    </row>
    <row r="347" spans="1:67" ht="20.100000000000001" customHeight="1">
      <c r="A347" s="1845">
        <v>34</v>
      </c>
      <c r="B347" s="1854"/>
      <c r="C347" s="1847"/>
      <c r="D347" s="1848" t="s">
        <v>562</v>
      </c>
      <c r="E347" s="1848"/>
      <c r="F347" s="1849"/>
      <c r="G347" s="1225" t="s">
        <v>1109</v>
      </c>
      <c r="H347" s="1850">
        <f t="shared" ca="1" si="160"/>
        <v>4.2000000000000003E-2</v>
      </c>
      <c r="I347" s="1850">
        <f t="shared" ca="1" si="161"/>
        <v>4.2000000000000003E-2</v>
      </c>
      <c r="J347" s="1850">
        <f t="shared" ca="1" si="162"/>
        <v>4.2000000000000003E-2</v>
      </c>
      <c r="K347" s="1850">
        <f t="shared" ca="1" si="163"/>
        <v>4.2000000000000003E-2</v>
      </c>
      <c r="L347" s="1851">
        <f ca="1">IFERROR($H347*44/12*参考2_エネ使用量経年!$H197*(参考2_エネ使用量経年!L197+参考2_エネ使用量経年!L284),"")</f>
        <v>0</v>
      </c>
      <c r="M347" s="1851">
        <f ca="1">IFERROR($I347*44/12*参考2_エネ使用量経年!$I197*(参考2_エネ使用量経年!M197+参考2_エネ使用量経年!M284),"")</f>
        <v>0</v>
      </c>
      <c r="N347" s="1851">
        <f ca="1">IFERROR($J347*44/12*参考2_エネ使用量経年!$J197*(参考2_エネ使用量経年!N197+参考2_エネ使用量経年!N284),"")</f>
        <v>0</v>
      </c>
      <c r="O347" s="1851">
        <f ca="1">IFERROR($K347*44/12*参考2_エネ使用量経年!$K197*(参考2_エネ使用量経年!O197+参考2_エネ使用量経年!O284),"")</f>
        <v>0</v>
      </c>
      <c r="P347" s="1852">
        <f ca="1">IFERROR($H347*44/12*参考2_エネ使用量経年!$H197*(参考2_エネ使用量経年!P197+参考2_エネ使用量経年!P284),"")</f>
        <v>0</v>
      </c>
      <c r="Q347" s="1852">
        <f ca="1">IFERROR($I347*44/12*参考2_エネ使用量経年!$I197*(参考2_エネ使用量経年!Q197+参考2_エネ使用量経年!Q284),"")</f>
        <v>0</v>
      </c>
      <c r="R347" s="1852">
        <f ca="1">IFERROR($J347*44/12*参考2_エネ使用量経年!$J197*(参考2_エネ使用量経年!R197+参考2_エネ使用量経年!R284),"")</f>
        <v>0</v>
      </c>
      <c r="S347" s="1852">
        <f ca="1">IFERROR($K347*44/12*参考2_エネ使用量経年!$K197*(参考2_エネ使用量経年!S197+参考2_エネ使用量経年!S284),"")</f>
        <v>0</v>
      </c>
      <c r="T347" s="1851">
        <f ca="1">IFERROR($H347*44/12*参考2_エネ使用量経年!$H197*(参考2_エネ使用量経年!T197+参考2_エネ使用量経年!T284),"")</f>
        <v>0</v>
      </c>
      <c r="U347" s="1851">
        <f ca="1">IFERROR($I347*44/12*参考2_エネ使用量経年!$I197*(参考2_エネ使用量経年!U197+参考2_エネ使用量経年!U284),"")</f>
        <v>0</v>
      </c>
      <c r="V347" s="1851">
        <f ca="1">IFERROR($J347*44/12*参考2_エネ使用量経年!$J197*(参考2_エネ使用量経年!V197+参考2_エネ使用量経年!V284),"")</f>
        <v>0</v>
      </c>
      <c r="W347" s="1851">
        <f ca="1">IFERROR($K347*44/12*参考2_エネ使用量経年!$K197*(参考2_エネ使用量経年!W197+参考2_エネ使用量経年!W284),"")</f>
        <v>0</v>
      </c>
      <c r="X347" s="1853">
        <f ca="1">IFERROR($H347*44/12*参考2_エネ使用量経年!$H197*(参考2_エネ使用量経年!X197+参考2_エネ使用量経年!X284),"")</f>
        <v>0</v>
      </c>
      <c r="Y347" s="1853">
        <f ca="1">IFERROR($I347*44/12*参考2_エネ使用量経年!$I197*(参考2_エネ使用量経年!Y197+参考2_エネ使用量経年!Y284),"")</f>
        <v>0</v>
      </c>
      <c r="Z347" s="1853">
        <f ca="1">IFERROR($J347*44/12*参考2_エネ使用量経年!$J197*(参考2_エネ使用量経年!Z197+参考2_エネ使用量経年!Z284),"")</f>
        <v>0</v>
      </c>
      <c r="AA347" s="1853">
        <f ca="1">IFERROR($K347*44/12*参考2_エネ使用量経年!$K197*(参考2_エネ使用量経年!AA197+参考2_エネ使用量経年!AA284),"")</f>
        <v>0</v>
      </c>
      <c r="AB347" s="1853"/>
      <c r="AC347" s="1853"/>
      <c r="AD347" s="1853"/>
      <c r="AE347" s="1853"/>
      <c r="AF347" s="1853"/>
      <c r="AG347" s="1853"/>
      <c r="AH347" s="1853"/>
      <c r="AI347" s="1853"/>
      <c r="AJ347" s="1853"/>
      <c r="AK347" s="1853"/>
      <c r="AL347" s="1853"/>
      <c r="AM347" s="1853"/>
      <c r="AN347" s="1853"/>
      <c r="AO347" s="1853"/>
      <c r="AP347" s="1853"/>
      <c r="AQ347" s="1853"/>
      <c r="AR347" s="1853"/>
      <c r="AS347" s="1853"/>
      <c r="AT347" s="1853"/>
      <c r="AU347" s="1853"/>
      <c r="AV347" s="1853"/>
      <c r="AW347" s="1853"/>
      <c r="AX347" s="1853"/>
      <c r="AY347" s="1853"/>
      <c r="AZ347" s="1853"/>
      <c r="BA347" s="1853"/>
      <c r="BB347" s="1853"/>
      <c r="BC347" s="1853"/>
      <c r="BD347" s="1853"/>
      <c r="BE347" s="1853"/>
      <c r="BF347" s="1853"/>
      <c r="BG347" s="1853"/>
      <c r="BH347" s="1853"/>
      <c r="BI347" s="1853"/>
      <c r="BJ347" s="1853"/>
      <c r="BK347" s="1853"/>
      <c r="BL347" s="1853"/>
      <c r="BM347" s="1853"/>
      <c r="BN347" s="1853"/>
      <c r="BO347" s="1853"/>
    </row>
    <row r="348" spans="1:67" ht="20.100000000000001" customHeight="1">
      <c r="A348" s="1845">
        <v>7</v>
      </c>
      <c r="B348" s="1855"/>
      <c r="C348" s="1847"/>
      <c r="D348" s="1848" t="s">
        <v>934</v>
      </c>
      <c r="E348" s="1856"/>
      <c r="F348" s="1849"/>
      <c r="G348" s="1225" t="s">
        <v>1109</v>
      </c>
      <c r="H348" s="1974"/>
      <c r="I348" s="1974"/>
      <c r="J348" s="1974"/>
      <c r="K348" s="1974"/>
      <c r="L348" s="1852">
        <f ca="1">SUM(SUMIFS(OFFSET(A1_集計2024,$A348,10,1,200),OFFSET(貼付け_2024実績,4,9,1,200),{"横浜*","川崎*","県域*","エネルギー管理指定工場等*"}))+SUM(SUMIFS(OFFSET(A1_集計2024,$A348,11,1,200),OFFSET(貼付け_2024実績,4,9,1,200),{"横浜*","川崎*","県域*","エネルギー管理指定工場等*"}))</f>
        <v>0</v>
      </c>
      <c r="M348" s="1852">
        <f ca="1">SUM(SUMIFS(OFFSET(A1_集計2025,$A348,10,1,200),OFFSET(貼付け_2025実績,4,9,1,200),{"横浜*","川崎*","県域*","エネルギー管理指定工場等*"}))+SUM(SUMIFS(OFFSET(A1_集計2025,$A348,11,1,200),OFFSET(貼付け_2025実績,4,9,1,200),{"横浜*","川崎*","県域*","エネルギー管理指定工場等*"}))</f>
        <v>0</v>
      </c>
      <c r="N348" s="1852">
        <f ca="1">SUM(SUMIFS(OFFSET(A1_集計2026,$A348,10,1,200),OFFSET(貼付け_2026実績,4,9,1,200),{"横浜*","川崎*","県域*","エネルギー管理指定工場等*"}))+SUM(SUMIFS(OFFSET(A1_集計2026,$A348,11,1,200),OFFSET(貼付け_2026実績,4,9,1,200),{"横浜*","川崎*","県域*","エネルギー管理指定工場等*"}))</f>
        <v>0</v>
      </c>
      <c r="O348" s="1852">
        <f ca="1">SUM(SUMIFS(OFFSET(A1_集計2027,$A348,10,1,200),OFFSET(貼付け_2027実績,4,9,1,200),{"横浜*","川崎*","県域*","エネルギー管理指定工場等*"}))+SUM(SUMIFS(OFFSET(A1_集計2027,$A348,11,1,200),OFFSET(貼付け_2027実績,4,9,1,200),{"横浜*","川崎*","県域*","エネルギー管理指定工場等*"}))</f>
        <v>0</v>
      </c>
      <c r="P348" s="1852">
        <f ca="1">SUM(SUMIFS(OFFSET(A1_集計2024,$A348,10,1,200),OFFSET(貼付け_2024実績,4,9,1,200),{"横浜*","川崎*"}))+SUM(SUMIFS(OFFSET(A1_集計2024,$A348,11,1,200),OFFSET(貼付け_2024実績,4,9,1,200),{"横浜*","川崎*"}))</f>
        <v>0</v>
      </c>
      <c r="Q348" s="1852">
        <f ca="1">SUM(SUMIFS(OFFSET(A1_集計2025,$A348,10,1,200),OFFSET(貼付け_2025実績,4,9,1,200),{"横浜*","川崎*"}))+SUM(SUMIFS(OFFSET(A1_集計2025,$A348,11,1,200),OFFSET(貼付け_2025実績,4,9,1,200),{"横浜*","川崎*"}))</f>
        <v>0</v>
      </c>
      <c r="R348" s="1852">
        <f ca="1">SUM(SUMIFS(OFFSET(A1_集計2026,$A348,10,1,200),OFFSET(貼付け_2026実績,4,9,1,200),{"横浜*","川崎*"}))+SUM(SUMIFS(OFFSET(A1_集計2026,$A348,11,1,200),OFFSET(貼付け_2026実績,4,9,1,200),{"横浜*","川崎*"}))</f>
        <v>0</v>
      </c>
      <c r="S348" s="1852">
        <f ca="1">SUM(SUMIFS(OFFSET(A1_集計2027,$A348,10,1,200),OFFSET(貼付け_2027実績,4,9,1,200),{"横浜*","川崎*"}))+SUM(SUMIFS(OFFSET(A1_集計2027,$A348,11,1,200),OFFSET(貼付け_2027実績,4,9,1,200),{"横浜*","川崎*"}))</f>
        <v>0</v>
      </c>
      <c r="T348" s="1852">
        <f ca="1">SUM(SUMIFS(OFFSET(A1_集計2024,$A348,10,1,200),OFFSET(貼付け_2024実績,4,9,1,200),{"県域*","エネルギー管理指定工場等*"}))+SUM(SUMIFS(OFFSET(A1_集計2024,$A348,11,1,200),OFFSET(貼付け_2024実績,4,9,1,200),{"県域*","エネルギー管理指定工場等*"}))</f>
        <v>0</v>
      </c>
      <c r="U348" s="1852">
        <f ca="1">SUM(SUMIFS(OFFSET(A1_集計2025,$A348,10,1,200),OFFSET(貼付け_2025実績,4,9,1,200),{"県域*","エネルギー管理指定工場等*"}))+SUM(SUMIFS(OFFSET(A1_集計2025,$A348,11,1,200),OFFSET(貼付け_2025実績,4,9,1,200),{"県域*","エネルギー管理指定工場等*"}))</f>
        <v>0</v>
      </c>
      <c r="V348" s="1852">
        <f ca="1">SUM(SUMIFS(OFFSET(A1_集計2026,$A348,10,1,200),OFFSET(貼付け_2026実績,4,9,1,200),{"県域*","エネルギー管理指定工場等*"}))+SUM(SUMIFS(OFFSET(A1_集計2026,$A348,11,1,200),OFFSET(貼付け_2026実績,4,9,1,200),{"県域*","エネルギー管理指定工場等*"}))</f>
        <v>0</v>
      </c>
      <c r="W348" s="1852">
        <f ca="1">SUM(SUMIFS(OFFSET(A1_集計2027,$A348,10,1,200),OFFSET(貼付け_2027実績,4,9,1,200),{"県域*","エネルギー管理指定工場等*"}))+SUM(SUMIFS(OFFSET(A1_集計2027,$A348,11,1,200),OFFSET(貼付け_2027実績,4,9,1,200),{"県域*","エネルギー管理指定工場等*"}))</f>
        <v>0</v>
      </c>
      <c r="X348" s="1853">
        <f ca="1">SUMIFS(OFFSET(A1_集計2024,$A348,10,1,200),OFFSET(貼付け_2024実績,4,9,1,200),"県域*")+SUMIFS(OFFSET(A1_集計2024,$A348,11,1,200),OFFSET(貼付け_2024実績,4,9,1,200),"県域*")</f>
        <v>0</v>
      </c>
      <c r="Y348" s="1853">
        <f ca="1">SUMIFS(OFFSET(A1_集計2025,$A348,10,1,200),OFFSET(貼付け_2025実績,4,9,1,200),"県域*")+SUMIFS(OFFSET(A1_集計2025,$A348,11,1,200),OFFSET(貼付け_2025実績,4,9,1,200),"県域*")</f>
        <v>0</v>
      </c>
      <c r="Z348" s="1853">
        <f ca="1">SUMIFS(OFFSET(A1_集計2026,$A348,10,1,200),OFFSET(貼付け_2026実績,4,9,1,200),"県域*")+SUMIFS(OFFSET(A1_集計2026,$A348,11,1,200),OFFSET(貼付け_2026実績,4,9,1,200),"県域*")</f>
        <v>0</v>
      </c>
      <c r="AA348" s="1853">
        <f ca="1">SUMIFS(OFFSET(A1_集計2027,$A348,10,1,200),OFFSET(貼付け_2027実績,4,9,1,200),"県域*")+SUMIFS(OFFSET(A1_集計2027,$A348,11,1,200),OFFSET(貼付け_2027実績,4,9,1,200),"県域*")</f>
        <v>0</v>
      </c>
      <c r="AB348" s="1853"/>
      <c r="AC348" s="1853"/>
      <c r="AD348" s="1853"/>
      <c r="AE348" s="1853"/>
      <c r="AF348" s="1853"/>
      <c r="AG348" s="1853"/>
      <c r="AH348" s="1853"/>
      <c r="AI348" s="1853"/>
      <c r="AJ348" s="1853"/>
      <c r="AK348" s="1853"/>
      <c r="AL348" s="1853"/>
      <c r="AM348" s="1853"/>
      <c r="AN348" s="1853"/>
      <c r="AO348" s="1853"/>
      <c r="AP348" s="1853"/>
      <c r="AQ348" s="1853"/>
      <c r="AR348" s="1853"/>
      <c r="AS348" s="1853"/>
      <c r="AT348" s="1853"/>
      <c r="AU348" s="1853"/>
      <c r="AV348" s="1853"/>
      <c r="AW348" s="1853"/>
      <c r="AX348" s="1853"/>
      <c r="AY348" s="1853"/>
      <c r="AZ348" s="1853"/>
      <c r="BA348" s="1853"/>
      <c r="BB348" s="1853"/>
      <c r="BC348" s="1853"/>
      <c r="BD348" s="1853"/>
      <c r="BE348" s="1853"/>
      <c r="BF348" s="1853"/>
      <c r="BG348" s="1853"/>
      <c r="BH348" s="1853"/>
      <c r="BI348" s="1853"/>
      <c r="BJ348" s="1853"/>
      <c r="BK348" s="1853"/>
      <c r="BL348" s="1853"/>
      <c r="BM348" s="1853"/>
      <c r="BN348" s="1853"/>
      <c r="BO348" s="1853"/>
    </row>
    <row r="349" spans="1:67" ht="20.100000000000001" customHeight="1">
      <c r="A349" s="1845">
        <v>36</v>
      </c>
      <c r="B349" s="1854"/>
      <c r="C349" s="1847"/>
      <c r="D349" s="1848" t="s">
        <v>935</v>
      </c>
      <c r="E349" s="1858" t="str">
        <f ca="1">E36</f>
        <v/>
      </c>
      <c r="F349" s="1849"/>
      <c r="G349" s="1225" t="s">
        <v>1109</v>
      </c>
      <c r="H349" s="1850">
        <f t="shared" ref="H349:H369" ca="1" si="164">IFERROR(OFFSET(貼付け_2024実績,$A349,6),"")</f>
        <v>0</v>
      </c>
      <c r="I349" s="1850">
        <f t="shared" ref="I349:I369" ca="1" si="165">IFERROR(OFFSET(貼付け_2025実績,$A349,6),"")</f>
        <v>0</v>
      </c>
      <c r="J349" s="1850">
        <f t="shared" ref="J349:J369" ca="1" si="166">IFERROR(OFFSET(貼付け_2026実績,$A349,6),"")</f>
        <v>0</v>
      </c>
      <c r="K349" s="1850">
        <f t="shared" ref="K349:K369" ca="1" si="167">IFERROR(OFFSET(貼付け_2027実績,$A349,6),"")</f>
        <v>0</v>
      </c>
      <c r="L349" s="1851">
        <f ca="1">IFERROR($H349*44/12*参考2_エネ使用量経年!$H199*(参考2_エネ使用量経年!L199+参考2_エネ使用量経年!L286),"")</f>
        <v>0</v>
      </c>
      <c r="M349" s="1851">
        <f ca="1">IFERROR($I349*44/12*参考2_エネ使用量経年!$I199*(参考2_エネ使用量経年!M199+参考2_エネ使用量経年!M286),"")</f>
        <v>0</v>
      </c>
      <c r="N349" s="1851">
        <f ca="1">IFERROR($J349*44/12*参考2_エネ使用量経年!$J199*(参考2_エネ使用量経年!N199+参考2_エネ使用量経年!N286),"")</f>
        <v>0</v>
      </c>
      <c r="O349" s="1851">
        <f ca="1">IFERROR($K349*44/12*参考2_エネ使用量経年!$K199*(参考2_エネ使用量経年!O199+参考2_エネ使用量経年!O286),"")</f>
        <v>0</v>
      </c>
      <c r="P349" s="1852">
        <f ca="1">IFERROR($H349*44/12*参考2_エネ使用量経年!$H199*(参考2_エネ使用量経年!P199+参考2_エネ使用量経年!P286),"")</f>
        <v>0</v>
      </c>
      <c r="Q349" s="1852">
        <f ca="1">IFERROR($I349*44/12*参考2_エネ使用量経年!$I199*(参考2_エネ使用量経年!Q199+参考2_エネ使用量経年!Q286),"")</f>
        <v>0</v>
      </c>
      <c r="R349" s="1852">
        <f ca="1">IFERROR($J349*44/12*参考2_エネ使用量経年!$J199*(参考2_エネ使用量経年!R199+参考2_エネ使用量経年!R286),"")</f>
        <v>0</v>
      </c>
      <c r="S349" s="1852">
        <f ca="1">IFERROR($K349*44/12*参考2_エネ使用量経年!$K199*(参考2_エネ使用量経年!S199+参考2_エネ使用量経年!S286),"")</f>
        <v>0</v>
      </c>
      <c r="T349" s="1851">
        <f ca="1">IFERROR($H349*44/12*参考2_エネ使用量経年!$H199*(参考2_エネ使用量経年!T199+参考2_エネ使用量経年!T286),"")</f>
        <v>0</v>
      </c>
      <c r="U349" s="1851">
        <f ca="1">IFERROR($I349*44/12*参考2_エネ使用量経年!$I199*(参考2_エネ使用量経年!U199+参考2_エネ使用量経年!U286),"")</f>
        <v>0</v>
      </c>
      <c r="V349" s="1851">
        <f ca="1">IFERROR($J349*44/12*参考2_エネ使用量経年!$J199*(参考2_エネ使用量経年!V199+参考2_エネ使用量経年!V286),"")</f>
        <v>0</v>
      </c>
      <c r="W349" s="1851">
        <f ca="1">IFERROR($K349*44/12*参考2_エネ使用量経年!$K199*(参考2_エネ使用量経年!W199+参考2_エネ使用量経年!W286),"")</f>
        <v>0</v>
      </c>
      <c r="X349" s="1853">
        <f ca="1">IFERROR($H349*44/12*参考2_エネ使用量経年!$H199*(参考2_エネ使用量経年!X199+参考2_エネ使用量経年!X286),"")</f>
        <v>0</v>
      </c>
      <c r="Y349" s="1853">
        <f ca="1">IFERROR($I349*44/12*参考2_エネ使用量経年!$I199*(参考2_エネ使用量経年!Y199+参考2_エネ使用量経年!Y286),"")</f>
        <v>0</v>
      </c>
      <c r="Z349" s="1853">
        <f ca="1">IFERROR($J349*44/12*参考2_エネ使用量経年!$J199*(参考2_エネ使用量経年!Z199+参考2_エネ使用量経年!Z286),"")</f>
        <v>0</v>
      </c>
      <c r="AA349" s="1853">
        <f ca="1">IFERROR($K349*44/12*参考2_エネ使用量経年!$K199*(参考2_エネ使用量経年!AA199+参考2_エネ使用量経年!AA286),"")</f>
        <v>0</v>
      </c>
      <c r="AB349" s="1853"/>
      <c r="AC349" s="1853"/>
      <c r="AD349" s="1853"/>
      <c r="AE349" s="1853"/>
      <c r="AF349" s="1853"/>
      <c r="AG349" s="1853"/>
      <c r="AH349" s="1853"/>
      <c r="AI349" s="1853"/>
      <c r="AJ349" s="1853"/>
      <c r="AK349" s="1853"/>
      <c r="AL349" s="1853"/>
      <c r="AM349" s="1853"/>
      <c r="AN349" s="1853"/>
      <c r="AO349" s="1853"/>
      <c r="AP349" s="1853"/>
      <c r="AQ349" s="1853"/>
      <c r="AR349" s="1853"/>
      <c r="AS349" s="1853"/>
      <c r="AT349" s="1853"/>
      <c r="AU349" s="1853"/>
      <c r="AV349" s="1853"/>
      <c r="AW349" s="1853"/>
      <c r="AX349" s="1853"/>
      <c r="AY349" s="1853"/>
      <c r="AZ349" s="1853"/>
      <c r="BA349" s="1853"/>
      <c r="BB349" s="1853"/>
      <c r="BC349" s="1853"/>
      <c r="BD349" s="1853"/>
      <c r="BE349" s="1853"/>
      <c r="BF349" s="1853"/>
      <c r="BG349" s="1853"/>
      <c r="BH349" s="1853"/>
      <c r="BI349" s="1853"/>
      <c r="BJ349" s="1853"/>
      <c r="BK349" s="1853"/>
      <c r="BL349" s="1853"/>
      <c r="BM349" s="1853"/>
      <c r="BN349" s="1853"/>
      <c r="BO349" s="1853"/>
    </row>
    <row r="350" spans="1:67" ht="20.100000000000001" customHeight="1">
      <c r="A350" s="1845">
        <v>37</v>
      </c>
      <c r="B350" s="1854"/>
      <c r="C350" s="1847" t="s">
        <v>936</v>
      </c>
      <c r="D350" s="1859" t="s">
        <v>937</v>
      </c>
      <c r="E350" s="1848"/>
      <c r="F350" s="1849"/>
      <c r="G350" s="1225" t="s">
        <v>1109</v>
      </c>
      <c r="H350" s="1850">
        <f t="shared" ca="1" si="164"/>
        <v>0</v>
      </c>
      <c r="I350" s="1850">
        <f t="shared" ca="1" si="165"/>
        <v>0</v>
      </c>
      <c r="J350" s="1850">
        <f t="shared" ca="1" si="166"/>
        <v>0</v>
      </c>
      <c r="K350" s="1850">
        <f t="shared" ca="1" si="167"/>
        <v>0</v>
      </c>
      <c r="L350" s="1851">
        <f ca="1">IFERROR($H350*44/12*参考2_エネ使用量経年!$H200*(参考2_エネ使用量経年!L200+参考2_エネ使用量経年!L287),"")</f>
        <v>0</v>
      </c>
      <c r="M350" s="1851">
        <f ca="1">IFERROR($I350*44/12*参考2_エネ使用量経年!$I200*(参考2_エネ使用量経年!M200+参考2_エネ使用量経年!M287),"")</f>
        <v>0</v>
      </c>
      <c r="N350" s="1851">
        <f ca="1">IFERROR($J350*44/12*参考2_エネ使用量経年!$J200*(参考2_エネ使用量経年!N200+参考2_エネ使用量経年!N287),"")</f>
        <v>0</v>
      </c>
      <c r="O350" s="1851">
        <f ca="1">IFERROR($K350*44/12*参考2_エネ使用量経年!$K200*(参考2_エネ使用量経年!O200+参考2_エネ使用量経年!O287),"")</f>
        <v>0</v>
      </c>
      <c r="P350" s="1852">
        <f ca="1">IFERROR($H350*44/12*参考2_エネ使用量経年!$H200*(参考2_エネ使用量経年!P200+参考2_エネ使用量経年!P287),"")</f>
        <v>0</v>
      </c>
      <c r="Q350" s="1852">
        <f ca="1">IFERROR($I350*44/12*参考2_エネ使用量経年!$I200*(参考2_エネ使用量経年!Q200+参考2_エネ使用量経年!Q287),"")</f>
        <v>0</v>
      </c>
      <c r="R350" s="1852">
        <f ca="1">IFERROR($J350*44/12*参考2_エネ使用量経年!$J200*(参考2_エネ使用量経年!R200+参考2_エネ使用量経年!R287),"")</f>
        <v>0</v>
      </c>
      <c r="S350" s="1852">
        <f ca="1">IFERROR($K350*44/12*参考2_エネ使用量経年!$K200*(参考2_エネ使用量経年!S200+参考2_エネ使用量経年!S287),"")</f>
        <v>0</v>
      </c>
      <c r="T350" s="1851">
        <f ca="1">IFERROR($H350*44/12*参考2_エネ使用量経年!$H200*(参考2_エネ使用量経年!T200+参考2_エネ使用量経年!T287),"")</f>
        <v>0</v>
      </c>
      <c r="U350" s="1851">
        <f ca="1">IFERROR($I350*44/12*参考2_エネ使用量経年!$I200*(参考2_エネ使用量経年!U200+参考2_エネ使用量経年!U287),"")</f>
        <v>0</v>
      </c>
      <c r="V350" s="1851">
        <f ca="1">IFERROR($J350*44/12*参考2_エネ使用量経年!$J200*(参考2_エネ使用量経年!V200+参考2_エネ使用量経年!V287),"")</f>
        <v>0</v>
      </c>
      <c r="W350" s="1851">
        <f ca="1">IFERROR($K350*44/12*参考2_エネ使用量経年!$K200*(参考2_エネ使用量経年!W200+参考2_エネ使用量経年!W287),"")</f>
        <v>0</v>
      </c>
      <c r="X350" s="1853">
        <f ca="1">IFERROR($H350*44/12*参考2_エネ使用量経年!$H200*(参考2_エネ使用量経年!X200+参考2_エネ使用量経年!X287),"")</f>
        <v>0</v>
      </c>
      <c r="Y350" s="1853">
        <f ca="1">IFERROR($I350*44/12*参考2_エネ使用量経年!$I200*(参考2_エネ使用量経年!Y200+参考2_エネ使用量経年!Y287),"")</f>
        <v>0</v>
      </c>
      <c r="Z350" s="1853">
        <f ca="1">IFERROR($J350*44/12*参考2_エネ使用量経年!$J200*(参考2_エネ使用量経年!Z200+参考2_エネ使用量経年!Z287),"")</f>
        <v>0</v>
      </c>
      <c r="AA350" s="1853">
        <f ca="1">IFERROR($K350*44/12*参考2_エネ使用量経年!$K200*(参考2_エネ使用量経年!AA200+参考2_エネ使用量経年!AA287),"")</f>
        <v>0</v>
      </c>
      <c r="AB350" s="1853"/>
      <c r="AC350" s="1853"/>
      <c r="AD350" s="1853"/>
      <c r="AE350" s="1853"/>
      <c r="AF350" s="1853"/>
      <c r="AG350" s="1853"/>
      <c r="AH350" s="1853"/>
      <c r="AI350" s="1853"/>
      <c r="AJ350" s="1853"/>
      <c r="AK350" s="1853"/>
      <c r="AL350" s="1853"/>
      <c r="AM350" s="1853"/>
      <c r="AN350" s="1853"/>
      <c r="AO350" s="1853"/>
      <c r="AP350" s="1853"/>
      <c r="AQ350" s="1853"/>
      <c r="AR350" s="1853"/>
      <c r="AS350" s="1853"/>
      <c r="AT350" s="1853"/>
      <c r="AU350" s="1853"/>
      <c r="AV350" s="1853"/>
      <c r="AW350" s="1853"/>
      <c r="AX350" s="1853"/>
      <c r="AY350" s="1853"/>
      <c r="AZ350" s="1853"/>
      <c r="BA350" s="1853"/>
      <c r="BB350" s="1853"/>
      <c r="BC350" s="1853"/>
      <c r="BD350" s="1853"/>
      <c r="BE350" s="1853"/>
      <c r="BF350" s="1853"/>
      <c r="BG350" s="1853"/>
      <c r="BH350" s="1853"/>
      <c r="BI350" s="1853"/>
      <c r="BJ350" s="1853"/>
      <c r="BK350" s="1853"/>
      <c r="BL350" s="1853"/>
      <c r="BM350" s="1853"/>
      <c r="BN350" s="1853"/>
      <c r="BO350" s="1853"/>
    </row>
    <row r="351" spans="1:67" ht="20.100000000000001" customHeight="1">
      <c r="A351" s="1845">
        <v>38</v>
      </c>
      <c r="B351" s="1854"/>
      <c r="C351" s="1847"/>
      <c r="D351" s="1859" t="s">
        <v>938</v>
      </c>
      <c r="E351" s="1848"/>
      <c r="F351" s="1849"/>
      <c r="G351" s="1225" t="s">
        <v>1109</v>
      </c>
      <c r="H351" s="1850">
        <f t="shared" ca="1" si="164"/>
        <v>0</v>
      </c>
      <c r="I351" s="1850">
        <f t="shared" ca="1" si="165"/>
        <v>0</v>
      </c>
      <c r="J351" s="1850">
        <f t="shared" ca="1" si="166"/>
        <v>0</v>
      </c>
      <c r="K351" s="1850">
        <f t="shared" ca="1" si="167"/>
        <v>0</v>
      </c>
      <c r="L351" s="1851">
        <f ca="1">IFERROR($H351*44/12*参考2_エネ使用量経年!$H201*(参考2_エネ使用量経年!L201+参考2_エネ使用量経年!L288),"")</f>
        <v>0</v>
      </c>
      <c r="M351" s="1851">
        <f ca="1">IFERROR($I351*44/12*参考2_エネ使用量経年!$I201*(参考2_エネ使用量経年!M201+参考2_エネ使用量経年!M288),"")</f>
        <v>0</v>
      </c>
      <c r="N351" s="1851">
        <f ca="1">IFERROR($J351*44/12*参考2_エネ使用量経年!$J201*(参考2_エネ使用量経年!N201+参考2_エネ使用量経年!N288),"")</f>
        <v>0</v>
      </c>
      <c r="O351" s="1851">
        <f ca="1">IFERROR($K351*44/12*参考2_エネ使用量経年!$K201*(参考2_エネ使用量経年!O201+参考2_エネ使用量経年!O288),"")</f>
        <v>0</v>
      </c>
      <c r="P351" s="1852">
        <f ca="1">IFERROR($H351*44/12*参考2_エネ使用量経年!$H201*(参考2_エネ使用量経年!P201+参考2_エネ使用量経年!P288),"")</f>
        <v>0</v>
      </c>
      <c r="Q351" s="1852">
        <f ca="1">IFERROR($I351*44/12*参考2_エネ使用量経年!$I201*(参考2_エネ使用量経年!Q201+参考2_エネ使用量経年!Q288),"")</f>
        <v>0</v>
      </c>
      <c r="R351" s="1852">
        <f ca="1">IFERROR($J351*44/12*参考2_エネ使用量経年!$J201*(参考2_エネ使用量経年!R201+参考2_エネ使用量経年!R288),"")</f>
        <v>0</v>
      </c>
      <c r="S351" s="1852">
        <f ca="1">IFERROR($K351*44/12*参考2_エネ使用量経年!$K201*(参考2_エネ使用量経年!S201+参考2_エネ使用量経年!S288),"")</f>
        <v>0</v>
      </c>
      <c r="T351" s="1851">
        <f ca="1">IFERROR($H351*44/12*参考2_エネ使用量経年!$H201*(参考2_エネ使用量経年!T201+参考2_エネ使用量経年!T288),"")</f>
        <v>0</v>
      </c>
      <c r="U351" s="1851">
        <f ca="1">IFERROR($I351*44/12*参考2_エネ使用量経年!$I201*(参考2_エネ使用量経年!U201+参考2_エネ使用量経年!U288),"")</f>
        <v>0</v>
      </c>
      <c r="V351" s="1851">
        <f ca="1">IFERROR($J351*44/12*参考2_エネ使用量経年!$J201*(参考2_エネ使用量経年!V201+参考2_エネ使用量経年!V288),"")</f>
        <v>0</v>
      </c>
      <c r="W351" s="1851">
        <f ca="1">IFERROR($K351*44/12*参考2_エネ使用量経年!$K201*(参考2_エネ使用量経年!W201+参考2_エネ使用量経年!W288),"")</f>
        <v>0</v>
      </c>
      <c r="X351" s="1853">
        <f ca="1">IFERROR($H351*44/12*参考2_エネ使用量経年!$H201*(参考2_エネ使用量経年!X201+参考2_エネ使用量経年!X288),"")</f>
        <v>0</v>
      </c>
      <c r="Y351" s="1853">
        <f ca="1">IFERROR($I351*44/12*参考2_エネ使用量経年!$I201*(参考2_エネ使用量経年!Y201+参考2_エネ使用量経年!Y288),"")</f>
        <v>0</v>
      </c>
      <c r="Z351" s="1853">
        <f ca="1">IFERROR($J351*44/12*参考2_エネ使用量経年!$J201*(参考2_エネ使用量経年!Z201+参考2_エネ使用量経年!Z288),"")</f>
        <v>0</v>
      </c>
      <c r="AA351" s="1853">
        <f ca="1">IFERROR($K351*44/12*参考2_エネ使用量経年!$K201*(参考2_エネ使用量経年!AA201+参考2_エネ使用量経年!AA288),"")</f>
        <v>0</v>
      </c>
      <c r="AB351" s="1853"/>
      <c r="AC351" s="1853"/>
      <c r="AD351" s="1853"/>
      <c r="AE351" s="1853"/>
      <c r="AF351" s="1853"/>
      <c r="AG351" s="1853"/>
      <c r="AH351" s="1853"/>
      <c r="AI351" s="1853"/>
      <c r="AJ351" s="1853"/>
      <c r="AK351" s="1853"/>
      <c r="AL351" s="1853"/>
      <c r="AM351" s="1853"/>
      <c r="AN351" s="1853"/>
      <c r="AO351" s="1853"/>
      <c r="AP351" s="1853"/>
      <c r="AQ351" s="1853"/>
      <c r="AR351" s="1853"/>
      <c r="AS351" s="1853"/>
      <c r="AT351" s="1853"/>
      <c r="AU351" s="1853"/>
      <c r="AV351" s="1853"/>
      <c r="AW351" s="1853"/>
      <c r="AX351" s="1853"/>
      <c r="AY351" s="1853"/>
      <c r="AZ351" s="1853"/>
      <c r="BA351" s="1853"/>
      <c r="BB351" s="1853"/>
      <c r="BC351" s="1853"/>
      <c r="BD351" s="1853"/>
      <c r="BE351" s="1853"/>
      <c r="BF351" s="1853"/>
      <c r="BG351" s="1853"/>
      <c r="BH351" s="1853"/>
      <c r="BI351" s="1853"/>
      <c r="BJ351" s="1853"/>
      <c r="BK351" s="1853"/>
      <c r="BL351" s="1853"/>
      <c r="BM351" s="1853"/>
      <c r="BN351" s="1853"/>
      <c r="BO351" s="1853"/>
    </row>
    <row r="352" spans="1:67" ht="20.100000000000001" customHeight="1">
      <c r="A352" s="1845">
        <v>39</v>
      </c>
      <c r="B352" s="1854"/>
      <c r="C352" s="1847"/>
      <c r="D352" s="1859" t="s">
        <v>939</v>
      </c>
      <c r="E352" s="1837"/>
      <c r="F352" s="1849"/>
      <c r="G352" s="1225" t="s">
        <v>1109</v>
      </c>
      <c r="H352" s="1850">
        <f t="shared" ca="1" si="164"/>
        <v>0</v>
      </c>
      <c r="I352" s="1850">
        <f t="shared" ca="1" si="165"/>
        <v>0</v>
      </c>
      <c r="J352" s="1850">
        <f t="shared" ca="1" si="166"/>
        <v>0</v>
      </c>
      <c r="K352" s="1850">
        <f t="shared" ca="1" si="167"/>
        <v>0</v>
      </c>
      <c r="L352" s="1851">
        <f ca="1">IFERROR($H352*44/12*参考2_エネ使用量経年!$H202*(参考2_エネ使用量経年!L202+参考2_エネ使用量経年!L289),"")</f>
        <v>0</v>
      </c>
      <c r="M352" s="1851">
        <f ca="1">IFERROR($I352*44/12*参考2_エネ使用量経年!$I202*(参考2_エネ使用量経年!M202+参考2_エネ使用量経年!M289),"")</f>
        <v>0</v>
      </c>
      <c r="N352" s="1851">
        <f ca="1">IFERROR($J352*44/12*参考2_エネ使用量経年!$J202*(参考2_エネ使用量経年!N202+参考2_エネ使用量経年!N289),"")</f>
        <v>0</v>
      </c>
      <c r="O352" s="1851">
        <f ca="1">IFERROR($K352*44/12*参考2_エネ使用量経年!$K202*(参考2_エネ使用量経年!O202+参考2_エネ使用量経年!O289),"")</f>
        <v>0</v>
      </c>
      <c r="P352" s="1852">
        <f ca="1">IFERROR($H352*44/12*参考2_エネ使用量経年!$H202*(参考2_エネ使用量経年!P202+参考2_エネ使用量経年!P289),"")</f>
        <v>0</v>
      </c>
      <c r="Q352" s="1852">
        <f ca="1">IFERROR($I352*44/12*参考2_エネ使用量経年!$I202*(参考2_エネ使用量経年!Q202+参考2_エネ使用量経年!Q289),"")</f>
        <v>0</v>
      </c>
      <c r="R352" s="1852">
        <f ca="1">IFERROR($J352*44/12*参考2_エネ使用量経年!$J202*(参考2_エネ使用量経年!R202+参考2_エネ使用量経年!R289),"")</f>
        <v>0</v>
      </c>
      <c r="S352" s="1852">
        <f ca="1">IFERROR($K352*44/12*参考2_エネ使用量経年!$K202*(参考2_エネ使用量経年!S202+参考2_エネ使用量経年!S289),"")</f>
        <v>0</v>
      </c>
      <c r="T352" s="1851">
        <f ca="1">IFERROR($H352*44/12*参考2_エネ使用量経年!$H202*(参考2_エネ使用量経年!T202+参考2_エネ使用量経年!T289),"")</f>
        <v>0</v>
      </c>
      <c r="U352" s="1851">
        <f ca="1">IFERROR($I352*44/12*参考2_エネ使用量経年!$I202*(参考2_エネ使用量経年!U202+参考2_エネ使用量経年!U289),"")</f>
        <v>0</v>
      </c>
      <c r="V352" s="1851">
        <f ca="1">IFERROR($J352*44/12*参考2_エネ使用量経年!$J202*(参考2_エネ使用量経年!V202+参考2_エネ使用量経年!V289),"")</f>
        <v>0</v>
      </c>
      <c r="W352" s="1851">
        <f ca="1">IFERROR($K352*44/12*参考2_エネ使用量経年!$K202*(参考2_エネ使用量経年!W202+参考2_エネ使用量経年!W289),"")</f>
        <v>0</v>
      </c>
      <c r="X352" s="1853">
        <f ca="1">IFERROR($H352*44/12*参考2_エネ使用量経年!$H202*(参考2_エネ使用量経年!X202+参考2_エネ使用量経年!X289),"")</f>
        <v>0</v>
      </c>
      <c r="Y352" s="1853">
        <f ca="1">IFERROR($I352*44/12*参考2_エネ使用量経年!$I202*(参考2_エネ使用量経年!Y202+参考2_エネ使用量経年!Y289),"")</f>
        <v>0</v>
      </c>
      <c r="Z352" s="1853">
        <f ca="1">IFERROR($J352*44/12*参考2_エネ使用量経年!$J202*(参考2_エネ使用量経年!Z202+参考2_エネ使用量経年!Z289),"")</f>
        <v>0</v>
      </c>
      <c r="AA352" s="1853">
        <f ca="1">IFERROR($K352*44/12*参考2_エネ使用量経年!$K202*(参考2_エネ使用量経年!AA202+参考2_エネ使用量経年!AA289),"")</f>
        <v>0</v>
      </c>
      <c r="AB352" s="1853"/>
      <c r="AC352" s="1853"/>
      <c r="AD352" s="1853"/>
      <c r="AE352" s="1853"/>
      <c r="AF352" s="1853"/>
      <c r="AG352" s="1853"/>
      <c r="AH352" s="1853"/>
      <c r="AI352" s="1853"/>
      <c r="AJ352" s="1853"/>
      <c r="AK352" s="1853"/>
      <c r="AL352" s="1853"/>
      <c r="AM352" s="1853"/>
      <c r="AN352" s="1853"/>
      <c r="AO352" s="1853"/>
      <c r="AP352" s="1853"/>
      <c r="AQ352" s="1853"/>
      <c r="AR352" s="1853"/>
      <c r="AS352" s="1853"/>
      <c r="AT352" s="1853"/>
      <c r="AU352" s="1853"/>
      <c r="AV352" s="1853"/>
      <c r="AW352" s="1853"/>
      <c r="AX352" s="1853"/>
      <c r="AY352" s="1853"/>
      <c r="AZ352" s="1853"/>
      <c r="BA352" s="1853"/>
      <c r="BB352" s="1853"/>
      <c r="BC352" s="1853"/>
      <c r="BD352" s="1853"/>
      <c r="BE352" s="1853"/>
      <c r="BF352" s="1853"/>
      <c r="BG352" s="1853"/>
      <c r="BH352" s="1853"/>
      <c r="BI352" s="1853"/>
      <c r="BJ352" s="1853"/>
      <c r="BK352" s="1853"/>
      <c r="BL352" s="1853"/>
      <c r="BM352" s="1853"/>
      <c r="BN352" s="1853"/>
      <c r="BO352" s="1853"/>
    </row>
    <row r="353" spans="1:68" ht="20.100000000000001" customHeight="1">
      <c r="A353" s="1845">
        <v>40</v>
      </c>
      <c r="B353" s="1854"/>
      <c r="C353" s="1847"/>
      <c r="D353" s="1848" t="s">
        <v>564</v>
      </c>
      <c r="E353" s="1848"/>
      <c r="F353" s="1849"/>
      <c r="G353" s="1225" t="s">
        <v>1109</v>
      </c>
      <c r="H353" s="1850">
        <f t="shared" ca="1" si="164"/>
        <v>0</v>
      </c>
      <c r="I353" s="1850">
        <f t="shared" ca="1" si="165"/>
        <v>0</v>
      </c>
      <c r="J353" s="1850">
        <f t="shared" ca="1" si="166"/>
        <v>0</v>
      </c>
      <c r="K353" s="1850">
        <f t="shared" ca="1" si="167"/>
        <v>0</v>
      </c>
      <c r="L353" s="1851">
        <f ca="1">IFERROR($H353*44/12*参考2_エネ使用量経年!$H203*(参考2_エネ使用量経年!L203+参考2_エネ使用量経年!L290),"")</f>
        <v>0</v>
      </c>
      <c r="M353" s="1851">
        <f ca="1">IFERROR($I353*44/12*参考2_エネ使用量経年!$I203*(参考2_エネ使用量経年!M203+参考2_エネ使用量経年!M290),"")</f>
        <v>0</v>
      </c>
      <c r="N353" s="1851">
        <f ca="1">IFERROR($J353*44/12*参考2_エネ使用量経年!$J203*(参考2_エネ使用量経年!N203+参考2_エネ使用量経年!N290),"")</f>
        <v>0</v>
      </c>
      <c r="O353" s="1851">
        <f ca="1">IFERROR($K353*44/12*参考2_エネ使用量経年!$K203*(参考2_エネ使用量経年!O203+参考2_エネ使用量経年!O290),"")</f>
        <v>0</v>
      </c>
      <c r="P353" s="1852">
        <f ca="1">IFERROR($H353*44/12*参考2_エネ使用量経年!$H203*(参考2_エネ使用量経年!P203+参考2_エネ使用量経年!P290),"")</f>
        <v>0</v>
      </c>
      <c r="Q353" s="1852">
        <f ca="1">IFERROR($I353*44/12*参考2_エネ使用量経年!$I203*(参考2_エネ使用量経年!Q203+参考2_エネ使用量経年!Q290),"")</f>
        <v>0</v>
      </c>
      <c r="R353" s="1852">
        <f ca="1">IFERROR($J353*44/12*参考2_エネ使用量経年!$J203*(参考2_エネ使用量経年!R203+参考2_エネ使用量経年!R290),"")</f>
        <v>0</v>
      </c>
      <c r="S353" s="1852">
        <f ca="1">IFERROR($K353*44/12*参考2_エネ使用量経年!$K203*(参考2_エネ使用量経年!S203+参考2_エネ使用量経年!S290),"")</f>
        <v>0</v>
      </c>
      <c r="T353" s="1851">
        <f ca="1">IFERROR($H353*44/12*参考2_エネ使用量経年!$H203*(参考2_エネ使用量経年!T203+参考2_エネ使用量経年!T290),"")</f>
        <v>0</v>
      </c>
      <c r="U353" s="1851">
        <f ca="1">IFERROR($I353*44/12*参考2_エネ使用量経年!$I203*(参考2_エネ使用量経年!U203+参考2_エネ使用量経年!U290),"")</f>
        <v>0</v>
      </c>
      <c r="V353" s="1851">
        <f ca="1">IFERROR($J353*44/12*参考2_エネ使用量経年!$J203*(参考2_エネ使用量経年!V203+参考2_エネ使用量経年!V290),"")</f>
        <v>0</v>
      </c>
      <c r="W353" s="1851">
        <f ca="1">IFERROR($K353*44/12*参考2_エネ使用量経年!$K203*(参考2_エネ使用量経年!W203+参考2_エネ使用量経年!W290),"")</f>
        <v>0</v>
      </c>
      <c r="X353" s="1853">
        <f ca="1">IFERROR($H353*44/12*参考2_エネ使用量経年!$H203*(参考2_エネ使用量経年!X203+参考2_エネ使用量経年!X290),"")</f>
        <v>0</v>
      </c>
      <c r="Y353" s="1853">
        <f ca="1">IFERROR($I353*44/12*参考2_エネ使用量経年!$I203*(参考2_エネ使用量経年!Y203+参考2_エネ使用量経年!Y290),"")</f>
        <v>0</v>
      </c>
      <c r="Z353" s="1853">
        <f ca="1">IFERROR($J353*44/12*参考2_エネ使用量経年!$J203*(参考2_エネ使用量経年!Z203+参考2_エネ使用量経年!Z290),"")</f>
        <v>0</v>
      </c>
      <c r="AA353" s="1853">
        <f ca="1">IFERROR($K353*44/12*参考2_エネ使用量経年!$K203*(参考2_エネ使用量経年!AA203+参考2_エネ使用量経年!AA290),"")</f>
        <v>0</v>
      </c>
      <c r="AB353" s="1853"/>
      <c r="AC353" s="1853"/>
      <c r="AD353" s="1853"/>
      <c r="AE353" s="1853"/>
      <c r="AF353" s="1853"/>
      <c r="AG353" s="1853"/>
      <c r="AH353" s="1853"/>
      <c r="AI353" s="1853"/>
      <c r="AJ353" s="1853"/>
      <c r="AK353" s="1853"/>
      <c r="AL353" s="1853"/>
      <c r="AM353" s="1853"/>
      <c r="AN353" s="1853"/>
      <c r="AO353" s="1853"/>
      <c r="AP353" s="1853"/>
      <c r="AQ353" s="1853"/>
      <c r="AR353" s="1853"/>
      <c r="AS353" s="1853"/>
      <c r="AT353" s="1853"/>
      <c r="AU353" s="1853"/>
      <c r="AV353" s="1853"/>
      <c r="AW353" s="1853"/>
      <c r="AX353" s="1853"/>
      <c r="AY353" s="1853"/>
      <c r="AZ353" s="1853"/>
      <c r="BA353" s="1853"/>
      <c r="BB353" s="1853"/>
      <c r="BC353" s="1853"/>
      <c r="BD353" s="1853"/>
      <c r="BE353" s="1853"/>
      <c r="BF353" s="1853"/>
      <c r="BG353" s="1853"/>
      <c r="BH353" s="1853"/>
      <c r="BI353" s="1853"/>
      <c r="BJ353" s="1853"/>
      <c r="BK353" s="1853"/>
      <c r="BL353" s="1853"/>
      <c r="BM353" s="1853"/>
      <c r="BN353" s="1853"/>
      <c r="BO353" s="1853"/>
    </row>
    <row r="354" spans="1:68" ht="20.100000000000001" customHeight="1">
      <c r="A354" s="1845">
        <v>41</v>
      </c>
      <c r="B354" s="1854"/>
      <c r="C354" s="1847"/>
      <c r="D354" s="1848" t="s">
        <v>565</v>
      </c>
      <c r="E354" s="1848"/>
      <c r="F354" s="1849"/>
      <c r="G354" s="1225" t="s">
        <v>1109</v>
      </c>
      <c r="H354" s="1850">
        <f t="shared" ca="1" si="164"/>
        <v>0</v>
      </c>
      <c r="I354" s="1850">
        <f t="shared" ca="1" si="165"/>
        <v>0</v>
      </c>
      <c r="J354" s="1850">
        <f t="shared" ca="1" si="166"/>
        <v>0</v>
      </c>
      <c r="K354" s="1850">
        <f t="shared" ca="1" si="167"/>
        <v>0</v>
      </c>
      <c r="L354" s="1851">
        <f ca="1">IFERROR($H354*44/12*参考2_エネ使用量経年!$H204*(参考2_エネ使用量経年!L204+参考2_エネ使用量経年!L291),"")</f>
        <v>0</v>
      </c>
      <c r="M354" s="1851">
        <f ca="1">IFERROR($I354*44/12*参考2_エネ使用量経年!$I204*(参考2_エネ使用量経年!M204+参考2_エネ使用量経年!M291),"")</f>
        <v>0</v>
      </c>
      <c r="N354" s="1851">
        <f ca="1">IFERROR($J354*44/12*参考2_エネ使用量経年!$J204*(参考2_エネ使用量経年!N204+参考2_エネ使用量経年!N291),"")</f>
        <v>0</v>
      </c>
      <c r="O354" s="1851">
        <f ca="1">IFERROR($K354*44/12*参考2_エネ使用量経年!$K204*(参考2_エネ使用量経年!O204+参考2_エネ使用量経年!O291),"")</f>
        <v>0</v>
      </c>
      <c r="P354" s="1852">
        <f ca="1">IFERROR($H354*44/12*参考2_エネ使用量経年!$H204*(参考2_エネ使用量経年!P204+参考2_エネ使用量経年!P291),"")</f>
        <v>0</v>
      </c>
      <c r="Q354" s="1852">
        <f ca="1">IFERROR($I354*44/12*参考2_エネ使用量経年!$I204*(参考2_エネ使用量経年!Q204+参考2_エネ使用量経年!Q291),"")</f>
        <v>0</v>
      </c>
      <c r="R354" s="1852">
        <f ca="1">IFERROR($J354*44/12*参考2_エネ使用量経年!$J204*(参考2_エネ使用量経年!R204+参考2_エネ使用量経年!R291),"")</f>
        <v>0</v>
      </c>
      <c r="S354" s="1852">
        <f ca="1">IFERROR($K354*44/12*参考2_エネ使用量経年!$K204*(参考2_エネ使用量経年!S204+参考2_エネ使用量経年!S291),"")</f>
        <v>0</v>
      </c>
      <c r="T354" s="1851">
        <f ca="1">IFERROR($H354*44/12*参考2_エネ使用量経年!$H204*(参考2_エネ使用量経年!T204+参考2_エネ使用量経年!T291),"")</f>
        <v>0</v>
      </c>
      <c r="U354" s="1851">
        <f ca="1">IFERROR($I354*44/12*参考2_エネ使用量経年!$I204*(参考2_エネ使用量経年!U204+参考2_エネ使用量経年!U291),"")</f>
        <v>0</v>
      </c>
      <c r="V354" s="1851">
        <f ca="1">IFERROR($J354*44/12*参考2_エネ使用量経年!$J204*(参考2_エネ使用量経年!V204+参考2_エネ使用量経年!V291),"")</f>
        <v>0</v>
      </c>
      <c r="W354" s="1851">
        <f ca="1">IFERROR($K354*44/12*参考2_エネ使用量経年!$K204*(参考2_エネ使用量経年!W204+参考2_エネ使用量経年!W291),"")</f>
        <v>0</v>
      </c>
      <c r="X354" s="1853">
        <f ca="1">IFERROR($H354*44/12*参考2_エネ使用量経年!$H204*(参考2_エネ使用量経年!X204+参考2_エネ使用量経年!X291),"")</f>
        <v>0</v>
      </c>
      <c r="Y354" s="1853">
        <f ca="1">IFERROR($I354*44/12*参考2_エネ使用量経年!$I204*(参考2_エネ使用量経年!Y204+参考2_エネ使用量経年!Y291),"")</f>
        <v>0</v>
      </c>
      <c r="Z354" s="1853">
        <f ca="1">IFERROR($J354*44/12*参考2_エネ使用量経年!$J204*(参考2_エネ使用量経年!Z204+参考2_エネ使用量経年!Z291),"")</f>
        <v>0</v>
      </c>
      <c r="AA354" s="1853">
        <f ca="1">IFERROR($K354*44/12*参考2_エネ使用量経年!$K204*(参考2_エネ使用量経年!AA204+参考2_エネ使用量経年!AA291),"")</f>
        <v>0</v>
      </c>
      <c r="AB354" s="1853"/>
      <c r="AC354" s="1853"/>
      <c r="AD354" s="1853"/>
      <c r="AE354" s="1853"/>
      <c r="AF354" s="1853"/>
      <c r="AG354" s="1853"/>
      <c r="AH354" s="1853"/>
      <c r="AI354" s="1853"/>
      <c r="AJ354" s="1853"/>
      <c r="AK354" s="1853"/>
      <c r="AL354" s="1853"/>
      <c r="AM354" s="1853"/>
      <c r="AN354" s="1853"/>
      <c r="AO354" s="1853"/>
      <c r="AP354" s="1853"/>
      <c r="AQ354" s="1853"/>
      <c r="AR354" s="1853"/>
      <c r="AS354" s="1853"/>
      <c r="AT354" s="1853"/>
      <c r="AU354" s="1853"/>
      <c r="AV354" s="1853"/>
      <c r="AW354" s="1853"/>
      <c r="AX354" s="1853"/>
      <c r="AY354" s="1853"/>
      <c r="AZ354" s="1853"/>
      <c r="BA354" s="1853"/>
      <c r="BB354" s="1853"/>
      <c r="BC354" s="1853"/>
      <c r="BD354" s="1853"/>
      <c r="BE354" s="1853"/>
      <c r="BF354" s="1853"/>
      <c r="BG354" s="1853"/>
      <c r="BH354" s="1853"/>
      <c r="BI354" s="1853"/>
      <c r="BJ354" s="1853"/>
      <c r="BK354" s="1853"/>
      <c r="BL354" s="1853"/>
      <c r="BM354" s="1853"/>
      <c r="BN354" s="1853"/>
      <c r="BO354" s="1853"/>
    </row>
    <row r="355" spans="1:68" ht="20.100000000000001" customHeight="1">
      <c r="A355" s="1845">
        <v>42</v>
      </c>
      <c r="B355" s="1854"/>
      <c r="C355" s="1847"/>
      <c r="D355" s="1848" t="s">
        <v>566</v>
      </c>
      <c r="E355" s="1848"/>
      <c r="F355" s="1849"/>
      <c r="G355" s="1225" t="s">
        <v>1109</v>
      </c>
      <c r="H355" s="1850">
        <f t="shared" ca="1" si="164"/>
        <v>0</v>
      </c>
      <c r="I355" s="1850">
        <f t="shared" ca="1" si="165"/>
        <v>0</v>
      </c>
      <c r="J355" s="1850">
        <f t="shared" ca="1" si="166"/>
        <v>0</v>
      </c>
      <c r="K355" s="1850">
        <f t="shared" ca="1" si="167"/>
        <v>0</v>
      </c>
      <c r="L355" s="1851">
        <f ca="1">IFERROR($H355*44/12*参考2_エネ使用量経年!$H205*(参考2_エネ使用量経年!L205+参考2_エネ使用量経年!L292),"")</f>
        <v>0</v>
      </c>
      <c r="M355" s="1851">
        <f ca="1">IFERROR($I355*44/12*参考2_エネ使用量経年!$I205*(参考2_エネ使用量経年!M205+参考2_エネ使用量経年!M292),"")</f>
        <v>0</v>
      </c>
      <c r="N355" s="1851">
        <f ca="1">IFERROR($J355*44/12*参考2_エネ使用量経年!$J205*(参考2_エネ使用量経年!N205+参考2_エネ使用量経年!N292),"")</f>
        <v>0</v>
      </c>
      <c r="O355" s="1851">
        <f ca="1">IFERROR($K355*44/12*参考2_エネ使用量経年!$K205*(参考2_エネ使用量経年!O205+参考2_エネ使用量経年!O292),"")</f>
        <v>0</v>
      </c>
      <c r="P355" s="1852">
        <f ca="1">IFERROR($H355*44/12*参考2_エネ使用量経年!$H205*(参考2_エネ使用量経年!P205+参考2_エネ使用量経年!P292),"")</f>
        <v>0</v>
      </c>
      <c r="Q355" s="1852">
        <f ca="1">IFERROR($I355*44/12*参考2_エネ使用量経年!$I205*(参考2_エネ使用量経年!Q205+参考2_エネ使用量経年!Q292),"")</f>
        <v>0</v>
      </c>
      <c r="R355" s="1852">
        <f ca="1">IFERROR($J355*44/12*参考2_エネ使用量経年!$J205*(参考2_エネ使用量経年!R205+参考2_エネ使用量経年!R292),"")</f>
        <v>0</v>
      </c>
      <c r="S355" s="1852">
        <f ca="1">IFERROR($K355*44/12*参考2_エネ使用量経年!$K205*(参考2_エネ使用量経年!S205+参考2_エネ使用量経年!S292),"")</f>
        <v>0</v>
      </c>
      <c r="T355" s="1851">
        <f ca="1">IFERROR($H355*44/12*参考2_エネ使用量経年!$H205*(参考2_エネ使用量経年!T205+参考2_エネ使用量経年!T292),"")</f>
        <v>0</v>
      </c>
      <c r="U355" s="1851">
        <f ca="1">IFERROR($I355*44/12*参考2_エネ使用量経年!$I205*(参考2_エネ使用量経年!U205+参考2_エネ使用量経年!U292),"")</f>
        <v>0</v>
      </c>
      <c r="V355" s="1851">
        <f ca="1">IFERROR($J355*44/12*参考2_エネ使用量経年!$J205*(参考2_エネ使用量経年!V205+参考2_エネ使用量経年!V292),"")</f>
        <v>0</v>
      </c>
      <c r="W355" s="1851">
        <f ca="1">IFERROR($K355*44/12*参考2_エネ使用量経年!$K205*(参考2_エネ使用量経年!W205+参考2_エネ使用量経年!W292),"")</f>
        <v>0</v>
      </c>
      <c r="X355" s="1853">
        <f ca="1">IFERROR($H355*44/12*参考2_エネ使用量経年!$H205*(参考2_エネ使用量経年!X205+参考2_エネ使用量経年!X292),"")</f>
        <v>0</v>
      </c>
      <c r="Y355" s="1853">
        <f ca="1">IFERROR($I355*44/12*参考2_エネ使用量経年!$I205*(参考2_エネ使用量経年!Y205+参考2_エネ使用量経年!Y292),"")</f>
        <v>0</v>
      </c>
      <c r="Z355" s="1853">
        <f ca="1">IFERROR($J355*44/12*参考2_エネ使用量経年!$J205*(参考2_エネ使用量経年!Z205+参考2_エネ使用量経年!Z292),"")</f>
        <v>0</v>
      </c>
      <c r="AA355" s="1853">
        <f ca="1">IFERROR($K355*44/12*参考2_エネ使用量経年!$K205*(参考2_エネ使用量経年!AA205+参考2_エネ使用量経年!AA292),"")</f>
        <v>0</v>
      </c>
      <c r="AB355" s="1853"/>
      <c r="AC355" s="1853"/>
      <c r="AD355" s="1853"/>
      <c r="AE355" s="1853"/>
      <c r="AF355" s="1853"/>
      <c r="AG355" s="1853"/>
      <c r="AH355" s="1853"/>
      <c r="AI355" s="1853"/>
      <c r="AJ355" s="1853"/>
      <c r="AK355" s="1853"/>
      <c r="AL355" s="1853"/>
      <c r="AM355" s="1853"/>
      <c r="AN355" s="1853"/>
      <c r="AO355" s="1853"/>
      <c r="AP355" s="1853"/>
      <c r="AQ355" s="1853"/>
      <c r="AR355" s="1853"/>
      <c r="AS355" s="1853"/>
      <c r="AT355" s="1853"/>
      <c r="AU355" s="1853"/>
      <c r="AV355" s="1853"/>
      <c r="AW355" s="1853"/>
      <c r="AX355" s="1853"/>
      <c r="AY355" s="1853"/>
      <c r="AZ355" s="1853"/>
      <c r="BA355" s="1853"/>
      <c r="BB355" s="1853"/>
      <c r="BC355" s="1853"/>
      <c r="BD355" s="1853"/>
      <c r="BE355" s="1853"/>
      <c r="BF355" s="1853"/>
      <c r="BG355" s="1853"/>
      <c r="BH355" s="1853"/>
      <c r="BI355" s="1853"/>
      <c r="BJ355" s="1853"/>
      <c r="BK355" s="1853"/>
      <c r="BL355" s="1853"/>
      <c r="BM355" s="1853"/>
      <c r="BN355" s="1853"/>
      <c r="BO355" s="1853"/>
    </row>
    <row r="356" spans="1:68" ht="20.100000000000001" customHeight="1">
      <c r="A356" s="1845">
        <v>43</v>
      </c>
      <c r="B356" s="1854"/>
      <c r="C356" s="1847"/>
      <c r="D356" s="1848" t="s">
        <v>940</v>
      </c>
      <c r="E356" s="1858" t="str">
        <f ca="1">E43</f>
        <v/>
      </c>
      <c r="F356" s="1860"/>
      <c r="G356" s="1225" t="s">
        <v>1109</v>
      </c>
      <c r="H356" s="1850">
        <f t="shared" ca="1" si="164"/>
        <v>0</v>
      </c>
      <c r="I356" s="1850">
        <f t="shared" ca="1" si="165"/>
        <v>0</v>
      </c>
      <c r="J356" s="1850">
        <f t="shared" ca="1" si="166"/>
        <v>0</v>
      </c>
      <c r="K356" s="1850">
        <f t="shared" ca="1" si="167"/>
        <v>0</v>
      </c>
      <c r="L356" s="1851">
        <f ca="1">IFERROR($H356*44/12*参考2_エネ使用量経年!$H206*(参考2_エネ使用量経年!L206+参考2_エネ使用量経年!L293),"")</f>
        <v>0</v>
      </c>
      <c r="M356" s="1851">
        <f ca="1">IFERROR($I356*44/12*参考2_エネ使用量経年!$I206*(参考2_エネ使用量経年!M206+参考2_エネ使用量経年!M293),"")</f>
        <v>0</v>
      </c>
      <c r="N356" s="1851">
        <f ca="1">IFERROR($J356*44/12*参考2_エネ使用量経年!$J206*(参考2_エネ使用量経年!N206+参考2_エネ使用量経年!N293),"")</f>
        <v>0</v>
      </c>
      <c r="O356" s="1851">
        <f ca="1">IFERROR($K356*44/12*参考2_エネ使用量経年!$K206*(参考2_エネ使用量経年!O206+参考2_エネ使用量経年!O293),"")</f>
        <v>0</v>
      </c>
      <c r="P356" s="1852">
        <f ca="1">IFERROR($H356*44/12*参考2_エネ使用量経年!$H206*(参考2_エネ使用量経年!P206+参考2_エネ使用量経年!P293),"")</f>
        <v>0</v>
      </c>
      <c r="Q356" s="1852">
        <f ca="1">IFERROR($I356*44/12*参考2_エネ使用量経年!$I206*(参考2_エネ使用量経年!Q206+参考2_エネ使用量経年!Q293),"")</f>
        <v>0</v>
      </c>
      <c r="R356" s="1852">
        <f ca="1">IFERROR($J356*44/12*参考2_エネ使用量経年!$J206*(参考2_エネ使用量経年!R206+参考2_エネ使用量経年!R293),"")</f>
        <v>0</v>
      </c>
      <c r="S356" s="1852">
        <f ca="1">IFERROR($K356*44/12*参考2_エネ使用量経年!$K206*(参考2_エネ使用量経年!S206+参考2_エネ使用量経年!S293),"")</f>
        <v>0</v>
      </c>
      <c r="T356" s="1851">
        <f ca="1">IFERROR($H356*44/12*参考2_エネ使用量経年!$H206*(参考2_エネ使用量経年!T206+参考2_エネ使用量経年!T293),"")</f>
        <v>0</v>
      </c>
      <c r="U356" s="1851">
        <f ca="1">IFERROR($I356*44/12*参考2_エネ使用量経年!$I206*(参考2_エネ使用量経年!U206+参考2_エネ使用量経年!U293),"")</f>
        <v>0</v>
      </c>
      <c r="V356" s="1851">
        <f ca="1">IFERROR($J356*44/12*参考2_エネ使用量経年!$J206*(参考2_エネ使用量経年!V206+参考2_エネ使用量経年!V293),"")</f>
        <v>0</v>
      </c>
      <c r="W356" s="1851">
        <f ca="1">IFERROR($K356*44/12*参考2_エネ使用量経年!$K206*(参考2_エネ使用量経年!W206+参考2_エネ使用量経年!W293),"")</f>
        <v>0</v>
      </c>
      <c r="X356" s="1853">
        <f ca="1">IFERROR($H356*44/12*参考2_エネ使用量経年!$H206*(参考2_エネ使用量経年!X206+参考2_エネ使用量経年!X293),"")</f>
        <v>0</v>
      </c>
      <c r="Y356" s="1853">
        <f ca="1">IFERROR($I356*44/12*参考2_エネ使用量経年!$I206*(参考2_エネ使用量経年!Y206+参考2_エネ使用量経年!Y293),"")</f>
        <v>0</v>
      </c>
      <c r="Z356" s="1853">
        <f ca="1">IFERROR($J356*44/12*参考2_エネ使用量経年!$J206*(参考2_エネ使用量経年!Z206+参考2_エネ使用量経年!Z293),"")</f>
        <v>0</v>
      </c>
      <c r="AA356" s="1853">
        <f ca="1">IFERROR($K356*44/12*参考2_エネ使用量経年!$K206*(参考2_エネ使用量経年!AA206+参考2_エネ使用量経年!AA293),"")</f>
        <v>0</v>
      </c>
      <c r="AB356" s="1853"/>
      <c r="AC356" s="1853"/>
      <c r="AD356" s="1853"/>
      <c r="AE356" s="1853"/>
      <c r="AF356" s="1853"/>
      <c r="AG356" s="1853"/>
      <c r="AH356" s="1853"/>
      <c r="AI356" s="1853"/>
      <c r="AJ356" s="1853"/>
      <c r="AK356" s="1853"/>
      <c r="AL356" s="1853"/>
      <c r="AM356" s="1853"/>
      <c r="AN356" s="1853"/>
      <c r="AO356" s="1853"/>
      <c r="AP356" s="1853"/>
      <c r="AQ356" s="1853"/>
      <c r="AR356" s="1853"/>
      <c r="AS356" s="1853"/>
      <c r="AT356" s="1853"/>
      <c r="AU356" s="1853"/>
      <c r="AV356" s="1853"/>
      <c r="AW356" s="1853"/>
      <c r="AX356" s="1853"/>
      <c r="AY356" s="1853"/>
      <c r="AZ356" s="1853"/>
      <c r="BA356" s="1853"/>
      <c r="BB356" s="1853"/>
      <c r="BC356" s="1853"/>
      <c r="BD356" s="1853"/>
      <c r="BE356" s="1853"/>
      <c r="BF356" s="1853"/>
      <c r="BG356" s="1853"/>
      <c r="BH356" s="1853"/>
      <c r="BI356" s="1853"/>
      <c r="BJ356" s="1853"/>
      <c r="BK356" s="1853"/>
      <c r="BL356" s="1853"/>
      <c r="BM356" s="1853"/>
      <c r="BN356" s="1853"/>
      <c r="BO356" s="1853"/>
    </row>
    <row r="357" spans="1:68" ht="20.100000000000001" customHeight="1">
      <c r="A357" s="1845">
        <v>44</v>
      </c>
      <c r="B357" s="1854"/>
      <c r="C357" s="1847"/>
      <c r="D357" s="1859" t="s">
        <v>567</v>
      </c>
      <c r="E357" s="1848"/>
      <c r="F357" s="1849"/>
      <c r="G357" s="1225" t="s">
        <v>1109</v>
      </c>
      <c r="H357" s="1850">
        <f t="shared" ca="1" si="164"/>
        <v>1.6199999999999999E-2</v>
      </c>
      <c r="I357" s="1850">
        <f t="shared" ca="1" si="165"/>
        <v>1.6199999999999999E-2</v>
      </c>
      <c r="J357" s="1850">
        <f t="shared" ca="1" si="166"/>
        <v>1.6199999999999999E-2</v>
      </c>
      <c r="K357" s="1850">
        <f t="shared" ca="1" si="167"/>
        <v>1.6199999999999999E-2</v>
      </c>
      <c r="L357" s="1851">
        <f ca="1">IFERROR($H357*44/12*参考2_エネ使用量経年!$H207*(参考2_エネ使用量経年!L207+参考2_エネ使用量経年!L294),"")</f>
        <v>0</v>
      </c>
      <c r="M357" s="1851">
        <f ca="1">IFERROR($I357*44/12*参考2_エネ使用量経年!$I207*(参考2_エネ使用量経年!M207+参考2_エネ使用量経年!M294),"")</f>
        <v>0</v>
      </c>
      <c r="N357" s="1851">
        <f ca="1">IFERROR($J357*44/12*参考2_エネ使用量経年!$J207*(参考2_エネ使用量経年!N207+参考2_エネ使用量経年!N294),"")</f>
        <v>0</v>
      </c>
      <c r="O357" s="1851">
        <f ca="1">IFERROR($K357*44/12*参考2_エネ使用量経年!$K207*(参考2_エネ使用量経年!O207+参考2_エネ使用量経年!O294),"")</f>
        <v>0</v>
      </c>
      <c r="P357" s="1852">
        <f ca="1">IFERROR($H357*44/12*参考2_エネ使用量経年!$H207*(参考2_エネ使用量経年!P207+参考2_エネ使用量経年!P294),"")</f>
        <v>0</v>
      </c>
      <c r="Q357" s="1852">
        <f ca="1">IFERROR($I357*44/12*参考2_エネ使用量経年!$I207*(参考2_エネ使用量経年!Q207+参考2_エネ使用量経年!Q294),"")</f>
        <v>0</v>
      </c>
      <c r="R357" s="1852">
        <f ca="1">IFERROR($J357*44/12*参考2_エネ使用量経年!$J207*(参考2_エネ使用量経年!R207+参考2_エネ使用量経年!R294),"")</f>
        <v>0</v>
      </c>
      <c r="S357" s="1852">
        <f ca="1">IFERROR($K357*44/12*参考2_エネ使用量経年!$K207*(参考2_エネ使用量経年!S207+参考2_エネ使用量経年!S294),"")</f>
        <v>0</v>
      </c>
      <c r="T357" s="1851">
        <f ca="1">IFERROR($H357*44/12*参考2_エネ使用量経年!$H207*(参考2_エネ使用量経年!T207+参考2_エネ使用量経年!T294),"")</f>
        <v>0</v>
      </c>
      <c r="U357" s="1851">
        <f ca="1">IFERROR($I357*44/12*参考2_エネ使用量経年!$I207*(参考2_エネ使用量経年!U207+参考2_エネ使用量経年!U294),"")</f>
        <v>0</v>
      </c>
      <c r="V357" s="1851">
        <f ca="1">IFERROR($J357*44/12*参考2_エネ使用量経年!$J207*(参考2_エネ使用量経年!V207+参考2_エネ使用量経年!V294),"")</f>
        <v>0</v>
      </c>
      <c r="W357" s="1851">
        <f ca="1">IFERROR($K357*44/12*参考2_エネ使用量経年!$K207*(参考2_エネ使用量経年!W207+参考2_エネ使用量経年!W294),"")</f>
        <v>0</v>
      </c>
      <c r="X357" s="1853">
        <f ca="1">IFERROR($H357*44/12*参考2_エネ使用量経年!$H207*(参考2_エネ使用量経年!X207+参考2_エネ使用量経年!X294),"")</f>
        <v>0</v>
      </c>
      <c r="Y357" s="1853">
        <f ca="1">IFERROR($I357*44/12*参考2_エネ使用量経年!$I207*(参考2_エネ使用量経年!Y207+参考2_エネ使用量経年!Y294),"")</f>
        <v>0</v>
      </c>
      <c r="Z357" s="1853">
        <f ca="1">IFERROR($J357*44/12*参考2_エネ使用量経年!$J207*(参考2_エネ使用量経年!Z207+参考2_エネ使用量経年!Z294),"")</f>
        <v>0</v>
      </c>
      <c r="AA357" s="1853">
        <f ca="1">IFERROR($K357*44/12*参考2_エネ使用量経年!$K207*(参考2_エネ使用量経年!AA207+参考2_エネ使用量経年!AA294),"")</f>
        <v>0</v>
      </c>
      <c r="AB357" s="1853"/>
      <c r="AC357" s="1853"/>
      <c r="AD357" s="1853"/>
      <c r="AE357" s="1853"/>
      <c r="AF357" s="1853"/>
      <c r="AG357" s="1853"/>
      <c r="AH357" s="1853"/>
      <c r="AI357" s="1853"/>
      <c r="AJ357" s="1853"/>
      <c r="AK357" s="1853"/>
      <c r="AL357" s="1853"/>
      <c r="AM357" s="1853"/>
      <c r="AN357" s="1853"/>
      <c r="AO357" s="1853"/>
      <c r="AP357" s="1853"/>
      <c r="AQ357" s="1853"/>
      <c r="AR357" s="1853"/>
      <c r="AS357" s="1853"/>
      <c r="AT357" s="1853"/>
      <c r="AU357" s="1853"/>
      <c r="AV357" s="1853"/>
      <c r="AW357" s="1853"/>
      <c r="AX357" s="1853"/>
      <c r="AY357" s="1853"/>
      <c r="AZ357" s="1853"/>
      <c r="BA357" s="1853"/>
      <c r="BB357" s="1853"/>
      <c r="BC357" s="1853"/>
      <c r="BD357" s="1853"/>
      <c r="BE357" s="1853"/>
      <c r="BF357" s="1853"/>
      <c r="BG357" s="1853"/>
      <c r="BH357" s="1853"/>
      <c r="BI357" s="1853"/>
      <c r="BJ357" s="1853"/>
      <c r="BK357" s="1853"/>
      <c r="BL357" s="1853"/>
      <c r="BM357" s="1853"/>
      <c r="BN357" s="1853"/>
      <c r="BO357" s="1853"/>
    </row>
    <row r="358" spans="1:68" ht="20.100000000000001" customHeight="1">
      <c r="A358" s="1845">
        <v>45</v>
      </c>
      <c r="B358" s="1854"/>
      <c r="C358" s="1847"/>
      <c r="D358" s="1859" t="s">
        <v>568</v>
      </c>
      <c r="E358" s="1861"/>
      <c r="F358" s="1849"/>
      <c r="G358" s="1225" t="s">
        <v>1109</v>
      </c>
      <c r="H358" s="1850">
        <f t="shared" ca="1" si="164"/>
        <v>1.66E-2</v>
      </c>
      <c r="I358" s="1850">
        <f t="shared" ca="1" si="165"/>
        <v>1.66E-2</v>
      </c>
      <c r="J358" s="1850">
        <f t="shared" ca="1" si="166"/>
        <v>1.66E-2</v>
      </c>
      <c r="K358" s="1850">
        <f t="shared" ca="1" si="167"/>
        <v>1.66E-2</v>
      </c>
      <c r="L358" s="1851">
        <f ca="1">IFERROR($H358*44/12*参考2_エネ使用量経年!$H208*(参考2_エネ使用量経年!L208+参考2_エネ使用量経年!L295),"")</f>
        <v>0</v>
      </c>
      <c r="M358" s="1851">
        <f ca="1">IFERROR($I358*44/12*参考2_エネ使用量経年!$I208*(参考2_エネ使用量経年!M208+参考2_エネ使用量経年!M295),"")</f>
        <v>0</v>
      </c>
      <c r="N358" s="1851">
        <f ca="1">IFERROR($J358*44/12*参考2_エネ使用量経年!$J208*(参考2_エネ使用量経年!N208+参考2_エネ使用量経年!N295),"")</f>
        <v>0</v>
      </c>
      <c r="O358" s="1851">
        <f ca="1">IFERROR($K358*44/12*参考2_エネ使用量経年!$K208*(参考2_エネ使用量経年!O208+参考2_エネ使用量経年!O295),"")</f>
        <v>0</v>
      </c>
      <c r="P358" s="1852">
        <f ca="1">IFERROR($H358*44/12*参考2_エネ使用量経年!$H208*(参考2_エネ使用量経年!P208+参考2_エネ使用量経年!P295),"")</f>
        <v>0</v>
      </c>
      <c r="Q358" s="1852">
        <f ca="1">IFERROR($I358*44/12*参考2_エネ使用量経年!$I208*(参考2_エネ使用量経年!Q208+参考2_エネ使用量経年!Q295),"")</f>
        <v>0</v>
      </c>
      <c r="R358" s="1852">
        <f ca="1">IFERROR($J358*44/12*参考2_エネ使用量経年!$J208*(参考2_エネ使用量経年!R208+参考2_エネ使用量経年!R295),"")</f>
        <v>0</v>
      </c>
      <c r="S358" s="1852">
        <f ca="1">IFERROR($K358*44/12*参考2_エネ使用量経年!$K208*(参考2_エネ使用量経年!S208+参考2_エネ使用量経年!S295),"")</f>
        <v>0</v>
      </c>
      <c r="T358" s="1851">
        <f ca="1">IFERROR($H358*44/12*参考2_エネ使用量経年!$H208*(参考2_エネ使用量経年!T208+参考2_エネ使用量経年!T295),"")</f>
        <v>0</v>
      </c>
      <c r="U358" s="1851">
        <f ca="1">IFERROR($I358*44/12*参考2_エネ使用量経年!$I208*(参考2_エネ使用量経年!U208+参考2_エネ使用量経年!U295),"")</f>
        <v>0</v>
      </c>
      <c r="V358" s="1851">
        <f ca="1">IFERROR($J358*44/12*参考2_エネ使用量経年!$J208*(参考2_エネ使用量経年!V208+参考2_エネ使用量経年!V295),"")</f>
        <v>0</v>
      </c>
      <c r="W358" s="1851">
        <f ca="1">IFERROR($K358*44/12*参考2_エネ使用量経年!$K208*(参考2_エネ使用量経年!W208+参考2_エネ使用量経年!W295),"")</f>
        <v>0</v>
      </c>
      <c r="X358" s="1853">
        <f ca="1">IFERROR($H358*44/12*参考2_エネ使用量経年!$H208*(参考2_エネ使用量経年!X208+参考2_エネ使用量経年!X295),"")</f>
        <v>0</v>
      </c>
      <c r="Y358" s="1853">
        <f ca="1">IFERROR($I358*44/12*参考2_エネ使用量経年!$I208*(参考2_エネ使用量経年!Y208+参考2_エネ使用量経年!Y295),"")</f>
        <v>0</v>
      </c>
      <c r="Z358" s="1853">
        <f ca="1">IFERROR($J358*44/12*参考2_エネ使用量経年!$J208*(参考2_エネ使用量経年!Z208+参考2_エネ使用量経年!Z295),"")</f>
        <v>0</v>
      </c>
      <c r="AA358" s="1853">
        <f ca="1">IFERROR($K358*44/12*参考2_エネ使用量経年!$K208*(参考2_エネ使用量経年!AA208+参考2_エネ使用量経年!AA295),"")</f>
        <v>0</v>
      </c>
      <c r="AB358" s="1853"/>
      <c r="AC358" s="1853"/>
      <c r="AD358" s="1853"/>
      <c r="AE358" s="1853"/>
      <c r="AF358" s="1853"/>
      <c r="AG358" s="1853"/>
      <c r="AH358" s="1853"/>
      <c r="AI358" s="1853"/>
      <c r="AJ358" s="1853"/>
      <c r="AK358" s="1853"/>
      <c r="AL358" s="1853"/>
      <c r="AM358" s="1853"/>
      <c r="AN358" s="1853"/>
      <c r="AO358" s="1853"/>
      <c r="AP358" s="1853"/>
      <c r="AQ358" s="1853"/>
      <c r="AR358" s="1853"/>
      <c r="AS358" s="1853"/>
      <c r="AT358" s="1853"/>
      <c r="AU358" s="1853"/>
      <c r="AV358" s="1853"/>
      <c r="AW358" s="1853"/>
      <c r="AX358" s="1853"/>
      <c r="AY358" s="1853"/>
      <c r="AZ358" s="1853"/>
      <c r="BA358" s="1853"/>
      <c r="BB358" s="1853"/>
      <c r="BC358" s="1853"/>
      <c r="BD358" s="1853"/>
      <c r="BE358" s="1853"/>
      <c r="BF358" s="1853"/>
      <c r="BG358" s="1853"/>
      <c r="BH358" s="1853"/>
      <c r="BI358" s="1853"/>
      <c r="BJ358" s="1853"/>
      <c r="BK358" s="1853"/>
      <c r="BL358" s="1853"/>
      <c r="BM358" s="1853"/>
      <c r="BN358" s="1853"/>
      <c r="BO358" s="1853"/>
    </row>
    <row r="359" spans="1:68" ht="20.100000000000001" customHeight="1">
      <c r="A359" s="1845">
        <v>46</v>
      </c>
      <c r="B359" s="1854"/>
      <c r="C359" s="1847"/>
      <c r="D359" s="1859" t="s">
        <v>941</v>
      </c>
      <c r="E359" s="1837"/>
      <c r="F359" s="1849"/>
      <c r="G359" s="1225" t="s">
        <v>1109</v>
      </c>
      <c r="H359" s="1850">
        <f t="shared" ca="1" si="164"/>
        <v>1.35E-2</v>
      </c>
      <c r="I359" s="1850">
        <f t="shared" ca="1" si="165"/>
        <v>1.35E-2</v>
      </c>
      <c r="J359" s="1850">
        <f t="shared" ca="1" si="166"/>
        <v>1.35E-2</v>
      </c>
      <c r="K359" s="1850">
        <f t="shared" ca="1" si="167"/>
        <v>1.35E-2</v>
      </c>
      <c r="L359" s="1851">
        <f ca="1">IFERROR($H359*44/12*参考2_エネ使用量経年!$H209*(参考2_エネ使用量経年!L209+参考2_エネ使用量経年!L296),"")</f>
        <v>0</v>
      </c>
      <c r="M359" s="1851">
        <f ca="1">IFERROR($I359*44/12*参考2_エネ使用量経年!$I209*(参考2_エネ使用量経年!M209+参考2_エネ使用量経年!M296),"")</f>
        <v>0</v>
      </c>
      <c r="N359" s="1851">
        <f ca="1">IFERROR($J359*44/12*参考2_エネ使用量経年!$J209*(参考2_エネ使用量経年!N209+参考2_エネ使用量経年!N296),"")</f>
        <v>0</v>
      </c>
      <c r="O359" s="1851">
        <f ca="1">IFERROR($K359*44/12*参考2_エネ使用量経年!$K209*(参考2_エネ使用量経年!O209+参考2_エネ使用量経年!O296),"")</f>
        <v>0</v>
      </c>
      <c r="P359" s="1852">
        <f ca="1">IFERROR($H359*44/12*参考2_エネ使用量経年!$H209*(参考2_エネ使用量経年!P209+参考2_エネ使用量経年!P296),"")</f>
        <v>0</v>
      </c>
      <c r="Q359" s="1852">
        <f ca="1">IFERROR($I359*44/12*参考2_エネ使用量経年!$I209*(参考2_エネ使用量経年!Q209+参考2_エネ使用量経年!Q296),"")</f>
        <v>0</v>
      </c>
      <c r="R359" s="1852">
        <f ca="1">IFERROR($J359*44/12*参考2_エネ使用量経年!$J209*(参考2_エネ使用量経年!R209+参考2_エネ使用量経年!R296),"")</f>
        <v>0</v>
      </c>
      <c r="S359" s="1852">
        <f ca="1">IFERROR($K359*44/12*参考2_エネ使用量経年!$K209*(参考2_エネ使用量経年!S209+参考2_エネ使用量経年!S296),"")</f>
        <v>0</v>
      </c>
      <c r="T359" s="1851">
        <f ca="1">IFERROR($H359*44/12*参考2_エネ使用量経年!$H209*(参考2_エネ使用量経年!T209+参考2_エネ使用量経年!T296),"")</f>
        <v>0</v>
      </c>
      <c r="U359" s="1851">
        <f ca="1">IFERROR($I359*44/12*参考2_エネ使用量経年!$I209*(参考2_エネ使用量経年!U209+参考2_エネ使用量経年!U296),"")</f>
        <v>0</v>
      </c>
      <c r="V359" s="1851">
        <f ca="1">IFERROR($J359*44/12*参考2_エネ使用量経年!$J209*(参考2_エネ使用量経年!V209+参考2_エネ使用量経年!V296),"")</f>
        <v>0</v>
      </c>
      <c r="W359" s="1851">
        <f ca="1">IFERROR($K359*44/12*参考2_エネ使用量経年!$K209*(参考2_エネ使用量経年!W209+参考2_エネ使用量経年!W296),"")</f>
        <v>0</v>
      </c>
      <c r="X359" s="1853">
        <f ca="1">IFERROR($H359*44/12*参考2_エネ使用量経年!$H209*(参考2_エネ使用量経年!X209+参考2_エネ使用量経年!X296),"")</f>
        <v>0</v>
      </c>
      <c r="Y359" s="1853">
        <f ca="1">IFERROR($I359*44/12*参考2_エネ使用量経年!$I209*(参考2_エネ使用量経年!Y209+参考2_エネ使用量経年!Y296),"")</f>
        <v>0</v>
      </c>
      <c r="Z359" s="1853">
        <f ca="1">IFERROR($J359*44/12*参考2_エネ使用量経年!$J209*(参考2_エネ使用量経年!Z209+参考2_エネ使用量経年!Z296),"")</f>
        <v>0</v>
      </c>
      <c r="AA359" s="1853">
        <f ca="1">IFERROR($K359*44/12*参考2_エネ使用量経年!$K209*(参考2_エネ使用量経年!AA209+参考2_エネ使用量経年!AA296),"")</f>
        <v>0</v>
      </c>
      <c r="AB359" s="1853"/>
      <c r="AC359" s="1853"/>
      <c r="AD359" s="1853"/>
      <c r="AE359" s="1853"/>
      <c r="AF359" s="1853"/>
      <c r="AG359" s="1853"/>
      <c r="AH359" s="1853"/>
      <c r="AI359" s="1853"/>
      <c r="AJ359" s="1853"/>
      <c r="AK359" s="1853"/>
      <c r="AL359" s="1853"/>
      <c r="AM359" s="1853"/>
      <c r="AN359" s="1853"/>
      <c r="AO359" s="1853"/>
      <c r="AP359" s="1853"/>
      <c r="AQ359" s="1853"/>
      <c r="AR359" s="1853"/>
      <c r="AS359" s="1853"/>
      <c r="AT359" s="1853"/>
      <c r="AU359" s="1853"/>
      <c r="AV359" s="1853"/>
      <c r="AW359" s="1853"/>
      <c r="AX359" s="1853"/>
      <c r="AY359" s="1853"/>
      <c r="AZ359" s="1853"/>
      <c r="BA359" s="1853"/>
      <c r="BB359" s="1853"/>
      <c r="BC359" s="1853"/>
      <c r="BD359" s="1853"/>
      <c r="BE359" s="1853"/>
      <c r="BF359" s="1853"/>
      <c r="BG359" s="1853"/>
      <c r="BH359" s="1853"/>
      <c r="BI359" s="1853"/>
      <c r="BJ359" s="1853"/>
      <c r="BK359" s="1853"/>
      <c r="BL359" s="1853"/>
      <c r="BM359" s="1853"/>
      <c r="BN359" s="1853"/>
      <c r="BO359" s="1853"/>
    </row>
    <row r="360" spans="1:68" ht="20.100000000000001" customHeight="1">
      <c r="A360" s="1845">
        <v>47</v>
      </c>
      <c r="B360" s="1855"/>
      <c r="C360" s="1847"/>
      <c r="D360" s="1859" t="s">
        <v>942</v>
      </c>
      <c r="E360" s="1848"/>
      <c r="F360" s="1849"/>
      <c r="G360" s="1225" t="s">
        <v>1109</v>
      </c>
      <c r="H360" s="1850">
        <f t="shared" ca="1" si="164"/>
        <v>2.5700000000000001E-2</v>
      </c>
      <c r="I360" s="1850">
        <f t="shared" ca="1" si="165"/>
        <v>2.5700000000000001E-2</v>
      </c>
      <c r="J360" s="1850">
        <f t="shared" ca="1" si="166"/>
        <v>2.5700000000000001E-2</v>
      </c>
      <c r="K360" s="1850">
        <f t="shared" ca="1" si="167"/>
        <v>2.5700000000000001E-2</v>
      </c>
      <c r="L360" s="1851">
        <f ca="1">IFERROR($H360*44/12*参考2_エネ使用量経年!$H210*(参考2_エネ使用量経年!L210+参考2_エネ使用量経年!L297),"")</f>
        <v>0</v>
      </c>
      <c r="M360" s="1851">
        <f ca="1">IFERROR($I360*44/12*参考2_エネ使用量経年!$I210*(参考2_エネ使用量経年!M210+参考2_エネ使用量経年!M297),"")</f>
        <v>0</v>
      </c>
      <c r="N360" s="1851">
        <f ca="1">IFERROR($J360*44/12*参考2_エネ使用量経年!$J210*(参考2_エネ使用量経年!N210+参考2_エネ使用量経年!N297),"")</f>
        <v>0</v>
      </c>
      <c r="O360" s="1851">
        <f ca="1">IFERROR($K360*44/12*参考2_エネ使用量経年!$K210*(参考2_エネ使用量経年!O210+参考2_エネ使用量経年!O297),"")</f>
        <v>0</v>
      </c>
      <c r="P360" s="1852">
        <f ca="1">IFERROR($H360*44/12*参考2_エネ使用量経年!$H210*(参考2_エネ使用量経年!P210+参考2_エネ使用量経年!P297),"")</f>
        <v>0</v>
      </c>
      <c r="Q360" s="1852">
        <f ca="1">IFERROR($I360*44/12*参考2_エネ使用量経年!$I210*(参考2_エネ使用量経年!Q210+参考2_エネ使用量経年!Q297),"")</f>
        <v>0</v>
      </c>
      <c r="R360" s="1852">
        <f ca="1">IFERROR($J360*44/12*参考2_エネ使用量経年!$J210*(参考2_エネ使用量経年!R210+参考2_エネ使用量経年!R297),"")</f>
        <v>0</v>
      </c>
      <c r="S360" s="1852">
        <f ca="1">IFERROR($K360*44/12*参考2_エネ使用量経年!$K210*(参考2_エネ使用量経年!S210+参考2_エネ使用量経年!S297),"")</f>
        <v>0</v>
      </c>
      <c r="T360" s="1851">
        <f ca="1">IFERROR($H360*44/12*参考2_エネ使用量経年!$H210*(参考2_エネ使用量経年!T210+参考2_エネ使用量経年!T297),"")</f>
        <v>0</v>
      </c>
      <c r="U360" s="1851">
        <f ca="1">IFERROR($I360*44/12*参考2_エネ使用量経年!$I210*(参考2_エネ使用量経年!U210+参考2_エネ使用量経年!U297),"")</f>
        <v>0</v>
      </c>
      <c r="V360" s="1851">
        <f ca="1">IFERROR($J360*44/12*参考2_エネ使用量経年!$J210*(参考2_エネ使用量経年!V210+参考2_エネ使用量経年!V297),"")</f>
        <v>0</v>
      </c>
      <c r="W360" s="1851">
        <f ca="1">IFERROR($K360*44/12*参考2_エネ使用量経年!$K210*(参考2_エネ使用量経年!W210+参考2_エネ使用量経年!W297),"")</f>
        <v>0</v>
      </c>
      <c r="X360" s="1853">
        <f ca="1">IFERROR($H360*44/12*参考2_エネ使用量経年!$H210*(参考2_エネ使用量経年!X210+参考2_エネ使用量経年!X297),"")</f>
        <v>0</v>
      </c>
      <c r="Y360" s="1853">
        <f ca="1">IFERROR($I360*44/12*参考2_エネ使用量経年!$I210*(参考2_エネ使用量経年!Y210+参考2_エネ使用量経年!Y297),"")</f>
        <v>0</v>
      </c>
      <c r="Z360" s="1853">
        <f ca="1">IFERROR($J360*44/12*参考2_エネ使用量経年!$J210*(参考2_エネ使用量経年!Z210+参考2_エネ使用量経年!Z297),"")</f>
        <v>0</v>
      </c>
      <c r="AA360" s="1853">
        <f ca="1">IFERROR($K360*44/12*参考2_エネ使用量経年!$K210*(参考2_エネ使用量経年!AA210+参考2_エネ使用量経年!AA297),"")</f>
        <v>0</v>
      </c>
      <c r="AB360" s="1853"/>
      <c r="AC360" s="1853"/>
      <c r="AD360" s="1853"/>
      <c r="AE360" s="1853"/>
      <c r="AF360" s="1853"/>
      <c r="AG360" s="1853"/>
      <c r="AH360" s="1853"/>
      <c r="AI360" s="1853"/>
      <c r="AJ360" s="1853"/>
      <c r="AK360" s="1853"/>
      <c r="AL360" s="1853"/>
      <c r="AM360" s="1853"/>
      <c r="AN360" s="1853"/>
      <c r="AO360" s="1853"/>
      <c r="AP360" s="1853"/>
      <c r="AQ360" s="1853"/>
      <c r="AR360" s="1853"/>
      <c r="AS360" s="1853"/>
      <c r="AT360" s="1853"/>
      <c r="AU360" s="1853"/>
      <c r="AV360" s="1853"/>
      <c r="AW360" s="1853"/>
      <c r="AX360" s="1853"/>
      <c r="AY360" s="1853"/>
      <c r="AZ360" s="1853"/>
      <c r="BA360" s="1853"/>
      <c r="BB360" s="1853"/>
      <c r="BC360" s="1853"/>
      <c r="BD360" s="1853"/>
      <c r="BE360" s="1853"/>
      <c r="BF360" s="1853"/>
      <c r="BG360" s="1853"/>
      <c r="BH360" s="1853"/>
      <c r="BI360" s="1853"/>
      <c r="BJ360" s="1853"/>
      <c r="BK360" s="1853"/>
      <c r="BL360" s="1853"/>
      <c r="BM360" s="1853"/>
      <c r="BN360" s="1853"/>
      <c r="BO360" s="1853"/>
    </row>
    <row r="361" spans="1:68" ht="20.100000000000001" customHeight="1">
      <c r="A361" s="1845">
        <v>48</v>
      </c>
      <c r="B361" s="1855"/>
      <c r="C361" s="1847"/>
      <c r="D361" s="1859" t="s">
        <v>943</v>
      </c>
      <c r="E361" s="1848"/>
      <c r="F361" s="1849"/>
      <c r="G361" s="1225" t="s">
        <v>1109</v>
      </c>
      <c r="H361" s="1850">
        <f t="shared" ca="1" si="164"/>
        <v>2.3900000000000001E-2</v>
      </c>
      <c r="I361" s="1850">
        <f t="shared" ca="1" si="165"/>
        <v>2.3900000000000001E-2</v>
      </c>
      <c r="J361" s="1850">
        <f t="shared" ca="1" si="166"/>
        <v>2.3900000000000001E-2</v>
      </c>
      <c r="K361" s="1850">
        <f t="shared" ca="1" si="167"/>
        <v>2.3900000000000001E-2</v>
      </c>
      <c r="L361" s="1851">
        <f ca="1">IFERROR($H361*44/12*参考2_エネ使用量経年!$H211*(参考2_エネ使用量経年!L211+参考2_エネ使用量経年!L298),"")</f>
        <v>0</v>
      </c>
      <c r="M361" s="1851">
        <f ca="1">IFERROR($I361*44/12*参考2_エネ使用量経年!$I211*(参考2_エネ使用量経年!M211+参考2_エネ使用量経年!M298),"")</f>
        <v>0</v>
      </c>
      <c r="N361" s="1851">
        <f ca="1">IFERROR($J361*44/12*参考2_エネ使用量経年!$J211*(参考2_エネ使用量経年!N211+参考2_エネ使用量経年!N298),"")</f>
        <v>0</v>
      </c>
      <c r="O361" s="1851">
        <f ca="1">IFERROR($K361*44/12*参考2_エネ使用量経年!$K211*(参考2_エネ使用量経年!O211+参考2_エネ使用量経年!O298),"")</f>
        <v>0</v>
      </c>
      <c r="P361" s="1852">
        <f ca="1">IFERROR($H361*44/12*参考2_エネ使用量経年!$H211*(参考2_エネ使用量経年!P211+参考2_エネ使用量経年!P298),"")</f>
        <v>0</v>
      </c>
      <c r="Q361" s="1852">
        <f ca="1">IFERROR($I361*44/12*参考2_エネ使用量経年!$I211*(参考2_エネ使用量経年!Q211+参考2_エネ使用量経年!Q298),"")</f>
        <v>0</v>
      </c>
      <c r="R361" s="1852">
        <f ca="1">IFERROR($J361*44/12*参考2_エネ使用量経年!$J211*(参考2_エネ使用量経年!R211+参考2_エネ使用量経年!R298),"")</f>
        <v>0</v>
      </c>
      <c r="S361" s="1852">
        <f ca="1">IFERROR($K361*44/12*参考2_エネ使用量経年!$K211*(参考2_エネ使用量経年!S211+参考2_エネ使用量経年!S298),"")</f>
        <v>0</v>
      </c>
      <c r="T361" s="1851">
        <f ca="1">IFERROR($H361*44/12*参考2_エネ使用量経年!$H211*(参考2_エネ使用量経年!T211+参考2_エネ使用量経年!T298),"")</f>
        <v>0</v>
      </c>
      <c r="U361" s="1851">
        <f ca="1">IFERROR($I361*44/12*参考2_エネ使用量経年!$I211*(参考2_エネ使用量経年!U211+参考2_エネ使用量経年!U298),"")</f>
        <v>0</v>
      </c>
      <c r="V361" s="1851">
        <f ca="1">IFERROR($J361*44/12*参考2_エネ使用量経年!$J211*(参考2_エネ使用量経年!V211+参考2_エネ使用量経年!V298),"")</f>
        <v>0</v>
      </c>
      <c r="W361" s="1851">
        <f ca="1">IFERROR($K361*44/12*参考2_エネ使用量経年!$K211*(参考2_エネ使用量経年!W211+参考2_エネ使用量経年!W298),"")</f>
        <v>0</v>
      </c>
      <c r="X361" s="1853">
        <f ca="1">IFERROR($H361*44/12*参考2_エネ使用量経年!$H211*(参考2_エネ使用量経年!X211+参考2_エネ使用量経年!X298),"")</f>
        <v>0</v>
      </c>
      <c r="Y361" s="1853">
        <f ca="1">IFERROR($I361*44/12*参考2_エネ使用量経年!$I211*(参考2_エネ使用量経年!Y211+参考2_エネ使用量経年!Y298),"")</f>
        <v>0</v>
      </c>
      <c r="Z361" s="1853">
        <f ca="1">IFERROR($J361*44/12*参考2_エネ使用量経年!$J211*(参考2_エネ使用量経年!Z211+参考2_エネ使用量経年!Z298),"")</f>
        <v>0</v>
      </c>
      <c r="AA361" s="1853">
        <f ca="1">IFERROR($K361*44/12*参考2_エネ使用量経年!$K211*(参考2_エネ使用量経年!AA211+参考2_エネ使用量経年!AA298),"")</f>
        <v>0</v>
      </c>
      <c r="AB361" s="1853"/>
      <c r="AC361" s="1853"/>
      <c r="AD361" s="1853"/>
      <c r="AE361" s="1853"/>
      <c r="AF361" s="1853"/>
      <c r="AG361" s="1853"/>
      <c r="AH361" s="1853"/>
      <c r="AI361" s="1853"/>
      <c r="AJ361" s="1853"/>
      <c r="AK361" s="1853"/>
      <c r="AL361" s="1853"/>
      <c r="AM361" s="1853"/>
      <c r="AN361" s="1853"/>
      <c r="AO361" s="1853"/>
      <c r="AP361" s="1853"/>
      <c r="AQ361" s="1853"/>
      <c r="AR361" s="1853"/>
      <c r="AS361" s="1853"/>
      <c r="AT361" s="1853"/>
      <c r="AU361" s="1853"/>
      <c r="AV361" s="1853"/>
      <c r="AW361" s="1853"/>
      <c r="AX361" s="1853"/>
      <c r="AY361" s="1853"/>
      <c r="AZ361" s="1853"/>
      <c r="BA361" s="1853"/>
      <c r="BB361" s="1853"/>
      <c r="BC361" s="1853"/>
      <c r="BD361" s="1853"/>
      <c r="BE361" s="1853"/>
      <c r="BF361" s="1853"/>
      <c r="BG361" s="1853"/>
      <c r="BH361" s="1853"/>
      <c r="BI361" s="1853"/>
      <c r="BJ361" s="1853"/>
      <c r="BK361" s="1853"/>
      <c r="BL361" s="1853"/>
      <c r="BM361" s="1853"/>
      <c r="BN361" s="1853"/>
      <c r="BO361" s="1853"/>
    </row>
    <row r="362" spans="1:68" ht="20.100000000000001" customHeight="1">
      <c r="A362" s="1845">
        <v>49</v>
      </c>
      <c r="B362" s="1855"/>
      <c r="C362" s="1847"/>
      <c r="D362" s="1859" t="s">
        <v>944</v>
      </c>
      <c r="E362" s="1848"/>
      <c r="F362" s="1849"/>
      <c r="G362" s="1225" t="s">
        <v>1109</v>
      </c>
      <c r="H362" s="1850">
        <f t="shared" ca="1" si="164"/>
        <v>1.7899999999999999E-2</v>
      </c>
      <c r="I362" s="1850">
        <f t="shared" ca="1" si="165"/>
        <v>1.7899999999999999E-2</v>
      </c>
      <c r="J362" s="1850">
        <f t="shared" ca="1" si="166"/>
        <v>1.7899999999999999E-2</v>
      </c>
      <c r="K362" s="1850">
        <f t="shared" ca="1" si="167"/>
        <v>1.7899999999999999E-2</v>
      </c>
      <c r="L362" s="1851">
        <f ca="1">IFERROR($H362*44/12*参考2_エネ使用量経年!$H212*(参考2_エネ使用量経年!L212+参考2_エネ使用量経年!L299),"")</f>
        <v>0</v>
      </c>
      <c r="M362" s="1851">
        <f ca="1">IFERROR($I362*44/12*参考2_エネ使用量経年!$I212*(参考2_エネ使用量経年!M212+参考2_エネ使用量経年!M299),"")</f>
        <v>0</v>
      </c>
      <c r="N362" s="1851">
        <f ca="1">IFERROR($J362*44/12*参考2_エネ使用量経年!$J212*(参考2_エネ使用量経年!N212+参考2_エネ使用量経年!N299),"")</f>
        <v>0</v>
      </c>
      <c r="O362" s="1851">
        <f ca="1">IFERROR($K362*44/12*参考2_エネ使用量経年!$K212*(参考2_エネ使用量経年!O212+参考2_エネ使用量経年!O299),"")</f>
        <v>0</v>
      </c>
      <c r="P362" s="1852">
        <f ca="1">IFERROR($H362*44/12*参考2_エネ使用量経年!$H212*(参考2_エネ使用量経年!P212+参考2_エネ使用量経年!P299),"")</f>
        <v>0</v>
      </c>
      <c r="Q362" s="1852">
        <f ca="1">IFERROR($I362*44/12*参考2_エネ使用量経年!$I212*(参考2_エネ使用量経年!Q212+参考2_エネ使用量経年!Q299),"")</f>
        <v>0</v>
      </c>
      <c r="R362" s="1852">
        <f ca="1">IFERROR($J362*44/12*参考2_エネ使用量経年!$J212*(参考2_エネ使用量経年!R212+参考2_エネ使用量経年!R299),"")</f>
        <v>0</v>
      </c>
      <c r="S362" s="1852">
        <f ca="1">IFERROR($K362*44/12*参考2_エネ使用量経年!$K212*(参考2_エネ使用量経年!S212+参考2_エネ使用量経年!S299),"")</f>
        <v>0</v>
      </c>
      <c r="T362" s="1851">
        <f ca="1">IFERROR($H362*44/12*参考2_エネ使用量経年!$H212*(参考2_エネ使用量経年!T212+参考2_エネ使用量経年!T299),"")</f>
        <v>0</v>
      </c>
      <c r="U362" s="1851">
        <f ca="1">IFERROR($I362*44/12*参考2_エネ使用量経年!$I212*(参考2_エネ使用量経年!U212+参考2_エネ使用量経年!U299),"")</f>
        <v>0</v>
      </c>
      <c r="V362" s="1851">
        <f ca="1">IFERROR($J362*44/12*参考2_エネ使用量経年!$J212*(参考2_エネ使用量経年!V212+参考2_エネ使用量経年!V299),"")</f>
        <v>0</v>
      </c>
      <c r="W362" s="1851">
        <f ca="1">IFERROR($K362*44/12*参考2_エネ使用量経年!$K212*(参考2_エネ使用量経年!W212+参考2_エネ使用量経年!W299),"")</f>
        <v>0</v>
      </c>
      <c r="X362" s="1853">
        <f ca="1">IFERROR($H362*44/12*参考2_エネ使用量経年!$H212*(参考2_エネ使用量経年!X212+参考2_エネ使用量経年!X299),"")</f>
        <v>0</v>
      </c>
      <c r="Y362" s="1853">
        <f ca="1">IFERROR($I362*44/12*参考2_エネ使用量経年!$I212*(参考2_エネ使用量経年!Y212+参考2_エネ使用量経年!Y299),"")</f>
        <v>0</v>
      </c>
      <c r="Z362" s="1853">
        <f ca="1">IFERROR($J362*44/12*参考2_エネ使用量経年!$J212*(参考2_エネ使用量経年!Z212+参考2_エネ使用量経年!Z299),"")</f>
        <v>0</v>
      </c>
      <c r="AA362" s="1853">
        <f ca="1">IFERROR($K362*44/12*参考2_エネ使用量経年!$K212*(参考2_エネ使用量経年!AA212+参考2_エネ使用量経年!AA299),"")</f>
        <v>0</v>
      </c>
      <c r="AB362" s="1853"/>
      <c r="AC362" s="1853"/>
      <c r="AD362" s="1853"/>
      <c r="AE362" s="1853"/>
      <c r="AF362" s="1853"/>
      <c r="AG362" s="1853"/>
      <c r="AH362" s="1853"/>
      <c r="AI362" s="1853"/>
      <c r="AJ362" s="1853"/>
      <c r="AK362" s="1853"/>
      <c r="AL362" s="1853"/>
      <c r="AM362" s="1853"/>
      <c r="AN362" s="1853"/>
      <c r="AO362" s="1853"/>
      <c r="AP362" s="1853"/>
      <c r="AQ362" s="1853"/>
      <c r="AR362" s="1853"/>
      <c r="AS362" s="1853"/>
      <c r="AT362" s="1853"/>
      <c r="AU362" s="1853"/>
      <c r="AV362" s="1853"/>
      <c r="AW362" s="1853"/>
      <c r="AX362" s="1853"/>
      <c r="AY362" s="1853"/>
      <c r="AZ362" s="1853"/>
      <c r="BA362" s="1853"/>
      <c r="BB362" s="1853"/>
      <c r="BC362" s="1853"/>
      <c r="BD362" s="1853"/>
      <c r="BE362" s="1853"/>
      <c r="BF362" s="1853"/>
      <c r="BG362" s="1853"/>
      <c r="BH362" s="1853"/>
      <c r="BI362" s="1853"/>
      <c r="BJ362" s="1853"/>
      <c r="BK362" s="1853"/>
      <c r="BL362" s="1853"/>
      <c r="BM362" s="1853"/>
      <c r="BN362" s="1853"/>
      <c r="BO362" s="1853"/>
    </row>
    <row r="363" spans="1:68" ht="20.100000000000001" customHeight="1">
      <c r="A363" s="1845">
        <v>50</v>
      </c>
      <c r="B363" s="1854"/>
      <c r="C363" s="1847"/>
      <c r="D363" s="1848" t="s">
        <v>945</v>
      </c>
      <c r="E363" s="1848"/>
      <c r="F363" s="1849"/>
      <c r="G363" s="1225" t="s">
        <v>1109</v>
      </c>
      <c r="H363" s="1850">
        <f t="shared" ca="1" si="164"/>
        <v>0</v>
      </c>
      <c r="I363" s="1850">
        <f t="shared" ca="1" si="165"/>
        <v>0</v>
      </c>
      <c r="J363" s="1850">
        <f t="shared" ca="1" si="166"/>
        <v>0</v>
      </c>
      <c r="K363" s="1850">
        <f t="shared" ca="1" si="167"/>
        <v>0</v>
      </c>
      <c r="L363" s="1851">
        <f ca="1">IFERROR($H363*44/12*参考2_エネ使用量経年!$H213*(参考2_エネ使用量経年!L213+参考2_エネ使用量経年!L300),"")</f>
        <v>0</v>
      </c>
      <c r="M363" s="1851">
        <f ca="1">IFERROR($I363*44/12*参考2_エネ使用量経年!$I213*(参考2_エネ使用量経年!M213+参考2_エネ使用量経年!M300),"")</f>
        <v>0</v>
      </c>
      <c r="N363" s="1851">
        <f ca="1">IFERROR($J363*44/12*参考2_エネ使用量経年!$J213*(参考2_エネ使用量経年!N213+参考2_エネ使用量経年!N300),"")</f>
        <v>0</v>
      </c>
      <c r="O363" s="1851">
        <f ca="1">IFERROR($K363*44/12*参考2_エネ使用量経年!$K213*(参考2_エネ使用量経年!O213+参考2_エネ使用量経年!O300),"")</f>
        <v>0</v>
      </c>
      <c r="P363" s="1852">
        <f ca="1">IFERROR($H363*44/12*参考2_エネ使用量経年!$H213*(参考2_エネ使用量経年!P213+参考2_エネ使用量経年!P300),"")</f>
        <v>0</v>
      </c>
      <c r="Q363" s="1852">
        <f ca="1">IFERROR($I363*44/12*参考2_エネ使用量経年!$I213*(参考2_エネ使用量経年!Q213+参考2_エネ使用量経年!Q300),"")</f>
        <v>0</v>
      </c>
      <c r="R363" s="1852">
        <f ca="1">IFERROR($J363*44/12*参考2_エネ使用量経年!$J213*(参考2_エネ使用量経年!R213+参考2_エネ使用量経年!R300),"")</f>
        <v>0</v>
      </c>
      <c r="S363" s="1852">
        <f ca="1">IFERROR($K363*44/12*参考2_エネ使用量経年!$K213*(参考2_エネ使用量経年!S213+参考2_エネ使用量経年!S300),"")</f>
        <v>0</v>
      </c>
      <c r="T363" s="1851">
        <f ca="1">IFERROR($H363*44/12*参考2_エネ使用量経年!$H213*(参考2_エネ使用量経年!T213+参考2_エネ使用量経年!T300),"")</f>
        <v>0</v>
      </c>
      <c r="U363" s="1851">
        <f ca="1">IFERROR($I363*44/12*参考2_エネ使用量経年!$I213*(参考2_エネ使用量経年!U213+参考2_エネ使用量経年!U300),"")</f>
        <v>0</v>
      </c>
      <c r="V363" s="1851">
        <f ca="1">IFERROR($J363*44/12*参考2_エネ使用量経年!$J213*(参考2_エネ使用量経年!V213+参考2_エネ使用量経年!V300),"")</f>
        <v>0</v>
      </c>
      <c r="W363" s="1851">
        <f ca="1">IFERROR($K363*44/12*参考2_エネ使用量経年!$K213*(参考2_エネ使用量経年!W213+参考2_エネ使用量経年!W300),"")</f>
        <v>0</v>
      </c>
      <c r="X363" s="1853">
        <f ca="1">IFERROR($H363*44/12*参考2_エネ使用量経年!$H213*(参考2_エネ使用量経年!X213+参考2_エネ使用量経年!X300),"")</f>
        <v>0</v>
      </c>
      <c r="Y363" s="1853">
        <f ca="1">IFERROR($I363*44/12*参考2_エネ使用量経年!$I213*(参考2_エネ使用量経年!Y213+参考2_エネ使用量経年!Y300),"")</f>
        <v>0</v>
      </c>
      <c r="Z363" s="1853">
        <f ca="1">IFERROR($J363*44/12*参考2_エネ使用量経年!$J213*(参考2_エネ使用量経年!Z213+参考2_エネ使用量経年!Z300),"")</f>
        <v>0</v>
      </c>
      <c r="AA363" s="1853">
        <f ca="1">IFERROR($K363*44/12*参考2_エネ使用量経年!$K213*(参考2_エネ使用量経年!AA213+参考2_エネ使用量経年!AA300),"")</f>
        <v>0</v>
      </c>
      <c r="AB363" s="1853"/>
      <c r="AC363" s="1853"/>
      <c r="AD363" s="1853"/>
      <c r="AE363" s="1853"/>
      <c r="AF363" s="1853"/>
      <c r="AG363" s="1853"/>
      <c r="AH363" s="1853"/>
      <c r="AI363" s="1853"/>
      <c r="AJ363" s="1853"/>
      <c r="AK363" s="1853"/>
      <c r="AL363" s="1853"/>
      <c r="AM363" s="1853"/>
      <c r="AN363" s="1853"/>
      <c r="AO363" s="1853"/>
      <c r="AP363" s="1853"/>
      <c r="AQ363" s="1853"/>
      <c r="AR363" s="1853"/>
      <c r="AS363" s="1853"/>
      <c r="AT363" s="1853"/>
      <c r="AU363" s="1853"/>
      <c r="AV363" s="1853"/>
      <c r="AW363" s="1853"/>
      <c r="AX363" s="1853"/>
      <c r="AY363" s="1853"/>
      <c r="AZ363" s="1853"/>
      <c r="BA363" s="1853"/>
      <c r="BB363" s="1853"/>
      <c r="BC363" s="1853"/>
      <c r="BD363" s="1853"/>
      <c r="BE363" s="1853"/>
      <c r="BF363" s="1853"/>
      <c r="BG363" s="1853"/>
      <c r="BH363" s="1853"/>
      <c r="BI363" s="1853"/>
      <c r="BJ363" s="1853"/>
      <c r="BK363" s="1853"/>
      <c r="BL363" s="1853"/>
      <c r="BM363" s="1853"/>
      <c r="BN363" s="1853"/>
      <c r="BO363" s="1853"/>
    </row>
    <row r="364" spans="1:68" ht="20.100000000000001" customHeight="1">
      <c r="A364" s="1845">
        <v>51</v>
      </c>
      <c r="B364" s="1854"/>
      <c r="C364" s="1847"/>
      <c r="D364" s="1848" t="s">
        <v>946</v>
      </c>
      <c r="E364" s="1848"/>
      <c r="F364" s="1849"/>
      <c r="G364" s="1225" t="s">
        <v>1109</v>
      </c>
      <c r="H364" s="1850">
        <f t="shared" ca="1" si="164"/>
        <v>0</v>
      </c>
      <c r="I364" s="1850">
        <f t="shared" ca="1" si="165"/>
        <v>0</v>
      </c>
      <c r="J364" s="1850">
        <f t="shared" ca="1" si="166"/>
        <v>0</v>
      </c>
      <c r="K364" s="1850">
        <f t="shared" ca="1" si="167"/>
        <v>0</v>
      </c>
      <c r="L364" s="1851">
        <f ca="1">IFERROR($H364*44/12*参考2_エネ使用量経年!$H214*(参考2_エネ使用量経年!L214+参考2_エネ使用量経年!L301),"")</f>
        <v>0</v>
      </c>
      <c r="M364" s="1851">
        <f ca="1">IFERROR($I364*44/12*参考2_エネ使用量経年!$I214*(参考2_エネ使用量経年!M214+参考2_エネ使用量経年!M301),"")</f>
        <v>0</v>
      </c>
      <c r="N364" s="1851">
        <f ca="1">IFERROR($J364*44/12*参考2_エネ使用量経年!$J214*(参考2_エネ使用量経年!N214+参考2_エネ使用量経年!N301),"")</f>
        <v>0</v>
      </c>
      <c r="O364" s="1851">
        <f ca="1">IFERROR($K364*44/12*参考2_エネ使用量経年!$K214*(参考2_エネ使用量経年!O214+参考2_エネ使用量経年!O301),"")</f>
        <v>0</v>
      </c>
      <c r="P364" s="1852">
        <f ca="1">IFERROR($H364*44/12*参考2_エネ使用量経年!$H214*(参考2_エネ使用量経年!P214+参考2_エネ使用量経年!P301),"")</f>
        <v>0</v>
      </c>
      <c r="Q364" s="1852">
        <f ca="1">IFERROR($I364*44/12*参考2_エネ使用量経年!$I214*(参考2_エネ使用量経年!Q214+参考2_エネ使用量経年!Q301),"")</f>
        <v>0</v>
      </c>
      <c r="R364" s="1852">
        <f ca="1">IFERROR($J364*44/12*参考2_エネ使用量経年!$J214*(参考2_エネ使用量経年!R214+参考2_エネ使用量経年!R301),"")</f>
        <v>0</v>
      </c>
      <c r="S364" s="1852">
        <f ca="1">IFERROR($K364*44/12*参考2_エネ使用量経年!$K214*(参考2_エネ使用量経年!S214+参考2_エネ使用量経年!S301),"")</f>
        <v>0</v>
      </c>
      <c r="T364" s="1851">
        <f ca="1">IFERROR($H364*44/12*参考2_エネ使用量経年!$H214*(参考2_エネ使用量経年!T214+参考2_エネ使用量経年!T301),"")</f>
        <v>0</v>
      </c>
      <c r="U364" s="1851">
        <f ca="1">IFERROR($I364*44/12*参考2_エネ使用量経年!$I214*(参考2_エネ使用量経年!U214+参考2_エネ使用量経年!U301),"")</f>
        <v>0</v>
      </c>
      <c r="V364" s="1851">
        <f ca="1">IFERROR($J364*44/12*参考2_エネ使用量経年!$J214*(参考2_エネ使用量経年!V214+参考2_エネ使用量経年!V301),"")</f>
        <v>0</v>
      </c>
      <c r="W364" s="1851">
        <f ca="1">IFERROR($K364*44/12*参考2_エネ使用量経年!$K214*(参考2_エネ使用量経年!W214+参考2_エネ使用量経年!W301),"")</f>
        <v>0</v>
      </c>
      <c r="X364" s="1853">
        <f ca="1">IFERROR($H364*44/12*参考2_エネ使用量経年!$H214*(参考2_エネ使用量経年!X214+参考2_エネ使用量経年!X301),"")</f>
        <v>0</v>
      </c>
      <c r="Y364" s="1853">
        <f ca="1">IFERROR($I364*44/12*参考2_エネ使用量経年!$I214*(参考2_エネ使用量経年!Y214+参考2_エネ使用量経年!Y301),"")</f>
        <v>0</v>
      </c>
      <c r="Z364" s="1853">
        <f ca="1">IFERROR($J364*44/12*参考2_エネ使用量経年!$J214*(参考2_エネ使用量経年!Z214+参考2_エネ使用量経年!Z301),"")</f>
        <v>0</v>
      </c>
      <c r="AA364" s="1853">
        <f ca="1">IFERROR($K364*44/12*参考2_エネ使用量経年!$K214*(参考2_エネ使用量経年!AA214+参考2_エネ使用量経年!AA301),"")</f>
        <v>0</v>
      </c>
      <c r="AB364" s="1853"/>
      <c r="AC364" s="1853"/>
      <c r="AD364" s="1853"/>
      <c r="AE364" s="1853"/>
      <c r="AF364" s="1853"/>
      <c r="AG364" s="1853"/>
      <c r="AH364" s="1853"/>
      <c r="AI364" s="1853"/>
      <c r="AJ364" s="1853"/>
      <c r="AK364" s="1853"/>
      <c r="AL364" s="1853"/>
      <c r="AM364" s="1853"/>
      <c r="AN364" s="1853"/>
      <c r="AO364" s="1853"/>
      <c r="AP364" s="1853"/>
      <c r="AQ364" s="1853"/>
      <c r="AR364" s="1853"/>
      <c r="AS364" s="1853"/>
      <c r="AT364" s="1853"/>
      <c r="AU364" s="1853"/>
      <c r="AV364" s="1853"/>
      <c r="AW364" s="1853"/>
      <c r="AX364" s="1853"/>
      <c r="AY364" s="1853"/>
      <c r="AZ364" s="1853"/>
      <c r="BA364" s="1853"/>
      <c r="BB364" s="1853"/>
      <c r="BC364" s="1853"/>
      <c r="BD364" s="1853"/>
      <c r="BE364" s="1853"/>
      <c r="BF364" s="1853"/>
      <c r="BG364" s="1853"/>
      <c r="BH364" s="1853"/>
      <c r="BI364" s="1853"/>
      <c r="BJ364" s="1853"/>
      <c r="BK364" s="1853"/>
      <c r="BL364" s="1853"/>
      <c r="BM364" s="1853"/>
      <c r="BN364" s="1853"/>
      <c r="BO364" s="1853"/>
    </row>
    <row r="365" spans="1:68" ht="20.100000000000001" customHeight="1">
      <c r="A365" s="1845">
        <v>52</v>
      </c>
      <c r="B365" s="1854"/>
      <c r="C365" s="1847"/>
      <c r="D365" s="1848" t="s">
        <v>947</v>
      </c>
      <c r="E365" s="1848"/>
      <c r="F365" s="1849"/>
      <c r="G365" s="1225" t="s">
        <v>1109</v>
      </c>
      <c r="H365" s="1850">
        <f t="shared" ca="1" si="164"/>
        <v>0</v>
      </c>
      <c r="I365" s="1850">
        <f t="shared" ca="1" si="165"/>
        <v>0</v>
      </c>
      <c r="J365" s="1850">
        <f t="shared" ca="1" si="166"/>
        <v>0</v>
      </c>
      <c r="K365" s="1850">
        <f t="shared" ca="1" si="167"/>
        <v>0</v>
      </c>
      <c r="L365" s="1851">
        <f ca="1">IFERROR($H365*44/12*参考2_エネ使用量経年!$H215*(参考2_エネ使用量経年!L215+参考2_エネ使用量経年!L302),"")</f>
        <v>0</v>
      </c>
      <c r="M365" s="1851">
        <f ca="1">IFERROR($I365*44/12*参考2_エネ使用量経年!$I215*(参考2_エネ使用量経年!M215+参考2_エネ使用量経年!M302),"")</f>
        <v>0</v>
      </c>
      <c r="N365" s="1851">
        <f ca="1">IFERROR($J365*44/12*参考2_エネ使用量経年!$J215*(参考2_エネ使用量経年!N215+参考2_エネ使用量経年!N302),"")</f>
        <v>0</v>
      </c>
      <c r="O365" s="1851">
        <f ca="1">IFERROR($K365*44/12*参考2_エネ使用量経年!$K215*(参考2_エネ使用量経年!O215+参考2_エネ使用量経年!O302),"")</f>
        <v>0</v>
      </c>
      <c r="P365" s="1852">
        <f ca="1">IFERROR($H365*44/12*参考2_エネ使用量経年!$H215*(参考2_エネ使用量経年!P215+参考2_エネ使用量経年!P302),"")</f>
        <v>0</v>
      </c>
      <c r="Q365" s="1852">
        <f ca="1">IFERROR($I365*44/12*参考2_エネ使用量経年!$I215*(参考2_エネ使用量経年!Q215+参考2_エネ使用量経年!Q302),"")</f>
        <v>0</v>
      </c>
      <c r="R365" s="1852">
        <f ca="1">IFERROR($J365*44/12*参考2_エネ使用量経年!$J215*(参考2_エネ使用量経年!R215+参考2_エネ使用量経年!R302),"")</f>
        <v>0</v>
      </c>
      <c r="S365" s="1852">
        <f ca="1">IFERROR($K365*44/12*参考2_エネ使用量経年!$K215*(参考2_エネ使用量経年!S215+参考2_エネ使用量経年!S302),"")</f>
        <v>0</v>
      </c>
      <c r="T365" s="1851">
        <f ca="1">IFERROR($H365*44/12*参考2_エネ使用量経年!$H215*(参考2_エネ使用量経年!T215+参考2_エネ使用量経年!T302),"")</f>
        <v>0</v>
      </c>
      <c r="U365" s="1851">
        <f ca="1">IFERROR($I365*44/12*参考2_エネ使用量経年!$I215*(参考2_エネ使用量経年!U215+参考2_エネ使用量経年!U302),"")</f>
        <v>0</v>
      </c>
      <c r="V365" s="1851">
        <f ca="1">IFERROR($J365*44/12*参考2_エネ使用量経年!$J215*(参考2_エネ使用量経年!V215+参考2_エネ使用量経年!V302),"")</f>
        <v>0</v>
      </c>
      <c r="W365" s="1851">
        <f ca="1">IFERROR($K365*44/12*参考2_エネ使用量経年!$K215*(参考2_エネ使用量経年!W215+参考2_エネ使用量経年!W302),"")</f>
        <v>0</v>
      </c>
      <c r="X365" s="1853">
        <f ca="1">IFERROR($H365*44/12*参考2_エネ使用量経年!$H215*(参考2_エネ使用量経年!X215+参考2_エネ使用量経年!X302),"")</f>
        <v>0</v>
      </c>
      <c r="Y365" s="1853">
        <f ca="1">IFERROR($I365*44/12*参考2_エネ使用量経年!$I215*(参考2_エネ使用量経年!Y215+参考2_エネ使用量経年!Y302),"")</f>
        <v>0</v>
      </c>
      <c r="Z365" s="1853">
        <f ca="1">IFERROR($J365*44/12*参考2_エネ使用量経年!$J215*(参考2_エネ使用量経年!Z215+参考2_エネ使用量経年!Z302),"")</f>
        <v>0</v>
      </c>
      <c r="AA365" s="1853">
        <f ca="1">IFERROR($K365*44/12*参考2_エネ使用量経年!$K215*(参考2_エネ使用量経年!AA215+参考2_エネ使用量経年!AA302),"")</f>
        <v>0</v>
      </c>
      <c r="AB365" s="1853"/>
      <c r="AC365" s="1853"/>
      <c r="AD365" s="1853"/>
      <c r="AE365" s="1853"/>
      <c r="AF365" s="1853"/>
      <c r="AG365" s="1853"/>
      <c r="AH365" s="1853"/>
      <c r="AI365" s="1853"/>
      <c r="AJ365" s="1853"/>
      <c r="AK365" s="1853"/>
      <c r="AL365" s="1853"/>
      <c r="AM365" s="1853"/>
      <c r="AN365" s="1853"/>
      <c r="AO365" s="1853"/>
      <c r="AP365" s="1853"/>
      <c r="AQ365" s="1853"/>
      <c r="AR365" s="1853"/>
      <c r="AS365" s="1853"/>
      <c r="AT365" s="1853"/>
      <c r="AU365" s="1853"/>
      <c r="AV365" s="1853"/>
      <c r="AW365" s="1853"/>
      <c r="AX365" s="1853"/>
      <c r="AY365" s="1853"/>
      <c r="AZ365" s="1853"/>
      <c r="BA365" s="1853"/>
      <c r="BB365" s="1853"/>
      <c r="BC365" s="1853"/>
      <c r="BD365" s="1853"/>
      <c r="BE365" s="1853"/>
      <c r="BF365" s="1853"/>
      <c r="BG365" s="1853"/>
      <c r="BH365" s="1853"/>
      <c r="BI365" s="1853"/>
      <c r="BJ365" s="1853"/>
      <c r="BK365" s="1853"/>
      <c r="BL365" s="1853"/>
      <c r="BM365" s="1853"/>
      <c r="BN365" s="1853"/>
      <c r="BO365" s="1853"/>
    </row>
    <row r="366" spans="1:68" ht="20.100000000000001" customHeight="1">
      <c r="A366" s="1845">
        <v>53</v>
      </c>
      <c r="B366" s="1854"/>
      <c r="C366" s="1847"/>
      <c r="D366" s="1848" t="s">
        <v>569</v>
      </c>
      <c r="E366" s="1848"/>
      <c r="F366" s="1849"/>
      <c r="G366" s="1225" t="s">
        <v>1109</v>
      </c>
      <c r="H366" s="1850">
        <f t="shared" ca="1" si="164"/>
        <v>0</v>
      </c>
      <c r="I366" s="1850">
        <f t="shared" ca="1" si="165"/>
        <v>0</v>
      </c>
      <c r="J366" s="1850">
        <f t="shared" ca="1" si="166"/>
        <v>0</v>
      </c>
      <c r="K366" s="1850">
        <f t="shared" ca="1" si="167"/>
        <v>0</v>
      </c>
      <c r="L366" s="1851">
        <f ca="1">IFERROR($H366*44/12*参考2_エネ使用量経年!$H216*(参考2_エネ使用量経年!L216+参考2_エネ使用量経年!L303),"")</f>
        <v>0</v>
      </c>
      <c r="M366" s="1851">
        <f ca="1">IFERROR($I366*44/12*参考2_エネ使用量経年!$I216*(参考2_エネ使用量経年!M216+参考2_エネ使用量経年!M303),"")</f>
        <v>0</v>
      </c>
      <c r="N366" s="1851">
        <f ca="1">IFERROR($J366*44/12*参考2_エネ使用量経年!$J216*(参考2_エネ使用量経年!N216+参考2_エネ使用量経年!N303),"")</f>
        <v>0</v>
      </c>
      <c r="O366" s="1851">
        <f ca="1">IFERROR($K366*44/12*参考2_エネ使用量経年!$K216*(参考2_エネ使用量経年!O216+参考2_エネ使用量経年!O303),"")</f>
        <v>0</v>
      </c>
      <c r="P366" s="1852">
        <f ca="1">IFERROR($H366*44/12*参考2_エネ使用量経年!$H216*(参考2_エネ使用量経年!P216+参考2_エネ使用量経年!P303),"")</f>
        <v>0</v>
      </c>
      <c r="Q366" s="1852">
        <f ca="1">IFERROR($I366*44/12*参考2_エネ使用量経年!$I216*(参考2_エネ使用量経年!Q216+参考2_エネ使用量経年!Q303),"")</f>
        <v>0</v>
      </c>
      <c r="R366" s="1852">
        <f ca="1">IFERROR($J366*44/12*参考2_エネ使用量経年!$J216*(参考2_エネ使用量経年!R216+参考2_エネ使用量経年!R303),"")</f>
        <v>0</v>
      </c>
      <c r="S366" s="1852">
        <f ca="1">IFERROR($K366*44/12*参考2_エネ使用量経年!$K216*(参考2_エネ使用量経年!S216+参考2_エネ使用量経年!S303),"")</f>
        <v>0</v>
      </c>
      <c r="T366" s="1851">
        <f ca="1">IFERROR($H366*44/12*参考2_エネ使用量経年!$H216*(参考2_エネ使用量経年!T216+参考2_エネ使用量経年!T303),"")</f>
        <v>0</v>
      </c>
      <c r="U366" s="1851">
        <f ca="1">IFERROR($I366*44/12*参考2_エネ使用量経年!$I216*(参考2_エネ使用量経年!U216+参考2_エネ使用量経年!U303),"")</f>
        <v>0</v>
      </c>
      <c r="V366" s="1851">
        <f ca="1">IFERROR($J366*44/12*参考2_エネ使用量経年!$J216*(参考2_エネ使用量経年!V216+参考2_エネ使用量経年!V303),"")</f>
        <v>0</v>
      </c>
      <c r="W366" s="1851">
        <f ca="1">IFERROR($K366*44/12*参考2_エネ使用量経年!$K216*(参考2_エネ使用量経年!W216+参考2_エネ使用量経年!W303),"")</f>
        <v>0</v>
      </c>
      <c r="X366" s="1853">
        <f ca="1">IFERROR($H366*44/12*参考2_エネ使用量経年!$H216*(参考2_エネ使用量経年!X216+参考2_エネ使用量経年!X303),"")</f>
        <v>0</v>
      </c>
      <c r="Y366" s="1853">
        <f ca="1">IFERROR($I366*44/12*参考2_エネ使用量経年!$I216*(参考2_エネ使用量経年!Y216+参考2_エネ使用量経年!Y303),"")</f>
        <v>0</v>
      </c>
      <c r="Z366" s="1853">
        <f ca="1">IFERROR($J366*44/12*参考2_エネ使用量経年!$J216*(参考2_エネ使用量経年!Z216+参考2_エネ使用量経年!Z303),"")</f>
        <v>0</v>
      </c>
      <c r="AA366" s="1853">
        <f ca="1">IFERROR($K366*44/12*参考2_エネ使用量経年!$K216*(参考2_エネ使用量経年!AA216+参考2_エネ使用量経年!AA303),"")</f>
        <v>0</v>
      </c>
      <c r="AB366" s="1853"/>
      <c r="AC366" s="1853"/>
      <c r="AD366" s="1853"/>
      <c r="AE366" s="1853"/>
      <c r="AF366" s="1853"/>
      <c r="AG366" s="1853"/>
      <c r="AH366" s="1853"/>
      <c r="AI366" s="1853"/>
      <c r="AJ366" s="1853"/>
      <c r="AK366" s="1853"/>
      <c r="AL366" s="1853"/>
      <c r="AM366" s="1853"/>
      <c r="AN366" s="1853"/>
      <c r="AO366" s="1853"/>
      <c r="AP366" s="1853"/>
      <c r="AQ366" s="1853"/>
      <c r="AR366" s="1853"/>
      <c r="AS366" s="1853"/>
      <c r="AT366" s="1853"/>
      <c r="AU366" s="1853"/>
      <c r="AV366" s="1853"/>
      <c r="AW366" s="1853"/>
      <c r="AX366" s="1853"/>
      <c r="AY366" s="1853"/>
      <c r="AZ366" s="1853"/>
      <c r="BA366" s="1853"/>
      <c r="BB366" s="1853"/>
      <c r="BC366" s="1853"/>
      <c r="BD366" s="1853"/>
      <c r="BE366" s="1853"/>
      <c r="BF366" s="1853"/>
      <c r="BG366" s="1853"/>
      <c r="BH366" s="1853"/>
      <c r="BI366" s="1853"/>
      <c r="BJ366" s="1853"/>
      <c r="BK366" s="1853"/>
      <c r="BL366" s="1853"/>
      <c r="BM366" s="1853"/>
      <c r="BN366" s="1853"/>
      <c r="BO366" s="1853"/>
    </row>
    <row r="367" spans="1:68" ht="20.100000000000001" customHeight="1">
      <c r="A367" s="1845">
        <v>54</v>
      </c>
      <c r="B367" s="1854"/>
      <c r="C367" s="1847"/>
      <c r="D367" s="1848" t="s">
        <v>948</v>
      </c>
      <c r="E367" s="1858" t="str">
        <f ca="1">E54</f>
        <v/>
      </c>
      <c r="F367" s="1860"/>
      <c r="G367" s="1225" t="s">
        <v>1109</v>
      </c>
      <c r="H367" s="1850">
        <f t="shared" ca="1" si="164"/>
        <v>0</v>
      </c>
      <c r="I367" s="1850">
        <f t="shared" ca="1" si="165"/>
        <v>0</v>
      </c>
      <c r="J367" s="1850">
        <f t="shared" ca="1" si="166"/>
        <v>0</v>
      </c>
      <c r="K367" s="1850">
        <f t="shared" ca="1" si="167"/>
        <v>0</v>
      </c>
      <c r="L367" s="1851">
        <f ca="1">IFERROR($H367*44/12*参考2_エネ使用量経年!$H217*(参考2_エネ使用量経年!L217+参考2_エネ使用量経年!L304),"")</f>
        <v>0</v>
      </c>
      <c r="M367" s="1851">
        <f ca="1">IFERROR($I367*44/12*参考2_エネ使用量経年!$I217*(参考2_エネ使用量経年!M217+参考2_エネ使用量経年!M304),"")</f>
        <v>0</v>
      </c>
      <c r="N367" s="1851">
        <f ca="1">IFERROR($J367*44/12*参考2_エネ使用量経年!$J217*(参考2_エネ使用量経年!N217+参考2_エネ使用量経年!N304),"")</f>
        <v>0</v>
      </c>
      <c r="O367" s="1851">
        <f ca="1">IFERROR($K367*44/12*参考2_エネ使用量経年!$K217*(参考2_エネ使用量経年!O217+参考2_エネ使用量経年!O304),"")</f>
        <v>0</v>
      </c>
      <c r="P367" s="1852">
        <f ca="1">IFERROR($H367*44/12*参考2_エネ使用量経年!$H217*(参考2_エネ使用量経年!P217+参考2_エネ使用量経年!P304),"")</f>
        <v>0</v>
      </c>
      <c r="Q367" s="1852">
        <f ca="1">IFERROR($I367*44/12*参考2_エネ使用量経年!$I217*(参考2_エネ使用量経年!Q217+参考2_エネ使用量経年!Q304),"")</f>
        <v>0</v>
      </c>
      <c r="R367" s="1852">
        <f ca="1">IFERROR($J367*44/12*参考2_エネ使用量経年!$J217*(参考2_エネ使用量経年!R217+参考2_エネ使用量経年!R304),"")</f>
        <v>0</v>
      </c>
      <c r="S367" s="1852">
        <f ca="1">IFERROR($K367*44/12*参考2_エネ使用量経年!$K217*(参考2_エネ使用量経年!S217+参考2_エネ使用量経年!S304),"")</f>
        <v>0</v>
      </c>
      <c r="T367" s="1851">
        <f ca="1">IFERROR($H367*44/12*参考2_エネ使用量経年!$H217*(参考2_エネ使用量経年!T217+参考2_エネ使用量経年!T304),"")</f>
        <v>0</v>
      </c>
      <c r="U367" s="1851">
        <f ca="1">IFERROR($I367*44/12*参考2_エネ使用量経年!$I217*(参考2_エネ使用量経年!U217+参考2_エネ使用量経年!U304),"")</f>
        <v>0</v>
      </c>
      <c r="V367" s="1851">
        <f ca="1">IFERROR($J367*44/12*参考2_エネ使用量経年!$J217*(参考2_エネ使用量経年!V217+参考2_エネ使用量経年!V304),"")</f>
        <v>0</v>
      </c>
      <c r="W367" s="1851">
        <f ca="1">IFERROR($K367*44/12*参考2_エネ使用量経年!$K217*(参考2_エネ使用量経年!W217+参考2_エネ使用量経年!W304),"")</f>
        <v>0</v>
      </c>
      <c r="X367" s="1853">
        <f ca="1">IFERROR($H367*44/12*参考2_エネ使用量経年!$H217*(参考2_エネ使用量経年!X217+参考2_エネ使用量経年!X304),"")</f>
        <v>0</v>
      </c>
      <c r="Y367" s="1853">
        <f ca="1">IFERROR($I367*44/12*参考2_エネ使用量経年!$I217*(参考2_エネ使用量経年!Y217+参考2_エネ使用量経年!Y304),"")</f>
        <v>0</v>
      </c>
      <c r="Z367" s="1853">
        <f ca="1">IFERROR($J367*44/12*参考2_エネ使用量経年!$J217*(参考2_エネ使用量経年!Z217+参考2_エネ使用量経年!Z304),"")</f>
        <v>0</v>
      </c>
      <c r="AA367" s="1853">
        <f ca="1">IFERROR($K367*44/12*参考2_エネ使用量経年!$K217*(参考2_エネ使用量経年!AA217+参考2_エネ使用量経年!AA304),"")</f>
        <v>0</v>
      </c>
      <c r="AB367" s="1853"/>
      <c r="AC367" s="1853"/>
      <c r="AD367" s="1853"/>
      <c r="AE367" s="1853"/>
      <c r="AF367" s="1853"/>
      <c r="AG367" s="1853"/>
      <c r="AH367" s="1853"/>
      <c r="AI367" s="1853"/>
      <c r="AJ367" s="1853"/>
      <c r="AK367" s="1853"/>
      <c r="AL367" s="1853"/>
      <c r="AM367" s="1853"/>
      <c r="AN367" s="1853"/>
      <c r="AO367" s="1853"/>
      <c r="AP367" s="1853"/>
      <c r="AQ367" s="1853"/>
      <c r="AR367" s="1853"/>
      <c r="AS367" s="1853"/>
      <c r="AT367" s="1853"/>
      <c r="AU367" s="1853"/>
      <c r="AV367" s="1853"/>
      <c r="AW367" s="1853"/>
      <c r="AX367" s="1853"/>
      <c r="AY367" s="1853"/>
      <c r="AZ367" s="1853"/>
      <c r="BA367" s="1853"/>
      <c r="BB367" s="1853"/>
      <c r="BC367" s="1853"/>
      <c r="BD367" s="1853"/>
      <c r="BE367" s="1853"/>
      <c r="BF367" s="1853"/>
      <c r="BG367" s="1853"/>
      <c r="BH367" s="1853"/>
      <c r="BI367" s="1853"/>
      <c r="BJ367" s="1853"/>
      <c r="BK367" s="1853"/>
      <c r="BL367" s="1853"/>
      <c r="BM367" s="1853"/>
      <c r="BN367" s="1853"/>
      <c r="BO367" s="1853"/>
    </row>
    <row r="368" spans="1:68" ht="20.100000000000001" customHeight="1">
      <c r="A368" s="1845">
        <v>55</v>
      </c>
      <c r="B368" s="1854"/>
      <c r="C368" s="1847"/>
      <c r="D368" s="1848" t="s">
        <v>949</v>
      </c>
      <c r="E368" s="1858" t="str">
        <f ca="1">E55</f>
        <v/>
      </c>
      <c r="F368" s="1860"/>
      <c r="G368" s="1225" t="s">
        <v>1109</v>
      </c>
      <c r="H368" s="1850">
        <f t="shared" ca="1" si="164"/>
        <v>0</v>
      </c>
      <c r="I368" s="1850">
        <f t="shared" ca="1" si="165"/>
        <v>0</v>
      </c>
      <c r="J368" s="1850">
        <f t="shared" ca="1" si="166"/>
        <v>0</v>
      </c>
      <c r="K368" s="1850">
        <f t="shared" ca="1" si="167"/>
        <v>0</v>
      </c>
      <c r="L368" s="1851">
        <f ca="1">IFERROR($H368*44/12*参考2_エネ使用量経年!$H218*(参考2_エネ使用量経年!L218+参考2_エネ使用量経年!L305),"")</f>
        <v>0</v>
      </c>
      <c r="M368" s="1851">
        <f ca="1">IFERROR($I368*44/12*参考2_エネ使用量経年!$I218*(参考2_エネ使用量経年!M218+参考2_エネ使用量経年!M305),"")</f>
        <v>0</v>
      </c>
      <c r="N368" s="1851">
        <f ca="1">IFERROR($J368*44/12*参考2_エネ使用量経年!$J218*(参考2_エネ使用量経年!N218+参考2_エネ使用量経年!N305),"")</f>
        <v>0</v>
      </c>
      <c r="O368" s="1851">
        <f ca="1">IFERROR($K368*44/12*参考2_エネ使用量経年!$K218*(参考2_エネ使用量経年!O218+参考2_エネ使用量経年!O305),"")</f>
        <v>0</v>
      </c>
      <c r="P368" s="1852">
        <f ca="1">IFERROR($H368*44/12*参考2_エネ使用量経年!$H218*(参考2_エネ使用量経年!P218+参考2_エネ使用量経年!P305),"")</f>
        <v>0</v>
      </c>
      <c r="Q368" s="1852">
        <f ca="1">IFERROR($I368*44/12*参考2_エネ使用量経年!$I218*(参考2_エネ使用量経年!Q218+参考2_エネ使用量経年!Q305),"")</f>
        <v>0</v>
      </c>
      <c r="R368" s="1852">
        <f ca="1">IFERROR($J368*44/12*参考2_エネ使用量経年!$J218*(参考2_エネ使用量経年!R218+参考2_エネ使用量経年!R305),"")</f>
        <v>0</v>
      </c>
      <c r="S368" s="1852">
        <f ca="1">IFERROR($K368*44/12*参考2_エネ使用量経年!$K218*(参考2_エネ使用量経年!S218+参考2_エネ使用量経年!S305),"")</f>
        <v>0</v>
      </c>
      <c r="T368" s="1851">
        <f ca="1">IFERROR($H368*44/12*参考2_エネ使用量経年!$H218*(参考2_エネ使用量経年!T218+参考2_エネ使用量経年!T305),"")</f>
        <v>0</v>
      </c>
      <c r="U368" s="1851">
        <f ca="1">IFERROR($I368*44/12*参考2_エネ使用量経年!$I218*(参考2_エネ使用量経年!U218+参考2_エネ使用量経年!U305),"")</f>
        <v>0</v>
      </c>
      <c r="V368" s="1851">
        <f ca="1">IFERROR($J368*44/12*参考2_エネ使用量経年!$J218*(参考2_エネ使用量経年!V218+参考2_エネ使用量経年!V305),"")</f>
        <v>0</v>
      </c>
      <c r="W368" s="1851">
        <f ca="1">IFERROR($K368*44/12*参考2_エネ使用量経年!$K218*(参考2_エネ使用量経年!W218+参考2_エネ使用量経年!W305),"")</f>
        <v>0</v>
      </c>
      <c r="X368" s="1853">
        <f ca="1">IFERROR($H368*44/12*参考2_エネ使用量経年!$H218*(参考2_エネ使用量経年!X218+参考2_エネ使用量経年!X305),"")</f>
        <v>0</v>
      </c>
      <c r="Y368" s="1853">
        <f ca="1">IFERROR($I368*44/12*参考2_エネ使用量経年!$I218*(参考2_エネ使用量経年!Y218+参考2_エネ使用量経年!Y305),"")</f>
        <v>0</v>
      </c>
      <c r="Z368" s="1853">
        <f ca="1">IFERROR($J368*44/12*参考2_エネ使用量経年!$J218*(参考2_エネ使用量経年!Z218+参考2_エネ使用量経年!Z305),"")</f>
        <v>0</v>
      </c>
      <c r="AA368" s="1853">
        <f ca="1">IFERROR($K368*44/12*参考2_エネ使用量経年!$K218*(参考2_エネ使用量経年!AA218+参考2_エネ使用量経年!AA305),"")</f>
        <v>0</v>
      </c>
      <c r="AB368" s="1853"/>
      <c r="AC368" s="1853"/>
      <c r="AD368" s="1853"/>
      <c r="AE368" s="1853"/>
      <c r="AF368" s="1853"/>
      <c r="AG368" s="1853"/>
      <c r="AH368" s="1853"/>
      <c r="AI368" s="1853"/>
      <c r="AJ368" s="1853"/>
      <c r="AK368" s="1853"/>
      <c r="AL368" s="1853"/>
      <c r="AM368" s="1853"/>
      <c r="AN368" s="1853"/>
      <c r="AO368" s="1853"/>
      <c r="AP368" s="1853"/>
      <c r="AQ368" s="1853"/>
      <c r="AR368" s="1853"/>
      <c r="AS368" s="1853"/>
      <c r="AT368" s="1853"/>
      <c r="AU368" s="1853"/>
      <c r="AV368" s="1853"/>
      <c r="AW368" s="1853"/>
      <c r="AX368" s="1853"/>
      <c r="AY368" s="1853"/>
      <c r="AZ368" s="1853"/>
      <c r="BA368" s="1853"/>
      <c r="BB368" s="1853"/>
      <c r="BC368" s="1853"/>
      <c r="BD368" s="1853"/>
      <c r="BE368" s="1853"/>
      <c r="BF368" s="1853"/>
      <c r="BG368" s="1853"/>
      <c r="BH368" s="1853"/>
      <c r="BI368" s="1853"/>
      <c r="BJ368" s="1853"/>
      <c r="BK368" s="1853"/>
      <c r="BL368" s="1853"/>
      <c r="BM368" s="1853"/>
      <c r="BN368" s="1853"/>
      <c r="BO368" s="1853"/>
      <c r="BP368" s="1862"/>
    </row>
    <row r="369" spans="1:68" ht="20.100000000000001" customHeight="1">
      <c r="A369" s="1842">
        <v>56</v>
      </c>
      <c r="B369" s="1846" t="s">
        <v>950</v>
      </c>
      <c r="C369" s="1847" t="s">
        <v>951</v>
      </c>
      <c r="D369" s="1848" t="s">
        <v>952</v>
      </c>
      <c r="E369" s="1856"/>
      <c r="F369" s="1863"/>
      <c r="G369" s="1225" t="s">
        <v>1109</v>
      </c>
      <c r="H369" s="1850">
        <f t="shared" ca="1" si="164"/>
        <v>6.54E-2</v>
      </c>
      <c r="I369" s="1850">
        <f t="shared" ca="1" si="165"/>
        <v>6.54E-2</v>
      </c>
      <c r="J369" s="1850">
        <f t="shared" ca="1" si="166"/>
        <v>6.54E-2</v>
      </c>
      <c r="K369" s="1850">
        <f t="shared" ca="1" si="167"/>
        <v>6.54E-2</v>
      </c>
      <c r="L369" s="1851">
        <f ca="1">IFERROR($H369*(参考2_エネ使用量経年!L219+参考2_エネ使用量経年!L306),"")</f>
        <v>0</v>
      </c>
      <c r="M369" s="1851">
        <f ca="1">IFERROR($I369*(参考2_エネ使用量経年!M219+参考2_エネ使用量経年!M306),"")</f>
        <v>0</v>
      </c>
      <c r="N369" s="1851">
        <f ca="1">IFERROR($J369*(参考2_エネ使用量経年!N219+参考2_エネ使用量経年!N306),"")</f>
        <v>0</v>
      </c>
      <c r="O369" s="1851">
        <f ca="1">IFERROR($K369*(参考2_エネ使用量経年!O219+参考2_エネ使用量経年!O306),"")</f>
        <v>0</v>
      </c>
      <c r="P369" s="1852">
        <f ca="1">IFERROR($H369*(参考2_エネ使用量経年!P219+参考2_エネ使用量経年!P306),"")</f>
        <v>0</v>
      </c>
      <c r="Q369" s="1852">
        <f ca="1">IFERROR($I369*(参考2_エネ使用量経年!Q219+参考2_エネ使用量経年!Q306),"")</f>
        <v>0</v>
      </c>
      <c r="R369" s="1852">
        <f ca="1">IFERROR($J369*(参考2_エネ使用量経年!R219+参考2_エネ使用量経年!R306),"")</f>
        <v>0</v>
      </c>
      <c r="S369" s="1852">
        <f ca="1">IFERROR($K369*(参考2_エネ使用量経年!S219+参考2_エネ使用量経年!S306),"")</f>
        <v>0</v>
      </c>
      <c r="T369" s="1851">
        <f ca="1">IFERROR($H369*(参考2_エネ使用量経年!T219+参考2_エネ使用量経年!T306),"")</f>
        <v>0</v>
      </c>
      <c r="U369" s="1851">
        <f ca="1">IFERROR($I369*(参考2_エネ使用量経年!U219+参考2_エネ使用量経年!U306),"")</f>
        <v>0</v>
      </c>
      <c r="V369" s="1851">
        <f ca="1">IFERROR($J369*(参考2_エネ使用量経年!V219+参考2_エネ使用量経年!V306),"")</f>
        <v>0</v>
      </c>
      <c r="W369" s="1851">
        <f ca="1">IFERROR($K369*(参考2_エネ使用量経年!W219+参考2_エネ使用量経年!W306),"")</f>
        <v>0</v>
      </c>
      <c r="X369" s="1853">
        <f ca="1">IFERROR($H369*(参考2_エネ使用量経年!X219+参考2_エネ使用量経年!X306),"")</f>
        <v>0</v>
      </c>
      <c r="Y369" s="1853">
        <f ca="1">IFERROR($I369*(参考2_エネ使用量経年!Y219+参考2_エネ使用量経年!Y306),"")</f>
        <v>0</v>
      </c>
      <c r="Z369" s="1853">
        <f ca="1">IFERROR($J369*(参考2_エネ使用量経年!Z219+参考2_エネ使用量経年!Z306),"")</f>
        <v>0</v>
      </c>
      <c r="AA369" s="1853">
        <f ca="1">IFERROR($K369*(参考2_エネ使用量経年!AA219+参考2_エネ使用量経年!AA306),"")</f>
        <v>0</v>
      </c>
      <c r="AB369" s="1853"/>
      <c r="AC369" s="1853"/>
      <c r="AD369" s="1853"/>
      <c r="AE369" s="1853"/>
      <c r="AF369" s="1853"/>
      <c r="AG369" s="1853"/>
      <c r="AH369" s="1853"/>
      <c r="AI369" s="1853"/>
      <c r="AJ369" s="1853"/>
      <c r="AK369" s="1853"/>
      <c r="AL369" s="1853"/>
      <c r="AM369" s="1853"/>
      <c r="AN369" s="1853"/>
      <c r="AO369" s="1853"/>
      <c r="AP369" s="1853"/>
      <c r="AQ369" s="1853"/>
      <c r="AR369" s="1853"/>
      <c r="AS369" s="1853"/>
      <c r="AT369" s="1853"/>
      <c r="AU369" s="1853"/>
      <c r="AV369" s="1853"/>
      <c r="AW369" s="1853"/>
      <c r="AX369" s="1853"/>
      <c r="AY369" s="1853"/>
      <c r="AZ369" s="1853"/>
      <c r="BA369" s="1853"/>
      <c r="BB369" s="1853"/>
      <c r="BC369" s="1853"/>
      <c r="BD369" s="1853"/>
      <c r="BE369" s="1853"/>
      <c r="BF369" s="1853"/>
      <c r="BG369" s="1853"/>
      <c r="BH369" s="1853"/>
      <c r="BI369" s="1853"/>
      <c r="BJ369" s="1853"/>
      <c r="BK369" s="1853"/>
      <c r="BL369" s="1853"/>
      <c r="BM369" s="1853"/>
      <c r="BN369" s="1853"/>
      <c r="BO369" s="1853"/>
      <c r="BP369" s="1862"/>
    </row>
    <row r="370" spans="1:68" ht="20.100000000000001" customHeight="1">
      <c r="A370" s="1845">
        <v>9</v>
      </c>
      <c r="B370" s="1854"/>
      <c r="C370" s="1847"/>
      <c r="D370" s="1848" t="s">
        <v>953</v>
      </c>
      <c r="E370" s="1856"/>
      <c r="F370" s="1863"/>
      <c r="G370" s="1225" t="s">
        <v>1109</v>
      </c>
      <c r="H370" s="1974"/>
      <c r="I370" s="1974"/>
      <c r="J370" s="1974"/>
      <c r="K370" s="1974"/>
      <c r="L370" s="1852">
        <f ca="1">SUM(SUMIFS(OFFSET(A1_集計2024,$A370,10,1,200),OFFSET(貼付け_2024実績,4,9,1,200),{"横浜*","川崎*","県域*","エネルギー管理指定工場等*"}))+SUM(SUMIFS(OFFSET(A1_集計2024,$A370,11,1,200),OFFSET(貼付け_2024実績,4,9,1,200),{"横浜*","川崎*","県域*","エネルギー管理指定工場等*"}))</f>
        <v>0</v>
      </c>
      <c r="M370" s="1852">
        <f ca="1">SUM(SUMIFS(OFFSET(A1_集計2025,$A370,10,1,200),OFFSET(貼付け_2025実績,4,9,1,200),{"横浜*","川崎*","県域*","エネルギー管理指定工場等*"}))+SUM(SUMIFS(OFFSET(A1_集計2025,$A370,11,1,200),OFFSET(貼付け_2025実績,4,9,1,200),{"横浜*","川崎*","県域*","エネルギー管理指定工場等*"}))</f>
        <v>0</v>
      </c>
      <c r="N370" s="1852">
        <f ca="1">SUM(SUMIFS(OFFSET(A1_集計2026,$A370,10,1,200),OFFSET(貼付け_2026実績,4,9,1,200),{"横浜*","川崎*","県域*","エネルギー管理指定工場等*"}))+SUM(SUMIFS(OFFSET(A1_集計2026,$A370,11,1,200),OFFSET(貼付け_2026実績,4,9,1,200),{"横浜*","川崎*","県域*","エネルギー管理指定工場等*"}))</f>
        <v>0</v>
      </c>
      <c r="O370" s="1852">
        <f ca="1">SUM(SUMIFS(OFFSET(A1_集計2027,$A370,10,1,200),OFFSET(貼付け_2027実績,4,9,1,200),{"横浜*","川崎*","県域*","エネルギー管理指定工場等*"}))+SUM(SUMIFS(OFFSET(A1_集計2027,$A370,11,1,200),OFFSET(貼付け_2027実績,4,9,1,200),{"横浜*","川崎*","県域*","エネルギー管理指定工場等*"}))</f>
        <v>0</v>
      </c>
      <c r="P370" s="1852">
        <f ca="1">SUM(SUMIFS(OFFSET(A1_集計2024,$A370,10,1,200),OFFSET(貼付け_2024実績,4,9,1,200),{"横浜*","川崎*"}))+SUM(SUMIFS(OFFSET(A1_集計2024,$A370,11,1,200),OFFSET(貼付け_2024実績,4,9,1,200),{"横浜*","川崎*"}))</f>
        <v>0</v>
      </c>
      <c r="Q370" s="1852">
        <f ca="1">SUM(SUMIFS(OFFSET(A1_集計2025,$A370,10,1,200),OFFSET(貼付け_2025実績,4,9,1,200),{"横浜*","川崎*"}))+SUM(SUMIFS(OFFSET(A1_集計2025,$A370,11,1,200),OFFSET(貼付け_2025実績,4,9,1,200),{"横浜*","川崎*"}))</f>
        <v>0</v>
      </c>
      <c r="R370" s="1852">
        <f ca="1">SUM(SUMIFS(OFFSET(A1_集計2026,$A370,10,1,200),OFFSET(貼付け_2026実績,4,9,1,200),{"横浜*","川崎*"}))+SUM(SUMIFS(OFFSET(A1_集計2026,$A370,11,1,200),OFFSET(貼付け_2026実績,4,9,1,200),{"横浜*","川崎*"}))</f>
        <v>0</v>
      </c>
      <c r="S370" s="1852">
        <f ca="1">SUM(SUMIFS(OFFSET(A1_集計2027,$A370,10,1,200),OFFSET(貼付け_2027実績,4,9,1,200),{"横浜*","川崎*"}))+SUM(SUMIFS(OFFSET(A1_集計2027,$A370,11,1,200),OFFSET(貼付け_2027実績,4,9,1,200),{"横浜*","川崎*"}))</f>
        <v>0</v>
      </c>
      <c r="T370" s="1852">
        <f ca="1">SUM(SUMIFS(OFFSET(A1_集計2024,$A370,10,1,200),OFFSET(貼付け_2024実績,4,9,1,200),{"県域*","エネルギー管理指定工場等*"}))+SUM(SUMIFS(OFFSET(A1_集計2024,$A370,11,1,200),OFFSET(貼付け_2024実績,4,9,1,200),{"県域*","エネルギー管理指定工場等*"}))</f>
        <v>0</v>
      </c>
      <c r="U370" s="1852">
        <f ca="1">SUM(SUMIFS(OFFSET(A1_集計2025,$A370,10,1,200),OFFSET(貼付け_2025実績,4,9,1,200),{"県域*","エネルギー管理指定工場等*"}))+SUM(SUMIFS(OFFSET(A1_集計2025,$A370,11,1,200),OFFSET(貼付け_2025実績,4,9,1,200),{"県域*","エネルギー管理指定工場等*"}))</f>
        <v>0</v>
      </c>
      <c r="V370" s="1852">
        <f ca="1">SUM(SUMIFS(OFFSET(A1_集計2026,$A370,10,1,200),OFFSET(貼付け_2026実績,4,9,1,200),{"県域*","エネルギー管理指定工場等*"}))+SUM(SUMIFS(OFFSET(A1_集計2026,$A370,11,1,200),OFFSET(貼付け_2026実績,4,9,1,200),{"県域*","エネルギー管理指定工場等*"}))</f>
        <v>0</v>
      </c>
      <c r="W370" s="1852">
        <f ca="1">SUM(SUMIFS(OFFSET(A1_集計2027,$A370,10,1,200),OFFSET(貼付け_2027実績,4,9,1,200),{"県域*","エネルギー管理指定工場等*"}))+SUM(SUMIFS(OFFSET(A1_集計2027,$A370,11,1,200),OFFSET(貼付け_2027実績,4,9,1,200),{"県域*","エネルギー管理指定工場等*"}))</f>
        <v>0</v>
      </c>
      <c r="X370" s="1853">
        <f ca="1">SUMIFS(OFFSET(A1_集計2024,$A370,10,1,200),OFFSET(貼付け_2024実績,4,9,1,200),"県域*")+SUMIFS(OFFSET(A1_集計2024,$A370,11,1,200),OFFSET(貼付け_2024実績,4,9,1,200),"県域*")</f>
        <v>0</v>
      </c>
      <c r="Y370" s="1853">
        <f ca="1">SUMIFS(OFFSET(A1_集計2025,$A370,10,1,200),OFFSET(貼付け_2025実績,4,9,1,200),"県域*")+SUMIFS(OFFSET(A1_集計2025,$A370,11,1,200),OFFSET(貼付け_2025実績,4,9,1,200),"県域*")</f>
        <v>0</v>
      </c>
      <c r="Z370" s="1853">
        <f ca="1">SUMIFS(OFFSET(A1_集計2026,$A370,10,1,200),OFFSET(貼付け_2026実績,4,9,1,200),"県域*")+SUMIFS(OFFSET(A1_集計2026,$A370,11,1,200),OFFSET(貼付け_2026実績,4,9,1,200),"県域*")</f>
        <v>0</v>
      </c>
      <c r="AA370" s="1853">
        <f ca="1">SUMIFS(OFFSET(A1_集計2027,$A370,10,1,200),OFFSET(貼付け_2027実績,4,9,1,200),"県域*")+SUMIFS(OFFSET(A1_集計2027,$A370,11,1,200),OFFSET(貼付け_2027実績,4,9,1,200),"県域*")</f>
        <v>0</v>
      </c>
      <c r="AB370" s="1853"/>
      <c r="AC370" s="1853"/>
      <c r="AD370" s="1853"/>
      <c r="AE370" s="1853"/>
      <c r="AF370" s="1853"/>
      <c r="AG370" s="1853"/>
      <c r="AH370" s="1853"/>
      <c r="AI370" s="1853"/>
      <c r="AJ370" s="1853"/>
      <c r="AK370" s="1853"/>
      <c r="AL370" s="1853"/>
      <c r="AM370" s="1853"/>
      <c r="AN370" s="1853"/>
      <c r="AO370" s="1853"/>
      <c r="AP370" s="1853"/>
      <c r="AQ370" s="1853"/>
      <c r="AR370" s="1853"/>
      <c r="AS370" s="1853"/>
      <c r="AT370" s="1853"/>
      <c r="AU370" s="1853"/>
      <c r="AV370" s="1853"/>
      <c r="AW370" s="1853"/>
      <c r="AX370" s="1853"/>
      <c r="AY370" s="1853"/>
      <c r="AZ370" s="1853"/>
      <c r="BA370" s="1853"/>
      <c r="BB370" s="1853"/>
      <c r="BC370" s="1853"/>
      <c r="BD370" s="1853"/>
      <c r="BE370" s="1853"/>
      <c r="BF370" s="1853"/>
      <c r="BG370" s="1853"/>
      <c r="BH370" s="1853"/>
      <c r="BI370" s="1853"/>
      <c r="BJ370" s="1853"/>
      <c r="BK370" s="1853"/>
      <c r="BL370" s="1853"/>
      <c r="BM370" s="1853"/>
      <c r="BN370" s="1853"/>
      <c r="BO370" s="1853"/>
      <c r="BP370" s="1862"/>
    </row>
    <row r="371" spans="1:68" ht="20.100000000000001" customHeight="1">
      <c r="A371" s="1842">
        <v>11</v>
      </c>
      <c r="B371" s="1854"/>
      <c r="C371" s="1847"/>
      <c r="D371" s="1848" t="s">
        <v>954</v>
      </c>
      <c r="E371" s="1856"/>
      <c r="F371" s="1863"/>
      <c r="G371" s="1225" t="s">
        <v>1109</v>
      </c>
      <c r="H371" s="1974"/>
      <c r="I371" s="1974"/>
      <c r="J371" s="1974"/>
      <c r="K371" s="1974"/>
      <c r="L371" s="1852">
        <f ca="1">SUM(SUMIFS(OFFSET(A1_集計2024,$A371,10,1,200),OFFSET(貼付け_2024実績,4,9,1,200),{"横浜*","川崎*","県域*","エネルギー管理指定工場等*"}))+SUM(SUMIFS(OFFSET(A1_集計2024,$A371,11,1,200),OFFSET(貼付け_2024実績,4,9,1,200),{"横浜*","川崎*","県域*","エネルギー管理指定工場等*"}))</f>
        <v>0</v>
      </c>
      <c r="M371" s="1852">
        <f ca="1">SUM(SUMIFS(OFFSET(A1_集計2025,$A371,10,1,200),OFFSET(貼付け_2025実績,4,9,1,200),{"横浜*","川崎*","県域*","エネルギー管理指定工場等*"}))+SUM(SUMIFS(OFFSET(A1_集計2025,$A371,11,1,200),OFFSET(貼付け_2025実績,4,9,1,200),{"横浜*","川崎*","県域*","エネルギー管理指定工場等*"}))</f>
        <v>0</v>
      </c>
      <c r="N371" s="1852">
        <f ca="1">SUM(SUMIFS(OFFSET(A1_集計2026,$A371,10,1,200),OFFSET(貼付け_2026実績,4,9,1,200),{"横浜*","川崎*","県域*","エネルギー管理指定工場等*"}))+SUM(SUMIFS(OFFSET(A1_集計2026,$A371,11,1,200),OFFSET(貼付け_2026実績,4,9,1,200),{"横浜*","川崎*","県域*","エネルギー管理指定工場等*"}))</f>
        <v>0</v>
      </c>
      <c r="O371" s="1852">
        <f ca="1">SUM(SUMIFS(OFFSET(A1_集計2027,$A371,10,1,200),OFFSET(貼付け_2027実績,4,9,1,200),{"横浜*","川崎*","県域*","エネルギー管理指定工場等*"}))+SUM(SUMIFS(OFFSET(A1_集計2027,$A371,11,1,200),OFFSET(貼付け_2027実績,4,9,1,200),{"横浜*","川崎*","県域*","エネルギー管理指定工場等*"}))</f>
        <v>0</v>
      </c>
      <c r="P371" s="1852">
        <f ca="1">SUM(SUMIFS(OFFSET(A1_集計2024,$A371,10,1,200),OFFSET(貼付け_2024実績,4,9,1,200),{"横浜*","川崎*"}))+SUM(SUMIFS(OFFSET(A1_集計2024,$A371,11,1,200),OFFSET(貼付け_2024実績,4,9,1,200),{"横浜*","川崎*"}))</f>
        <v>0</v>
      </c>
      <c r="Q371" s="1852">
        <f ca="1">SUM(SUMIFS(OFFSET(A1_集計2025,$A371,10,1,200),OFFSET(貼付け_2025実績,4,9,1,200),{"横浜*","川崎*"}))+SUM(SUMIFS(OFFSET(A1_集計2025,$A371,11,1,200),OFFSET(貼付け_2025実績,4,9,1,200),{"横浜*","川崎*"}))</f>
        <v>0</v>
      </c>
      <c r="R371" s="1852">
        <f ca="1">SUM(SUMIFS(OFFSET(A1_集計2026,$A371,10,1,200),OFFSET(貼付け_2026実績,4,9,1,200),{"横浜*","川崎*"}))+SUM(SUMIFS(OFFSET(A1_集計2026,$A371,11,1,200),OFFSET(貼付け_2026実績,4,9,1,200),{"横浜*","川崎*"}))</f>
        <v>0</v>
      </c>
      <c r="S371" s="1852">
        <f ca="1">SUM(SUMIFS(OFFSET(A1_集計2027,$A371,10,1,200),OFFSET(貼付け_2027実績,4,9,1,200),{"横浜*","川崎*"}))+SUM(SUMIFS(OFFSET(A1_集計2027,$A371,11,1,200),OFFSET(貼付け_2027実績,4,9,1,200),{"横浜*","川崎*"}))</f>
        <v>0</v>
      </c>
      <c r="T371" s="1852">
        <f ca="1">SUM(SUMIFS(OFFSET(A1_集計2024,$A371,10,1,200),OFFSET(貼付け_2024実績,4,9,1,200),{"県域*","エネルギー管理指定工場等*"}))+SUM(SUMIFS(OFFSET(A1_集計2024,$A371,11,1,200),OFFSET(貼付け_2024実績,4,9,1,200),{"県域*","エネルギー管理指定工場等*"}))</f>
        <v>0</v>
      </c>
      <c r="U371" s="1852">
        <f ca="1">SUM(SUMIFS(OFFSET(A1_集計2025,$A371,10,1,200),OFFSET(貼付け_2025実績,4,9,1,200),{"県域*","エネルギー管理指定工場等*"}))+SUM(SUMIFS(OFFSET(A1_集計2025,$A371,11,1,200),OFFSET(貼付け_2025実績,4,9,1,200),{"県域*","エネルギー管理指定工場等*"}))</f>
        <v>0</v>
      </c>
      <c r="V371" s="1852">
        <f ca="1">SUM(SUMIFS(OFFSET(A1_集計2026,$A371,10,1,200),OFFSET(貼付け_2026実績,4,9,1,200),{"県域*","エネルギー管理指定工場等*"}))+SUM(SUMIFS(OFFSET(A1_集計2026,$A371,11,1,200),OFFSET(貼付け_2026実績,4,9,1,200),{"県域*","エネルギー管理指定工場等*"}))</f>
        <v>0</v>
      </c>
      <c r="W371" s="1852">
        <f ca="1">SUM(SUMIFS(OFFSET(A1_集計2027,$A371,10,1,200),OFFSET(貼付け_2027実績,4,9,1,200),{"県域*","エネルギー管理指定工場等*"}))+SUM(SUMIFS(OFFSET(A1_集計2027,$A371,11,1,200),OFFSET(貼付け_2027実績,4,9,1,200),{"県域*","エネルギー管理指定工場等*"}))</f>
        <v>0</v>
      </c>
      <c r="X371" s="1853">
        <f ca="1">SUMIFS(OFFSET(A1_集計2024,$A371,10,1,200),OFFSET(貼付け_2024実績,4,9,1,200),"県域*")+SUMIFS(OFFSET(A1_集計2024,$A371,11,1,200),OFFSET(貼付け_2024実績,4,9,1,200),"県域*")</f>
        <v>0</v>
      </c>
      <c r="Y371" s="1853">
        <f ca="1">SUMIFS(OFFSET(A1_集計2025,$A371,10,1,200),OFFSET(貼付け_2025実績,4,9,1,200),"県域*")+SUMIFS(OFFSET(A1_集計2025,$A371,11,1,200),OFFSET(貼付け_2025実績,4,9,1,200),"県域*")</f>
        <v>0</v>
      </c>
      <c r="Z371" s="1853">
        <f ca="1">SUMIFS(OFFSET(A1_集計2026,$A371,10,1,200),OFFSET(貼付け_2026実績,4,9,1,200),"県域*")+SUMIFS(OFFSET(A1_集計2026,$A371,11,1,200),OFFSET(貼付け_2026実績,4,9,1,200),"県域*")</f>
        <v>0</v>
      </c>
      <c r="AA371" s="1853">
        <f ca="1">SUMIFS(OFFSET(A1_集計2027,$A371,10,1,200),OFFSET(貼付け_2027実績,4,9,1,200),"県域*")+SUMIFS(OFFSET(A1_集計2027,$A371,11,1,200),OFFSET(貼付け_2027実績,4,9,1,200),"県域*")</f>
        <v>0</v>
      </c>
      <c r="AB371" s="1853"/>
      <c r="AC371" s="1853"/>
      <c r="AD371" s="1853"/>
      <c r="AE371" s="1853"/>
      <c r="AF371" s="1853"/>
      <c r="AG371" s="1853"/>
      <c r="AH371" s="1853"/>
      <c r="AI371" s="1853"/>
      <c r="AJ371" s="1853"/>
      <c r="AK371" s="1853"/>
      <c r="AL371" s="1853"/>
      <c r="AM371" s="1853"/>
      <c r="AN371" s="1853"/>
      <c r="AO371" s="1853"/>
      <c r="AP371" s="1853"/>
      <c r="AQ371" s="1853"/>
      <c r="AR371" s="1853"/>
      <c r="AS371" s="1853"/>
      <c r="AT371" s="1853"/>
      <c r="AU371" s="1853"/>
      <c r="AV371" s="1853"/>
      <c r="AW371" s="1853"/>
      <c r="AX371" s="1853"/>
      <c r="AY371" s="1853"/>
      <c r="AZ371" s="1853"/>
      <c r="BA371" s="1853"/>
      <c r="BB371" s="1853"/>
      <c r="BC371" s="1853"/>
      <c r="BD371" s="1853"/>
      <c r="BE371" s="1853"/>
      <c r="BF371" s="1853"/>
      <c r="BG371" s="1853"/>
      <c r="BH371" s="1853"/>
      <c r="BI371" s="1853"/>
      <c r="BJ371" s="1853"/>
      <c r="BK371" s="1853"/>
      <c r="BL371" s="1853"/>
      <c r="BM371" s="1853"/>
      <c r="BN371" s="1853"/>
      <c r="BO371" s="1853"/>
      <c r="BP371" s="1862"/>
    </row>
    <row r="372" spans="1:68" ht="20.100000000000001" customHeight="1">
      <c r="A372" s="1845">
        <v>13</v>
      </c>
      <c r="B372" s="1854"/>
      <c r="C372" s="1847"/>
      <c r="D372" s="1848" t="s">
        <v>955</v>
      </c>
      <c r="E372" s="1856"/>
      <c r="F372" s="1863"/>
      <c r="G372" s="1225" t="s">
        <v>1109</v>
      </c>
      <c r="H372" s="1974"/>
      <c r="I372" s="1974"/>
      <c r="J372" s="1974"/>
      <c r="K372" s="1974"/>
      <c r="L372" s="1852">
        <f ca="1">SUM(SUMIFS(OFFSET(A1_集計2024,$A372,10,1,200),OFFSET(貼付け_2024実績,4,9,1,200),{"横浜*","川崎*","県域*","エネルギー管理指定工場等*"}))+SUM(SUMIFS(OFFSET(A1_集計2024,$A372,11,1,200),OFFSET(貼付け_2024実績,4,9,1,200),{"横浜*","川崎*","県域*","エネルギー管理指定工場等*"}))</f>
        <v>0</v>
      </c>
      <c r="M372" s="1852">
        <f ca="1">SUM(SUMIFS(OFFSET(A1_集計2025,$A372,10,1,200),OFFSET(貼付け_2025実績,4,9,1,200),{"横浜*","川崎*","県域*","エネルギー管理指定工場等*"}))+SUM(SUMIFS(OFFSET(A1_集計2025,$A372,11,1,200),OFFSET(貼付け_2025実績,4,9,1,200),{"横浜*","川崎*","県域*","エネルギー管理指定工場等*"}))</f>
        <v>0</v>
      </c>
      <c r="N372" s="1852">
        <f ca="1">SUM(SUMIFS(OFFSET(A1_集計2026,$A372,10,1,200),OFFSET(貼付け_2026実績,4,9,1,200),{"横浜*","川崎*","県域*","エネルギー管理指定工場等*"}))+SUM(SUMIFS(OFFSET(A1_集計2026,$A372,11,1,200),OFFSET(貼付け_2026実績,4,9,1,200),{"横浜*","川崎*","県域*","エネルギー管理指定工場等*"}))</f>
        <v>0</v>
      </c>
      <c r="O372" s="1852">
        <f ca="1">SUM(SUMIFS(OFFSET(A1_集計2027,$A372,10,1,200),OFFSET(貼付け_2027実績,4,9,1,200),{"横浜*","川崎*","県域*","エネルギー管理指定工場等*"}))+SUM(SUMIFS(OFFSET(A1_集計2027,$A372,11,1,200),OFFSET(貼付け_2027実績,4,9,1,200),{"横浜*","川崎*","県域*","エネルギー管理指定工場等*"}))</f>
        <v>0</v>
      </c>
      <c r="P372" s="1852">
        <f ca="1">SUM(SUMIFS(OFFSET(A1_集計2024,$A372,10,1,200),OFFSET(貼付け_2024実績,4,9,1,200),{"横浜*","川崎*"}))+SUM(SUMIFS(OFFSET(A1_集計2024,$A372,11,1,200),OFFSET(貼付け_2024実績,4,9,1,200),{"横浜*","川崎*"}))</f>
        <v>0</v>
      </c>
      <c r="Q372" s="1852">
        <f ca="1">SUM(SUMIFS(OFFSET(A1_集計2025,$A372,10,1,200),OFFSET(貼付け_2025実績,4,9,1,200),{"横浜*","川崎*"}))+SUM(SUMIFS(OFFSET(A1_集計2025,$A372,11,1,200),OFFSET(貼付け_2025実績,4,9,1,200),{"横浜*","川崎*"}))</f>
        <v>0</v>
      </c>
      <c r="R372" s="1852">
        <f ca="1">SUM(SUMIFS(OFFSET(A1_集計2026,$A372,10,1,200),OFFSET(貼付け_2026実績,4,9,1,200),{"横浜*","川崎*"}))+SUM(SUMIFS(OFFSET(A1_集計2026,$A372,11,1,200),OFFSET(貼付け_2026実績,4,9,1,200),{"横浜*","川崎*"}))</f>
        <v>0</v>
      </c>
      <c r="S372" s="1852">
        <f ca="1">SUM(SUMIFS(OFFSET(A1_集計2027,$A372,10,1,200),OFFSET(貼付け_2027実績,4,9,1,200),{"横浜*","川崎*"}))+SUM(SUMIFS(OFFSET(A1_集計2027,$A372,11,1,200),OFFSET(貼付け_2027実績,4,9,1,200),{"横浜*","川崎*"}))</f>
        <v>0</v>
      </c>
      <c r="T372" s="1852">
        <f ca="1">SUM(SUMIFS(OFFSET(A1_集計2024,$A372,10,1,200),OFFSET(貼付け_2024実績,4,9,1,200),{"県域*","エネルギー管理指定工場等*"}))+SUM(SUMIFS(OFFSET(A1_集計2024,$A372,11,1,200),OFFSET(貼付け_2024実績,4,9,1,200),{"県域*","エネルギー管理指定工場等*"}))</f>
        <v>0</v>
      </c>
      <c r="U372" s="1852">
        <f ca="1">SUM(SUMIFS(OFFSET(A1_集計2025,$A372,10,1,200),OFFSET(貼付け_2025実績,4,9,1,200),{"県域*","エネルギー管理指定工場等*"}))+SUM(SUMIFS(OFFSET(A1_集計2025,$A372,11,1,200),OFFSET(貼付け_2025実績,4,9,1,200),{"県域*","エネルギー管理指定工場等*"}))</f>
        <v>0</v>
      </c>
      <c r="V372" s="1852">
        <f ca="1">SUM(SUMIFS(OFFSET(A1_集計2026,$A372,10,1,200),OFFSET(貼付け_2026実績,4,9,1,200),{"県域*","エネルギー管理指定工場等*"}))+SUM(SUMIFS(OFFSET(A1_集計2026,$A372,11,1,200),OFFSET(貼付け_2026実績,4,9,1,200),{"県域*","エネルギー管理指定工場等*"}))</f>
        <v>0</v>
      </c>
      <c r="W372" s="1852">
        <f ca="1">SUM(SUMIFS(OFFSET(A1_集計2027,$A372,10,1,200),OFFSET(貼付け_2027実績,4,9,1,200),{"県域*","エネルギー管理指定工場等*"}))+SUM(SUMIFS(OFFSET(A1_集計2027,$A372,11,1,200),OFFSET(貼付け_2027実績,4,9,1,200),{"県域*","エネルギー管理指定工場等*"}))</f>
        <v>0</v>
      </c>
      <c r="X372" s="1853">
        <f ca="1">SUMIFS(OFFSET(A1_集計2024,$A372,10,1,200),OFFSET(貼付け_2024実績,4,9,1,200),"県域*")+SUMIFS(OFFSET(A1_集計2024,$A372,11,1,200),OFFSET(貼付け_2024実績,4,9,1,200),"県域*")</f>
        <v>0</v>
      </c>
      <c r="Y372" s="1853">
        <f ca="1">SUMIFS(OFFSET(A1_集計2025,$A372,10,1,200),OFFSET(貼付け_2025実績,4,9,1,200),"県域*")+SUMIFS(OFFSET(A1_集計2025,$A372,11,1,200),OFFSET(貼付け_2025実績,4,9,1,200),"県域*")</f>
        <v>0</v>
      </c>
      <c r="Z372" s="1853">
        <f ca="1">SUMIFS(OFFSET(A1_集計2026,$A372,10,1,200),OFFSET(貼付け_2026実績,4,9,1,200),"県域*")+SUMIFS(OFFSET(A1_集計2026,$A372,11,1,200),OFFSET(貼付け_2026実績,4,9,1,200),"県域*")</f>
        <v>0</v>
      </c>
      <c r="AA372" s="1853">
        <f ca="1">SUMIFS(OFFSET(A1_集計2027,$A372,10,1,200),OFFSET(貼付け_2027実績,4,9,1,200),"県域*")+SUMIFS(OFFSET(A1_集計2027,$A372,11,1,200),OFFSET(貼付け_2027実績,4,9,1,200),"県域*")</f>
        <v>0</v>
      </c>
      <c r="AB372" s="1853"/>
      <c r="AC372" s="1853"/>
      <c r="AD372" s="1853"/>
      <c r="AE372" s="1853"/>
      <c r="AF372" s="1853"/>
      <c r="AG372" s="1853"/>
      <c r="AH372" s="1853"/>
      <c r="AI372" s="1853"/>
      <c r="AJ372" s="1853"/>
      <c r="AK372" s="1853"/>
      <c r="AL372" s="1853"/>
      <c r="AM372" s="1853"/>
      <c r="AN372" s="1853"/>
      <c r="AO372" s="1853"/>
      <c r="AP372" s="1853"/>
      <c r="AQ372" s="1853"/>
      <c r="AR372" s="1853"/>
      <c r="AS372" s="1853"/>
      <c r="AT372" s="1853"/>
      <c r="AU372" s="1853"/>
      <c r="AV372" s="1853"/>
      <c r="AW372" s="1853"/>
      <c r="AX372" s="1853"/>
      <c r="AY372" s="1853"/>
      <c r="AZ372" s="1853"/>
      <c r="BA372" s="1853"/>
      <c r="BB372" s="1853"/>
      <c r="BC372" s="1853"/>
      <c r="BD372" s="1853"/>
      <c r="BE372" s="1853"/>
      <c r="BF372" s="1853"/>
      <c r="BG372" s="1853"/>
      <c r="BH372" s="1853"/>
      <c r="BI372" s="1853"/>
      <c r="BJ372" s="1853"/>
      <c r="BK372" s="1853"/>
      <c r="BL372" s="1853"/>
      <c r="BM372" s="1853"/>
      <c r="BN372" s="1853"/>
      <c r="BO372" s="1853"/>
      <c r="BP372" s="1862"/>
    </row>
    <row r="373" spans="1:68" ht="20.100000000000001" customHeight="1">
      <c r="A373" s="1842">
        <v>64</v>
      </c>
      <c r="B373" s="1854"/>
      <c r="C373" s="1847"/>
      <c r="D373" s="1864" t="s">
        <v>956</v>
      </c>
      <c r="E373" s="1858" t="str">
        <f ca="1">E60</f>
        <v/>
      </c>
      <c r="F373" s="1860"/>
      <c r="G373" s="1225" t="s">
        <v>1109</v>
      </c>
      <c r="H373" s="1850">
        <f ca="1">IFERROR(OFFSET(貼付け_2024実績,$A373,6),"")</f>
        <v>0</v>
      </c>
      <c r="I373" s="1850">
        <f ca="1">IFERROR(OFFSET(貼付け_2025実績,$A373,6),"")</f>
        <v>0</v>
      </c>
      <c r="J373" s="1850">
        <f ca="1">IFERROR(OFFSET(貼付け_2026実績,$A373,6),"")</f>
        <v>0</v>
      </c>
      <c r="K373" s="1850">
        <f ca="1">IFERROR(OFFSET(貼付け_2027実績,$A373,6),"")</f>
        <v>0</v>
      </c>
      <c r="L373" s="1851">
        <f ca="1">IFERROR($H373*(参考2_エネ使用量経年!L223+参考2_エネ使用量経年!L310),"")</f>
        <v>0</v>
      </c>
      <c r="M373" s="1851">
        <f ca="1">IFERROR($I373*(参考2_エネ使用量経年!M223+参考2_エネ使用量経年!M310),"")</f>
        <v>0</v>
      </c>
      <c r="N373" s="1851">
        <f ca="1">IFERROR($J373*(参考2_エネ使用量経年!N223+参考2_エネ使用量経年!N310),"")</f>
        <v>0</v>
      </c>
      <c r="O373" s="1851">
        <f ca="1">IFERROR($K373*(参考2_エネ使用量経年!O223+参考2_エネ使用量経年!O310),"")</f>
        <v>0</v>
      </c>
      <c r="P373" s="1852">
        <f ca="1">IFERROR($H373*(参考2_エネ使用量経年!P223+参考2_エネ使用量経年!P310),"")</f>
        <v>0</v>
      </c>
      <c r="Q373" s="1852">
        <f ca="1">IFERROR($I373*(参考2_エネ使用量経年!Q223+参考2_エネ使用量経年!Q310),"")</f>
        <v>0</v>
      </c>
      <c r="R373" s="1852">
        <f ca="1">IFERROR($J373*(参考2_エネ使用量経年!R223+参考2_エネ使用量経年!R310),"")</f>
        <v>0</v>
      </c>
      <c r="S373" s="1852">
        <f ca="1">IFERROR($K373*(参考2_エネ使用量経年!S223+参考2_エネ使用量経年!S310),"")</f>
        <v>0</v>
      </c>
      <c r="T373" s="1851">
        <f ca="1">IFERROR($H373*(参考2_エネ使用量経年!T223+参考2_エネ使用量経年!T310),"")</f>
        <v>0</v>
      </c>
      <c r="U373" s="1851">
        <f ca="1">IFERROR($I373*(参考2_エネ使用量経年!U223+参考2_エネ使用量経年!U310),"")</f>
        <v>0</v>
      </c>
      <c r="V373" s="1851">
        <f ca="1">IFERROR($J373*(参考2_エネ使用量経年!V223+参考2_エネ使用量経年!V310),"")</f>
        <v>0</v>
      </c>
      <c r="W373" s="1851">
        <f ca="1">IFERROR($K373*(参考2_エネ使用量経年!W223+参考2_エネ使用量経年!W310),"")</f>
        <v>0</v>
      </c>
      <c r="X373" s="1853">
        <f ca="1">IFERROR($H373*(参考2_エネ使用量経年!X223+参考2_エネ使用量経年!X310),"")</f>
        <v>0</v>
      </c>
      <c r="Y373" s="1853">
        <f ca="1">IFERROR($I373*(参考2_エネ使用量経年!Y223+参考2_エネ使用量経年!Y310),"")</f>
        <v>0</v>
      </c>
      <c r="Z373" s="1853">
        <f ca="1">IFERROR($J373*(参考2_エネ使用量経年!Z223+参考2_エネ使用量経年!Z310),"")</f>
        <v>0</v>
      </c>
      <c r="AA373" s="1853">
        <f ca="1">IFERROR($K373*(参考2_エネ使用量経年!AA223+参考2_エネ使用量経年!AA310),"")</f>
        <v>0</v>
      </c>
      <c r="AB373" s="1853"/>
      <c r="AC373" s="1853"/>
      <c r="AD373" s="1853"/>
      <c r="AE373" s="1853"/>
      <c r="AF373" s="1853"/>
      <c r="AG373" s="1853"/>
      <c r="AH373" s="1853"/>
      <c r="AI373" s="1853"/>
      <c r="AJ373" s="1853"/>
      <c r="AK373" s="1853"/>
      <c r="AL373" s="1853"/>
      <c r="AM373" s="1853"/>
      <c r="AN373" s="1853"/>
      <c r="AO373" s="1853"/>
      <c r="AP373" s="1853"/>
      <c r="AQ373" s="1853"/>
      <c r="AR373" s="1853"/>
      <c r="AS373" s="1853"/>
      <c r="AT373" s="1853"/>
      <c r="AU373" s="1853"/>
      <c r="AV373" s="1853"/>
      <c r="AW373" s="1853"/>
      <c r="AX373" s="1853"/>
      <c r="AY373" s="1853"/>
      <c r="AZ373" s="1853"/>
      <c r="BA373" s="1853"/>
      <c r="BB373" s="1853"/>
      <c r="BC373" s="1853"/>
      <c r="BD373" s="1853"/>
      <c r="BE373" s="1853"/>
      <c r="BF373" s="1853"/>
      <c r="BG373" s="1853"/>
      <c r="BH373" s="1853"/>
      <c r="BI373" s="1853"/>
      <c r="BJ373" s="1853"/>
      <c r="BK373" s="1853"/>
      <c r="BL373" s="1853"/>
      <c r="BM373" s="1853"/>
      <c r="BN373" s="1853"/>
      <c r="BO373" s="1853"/>
      <c r="BP373" s="1862"/>
    </row>
    <row r="374" spans="1:68" ht="20.100000000000001" customHeight="1">
      <c r="A374" s="1845"/>
      <c r="B374" s="1854"/>
      <c r="C374" s="1847" t="s">
        <v>957</v>
      </c>
      <c r="D374" s="1975" t="s">
        <v>958</v>
      </c>
      <c r="E374" s="1848"/>
      <c r="F374" s="1863"/>
      <c r="G374" s="1225" t="s">
        <v>1109</v>
      </c>
      <c r="H374" s="1974"/>
      <c r="I374" s="1974"/>
      <c r="J374" s="1974"/>
      <c r="K374" s="1974"/>
      <c r="L374" s="1851">
        <f ca="1">IFERROR($H374*(参考2_エネ使用量経年!L224+参考2_エネ使用量経年!L311),"")</f>
        <v>0</v>
      </c>
      <c r="M374" s="1851">
        <f ca="1">IFERROR($I374*(参考2_エネ使用量経年!M224+参考2_エネ使用量経年!M311),"")</f>
        <v>0</v>
      </c>
      <c r="N374" s="1851">
        <f ca="1">IFERROR($J374*(参考2_エネ使用量経年!N224+参考2_エネ使用量経年!N311),"")</f>
        <v>0</v>
      </c>
      <c r="O374" s="1851">
        <f ca="1">IFERROR($K374*(参考2_エネ使用量経年!O224+参考2_エネ使用量経年!O311),"")</f>
        <v>0</v>
      </c>
      <c r="P374" s="1852">
        <f ca="1">IFERROR($H374*(参考2_エネ使用量経年!P224+参考2_エネ使用量経年!P311),"")</f>
        <v>0</v>
      </c>
      <c r="Q374" s="1852">
        <f ca="1">IFERROR($I374*(参考2_エネ使用量経年!Q224+参考2_エネ使用量経年!Q311),"")</f>
        <v>0</v>
      </c>
      <c r="R374" s="1852">
        <f ca="1">IFERROR($J374*(参考2_エネ使用量経年!R224+参考2_エネ使用量経年!R311),"")</f>
        <v>0</v>
      </c>
      <c r="S374" s="1852">
        <f ca="1">IFERROR($K374*(参考2_エネ使用量経年!S224+参考2_エネ使用量経年!S311),"")</f>
        <v>0</v>
      </c>
      <c r="T374" s="1851">
        <f ca="1">IFERROR($H374*(参考2_エネ使用量経年!T224+参考2_エネ使用量経年!T311),"")</f>
        <v>0</v>
      </c>
      <c r="U374" s="1851">
        <f ca="1">IFERROR($I374*(参考2_エネ使用量経年!U224+参考2_エネ使用量経年!U311),"")</f>
        <v>0</v>
      </c>
      <c r="V374" s="1851">
        <f ca="1">IFERROR($J374*(参考2_エネ使用量経年!V224+参考2_エネ使用量経年!V311),"")</f>
        <v>0</v>
      </c>
      <c r="W374" s="1851">
        <f ca="1">IFERROR($K374*(参考2_エネ使用量経年!W224+参考2_エネ使用量経年!W311),"")</f>
        <v>0</v>
      </c>
      <c r="X374" s="1853">
        <f ca="1">IFERROR($H374*(参考2_エネ使用量経年!X224+参考2_エネ使用量経年!X311),"")</f>
        <v>0</v>
      </c>
      <c r="Y374" s="1853">
        <f ca="1">IFERROR($I374*(参考2_エネ使用量経年!Y224+参考2_エネ使用量経年!Y311),"")</f>
        <v>0</v>
      </c>
      <c r="Z374" s="1853">
        <f ca="1">IFERROR($J374*(参考2_エネ使用量経年!Z224+参考2_エネ使用量経年!Z311),"")</f>
        <v>0</v>
      </c>
      <c r="AA374" s="1853">
        <f ca="1">IFERROR($K374*(参考2_エネ使用量経年!AA224+参考2_エネ使用量経年!AA311),"")</f>
        <v>0</v>
      </c>
      <c r="AB374" s="1853"/>
      <c r="AC374" s="1853"/>
      <c r="AD374" s="1853"/>
      <c r="AE374" s="1853"/>
      <c r="AF374" s="1853"/>
      <c r="AG374" s="1853"/>
      <c r="AH374" s="1853"/>
      <c r="AI374" s="1853"/>
      <c r="AJ374" s="1853"/>
      <c r="AK374" s="1853"/>
      <c r="AL374" s="1853"/>
      <c r="AM374" s="1853"/>
      <c r="AN374" s="1853"/>
      <c r="AO374" s="1853"/>
      <c r="AP374" s="1853"/>
      <c r="AQ374" s="1853"/>
      <c r="AR374" s="1853"/>
      <c r="AS374" s="1853"/>
      <c r="AT374" s="1853"/>
      <c r="AU374" s="1853"/>
      <c r="AV374" s="1853"/>
      <c r="AW374" s="1853"/>
      <c r="AX374" s="1853"/>
      <c r="AY374" s="1853"/>
      <c r="AZ374" s="1853"/>
      <c r="BA374" s="1853"/>
      <c r="BB374" s="1853"/>
      <c r="BC374" s="1853"/>
      <c r="BD374" s="1853"/>
      <c r="BE374" s="1853"/>
      <c r="BF374" s="1853"/>
      <c r="BG374" s="1853"/>
      <c r="BH374" s="1853"/>
      <c r="BI374" s="1853"/>
      <c r="BJ374" s="1853"/>
      <c r="BK374" s="1853"/>
      <c r="BL374" s="1853"/>
      <c r="BM374" s="1853"/>
      <c r="BN374" s="1853"/>
      <c r="BO374" s="1853"/>
      <c r="BP374" s="1862"/>
    </row>
    <row r="375" spans="1:68" ht="20.100000000000001" customHeight="1">
      <c r="A375" s="1842"/>
      <c r="B375" s="1854"/>
      <c r="C375" s="1847"/>
      <c r="D375" s="1975" t="s">
        <v>959</v>
      </c>
      <c r="E375" s="1848"/>
      <c r="F375" s="1863"/>
      <c r="G375" s="1225" t="s">
        <v>1109</v>
      </c>
      <c r="H375" s="1974"/>
      <c r="I375" s="1974"/>
      <c r="J375" s="1974"/>
      <c r="K375" s="1974"/>
      <c r="L375" s="1851">
        <f ca="1">IFERROR($H375*(参考2_エネ使用量経年!L225+参考2_エネ使用量経年!L312),"")</f>
        <v>0</v>
      </c>
      <c r="M375" s="1851">
        <f ca="1">IFERROR($I375*(参考2_エネ使用量経年!M225+参考2_エネ使用量経年!M312),"")</f>
        <v>0</v>
      </c>
      <c r="N375" s="1851">
        <f ca="1">IFERROR($J375*(参考2_エネ使用量経年!N225+参考2_エネ使用量経年!N312),"")</f>
        <v>0</v>
      </c>
      <c r="O375" s="1851">
        <f ca="1">IFERROR($K375*(参考2_エネ使用量経年!O225+参考2_エネ使用量経年!O312),"")</f>
        <v>0</v>
      </c>
      <c r="P375" s="1852">
        <f ca="1">IFERROR($H375*(参考2_エネ使用量経年!P225+参考2_エネ使用量経年!P312),"")</f>
        <v>0</v>
      </c>
      <c r="Q375" s="1852">
        <f ca="1">IFERROR($I375*(参考2_エネ使用量経年!Q225+参考2_エネ使用量経年!Q312),"")</f>
        <v>0</v>
      </c>
      <c r="R375" s="1852">
        <f ca="1">IFERROR($J375*(参考2_エネ使用量経年!R225+参考2_エネ使用量経年!R312),"")</f>
        <v>0</v>
      </c>
      <c r="S375" s="1852">
        <f ca="1">IFERROR($K375*(参考2_エネ使用量経年!S225+参考2_エネ使用量経年!S312),"")</f>
        <v>0</v>
      </c>
      <c r="T375" s="1851">
        <f ca="1">IFERROR($H375*(参考2_エネ使用量経年!T225+参考2_エネ使用量経年!T312),"")</f>
        <v>0</v>
      </c>
      <c r="U375" s="1851">
        <f ca="1">IFERROR($I375*(参考2_エネ使用量経年!U225+参考2_エネ使用量経年!U312),"")</f>
        <v>0</v>
      </c>
      <c r="V375" s="1851">
        <f ca="1">IFERROR($J375*(参考2_エネ使用量経年!V225+参考2_エネ使用量経年!V312),"")</f>
        <v>0</v>
      </c>
      <c r="W375" s="1851">
        <f ca="1">IFERROR($K375*(参考2_エネ使用量経年!W225+参考2_エネ使用量経年!W312),"")</f>
        <v>0</v>
      </c>
      <c r="X375" s="1853">
        <f ca="1">IFERROR($H375*(参考2_エネ使用量経年!X225+参考2_エネ使用量経年!X312),"")</f>
        <v>0</v>
      </c>
      <c r="Y375" s="1853">
        <f ca="1">IFERROR($I375*(参考2_エネ使用量経年!Y225+参考2_エネ使用量経年!Y312),"")</f>
        <v>0</v>
      </c>
      <c r="Z375" s="1853">
        <f ca="1">IFERROR($J375*(参考2_エネ使用量経年!Z225+参考2_エネ使用量経年!Z312),"")</f>
        <v>0</v>
      </c>
      <c r="AA375" s="1853">
        <f ca="1">IFERROR($K375*(参考2_エネ使用量経年!AA225+参考2_エネ使用量経年!AA312),"")</f>
        <v>0</v>
      </c>
      <c r="AB375" s="1853"/>
      <c r="AC375" s="1853"/>
      <c r="AD375" s="1853"/>
      <c r="AE375" s="1853"/>
      <c r="AF375" s="1853"/>
      <c r="AG375" s="1853"/>
      <c r="AH375" s="1853"/>
      <c r="AI375" s="1853"/>
      <c r="AJ375" s="1853"/>
      <c r="AK375" s="1853"/>
      <c r="AL375" s="1853"/>
      <c r="AM375" s="1853"/>
      <c r="AN375" s="1853"/>
      <c r="AO375" s="1853"/>
      <c r="AP375" s="1853"/>
      <c r="AQ375" s="1853"/>
      <c r="AR375" s="1853"/>
      <c r="AS375" s="1853"/>
      <c r="AT375" s="1853"/>
      <c r="AU375" s="1853"/>
      <c r="AV375" s="1853"/>
      <c r="AW375" s="1853"/>
      <c r="AX375" s="1853"/>
      <c r="AY375" s="1853"/>
      <c r="AZ375" s="1853"/>
      <c r="BA375" s="1853"/>
      <c r="BB375" s="1853"/>
      <c r="BC375" s="1853"/>
      <c r="BD375" s="1853"/>
      <c r="BE375" s="1853"/>
      <c r="BF375" s="1853"/>
      <c r="BG375" s="1853"/>
      <c r="BH375" s="1853"/>
      <c r="BI375" s="1853"/>
      <c r="BJ375" s="1853"/>
      <c r="BK375" s="1853"/>
      <c r="BL375" s="1853"/>
      <c r="BM375" s="1853"/>
      <c r="BN375" s="1853"/>
      <c r="BO375" s="1853"/>
      <c r="BP375" s="1862"/>
    </row>
    <row r="376" spans="1:68" ht="20.100000000000001" customHeight="1">
      <c r="A376" s="1845"/>
      <c r="B376" s="1854"/>
      <c r="C376" s="1847"/>
      <c r="D376" s="1975" t="s">
        <v>960</v>
      </c>
      <c r="E376" s="1848"/>
      <c r="F376" s="1863"/>
      <c r="G376" s="1225" t="s">
        <v>1109</v>
      </c>
      <c r="H376" s="1974"/>
      <c r="I376" s="1974"/>
      <c r="J376" s="1974"/>
      <c r="K376" s="1974"/>
      <c r="L376" s="1851">
        <f ca="1">IFERROR($H376*(参考2_エネ使用量経年!L226+参考2_エネ使用量経年!L313),"")</f>
        <v>0</v>
      </c>
      <c r="M376" s="1851">
        <f ca="1">IFERROR($I376*(参考2_エネ使用量経年!M226+参考2_エネ使用量経年!M313),"")</f>
        <v>0</v>
      </c>
      <c r="N376" s="1851">
        <f ca="1">IFERROR($J376*(参考2_エネ使用量経年!N226+参考2_エネ使用量経年!N313),"")</f>
        <v>0</v>
      </c>
      <c r="O376" s="1851">
        <f ca="1">IFERROR($K376*(参考2_エネ使用量経年!O226+参考2_エネ使用量経年!O313),"")</f>
        <v>0</v>
      </c>
      <c r="P376" s="1852">
        <f ca="1">IFERROR($H376*(参考2_エネ使用量経年!P226+参考2_エネ使用量経年!P313),"")</f>
        <v>0</v>
      </c>
      <c r="Q376" s="1852">
        <f ca="1">IFERROR($I376*(参考2_エネ使用量経年!Q226+参考2_エネ使用量経年!Q313),"")</f>
        <v>0</v>
      </c>
      <c r="R376" s="1852">
        <f ca="1">IFERROR($J376*(参考2_エネ使用量経年!R226+参考2_エネ使用量経年!R313),"")</f>
        <v>0</v>
      </c>
      <c r="S376" s="1852">
        <f ca="1">IFERROR($K376*(参考2_エネ使用量経年!S226+参考2_エネ使用量経年!S313),"")</f>
        <v>0</v>
      </c>
      <c r="T376" s="1851">
        <f ca="1">IFERROR($H376*(参考2_エネ使用量経年!T226+参考2_エネ使用量経年!T313),"")</f>
        <v>0</v>
      </c>
      <c r="U376" s="1851">
        <f ca="1">IFERROR($I376*(参考2_エネ使用量経年!U226+参考2_エネ使用量経年!U313),"")</f>
        <v>0</v>
      </c>
      <c r="V376" s="1851">
        <f ca="1">IFERROR($J376*(参考2_エネ使用量経年!V226+参考2_エネ使用量経年!V313),"")</f>
        <v>0</v>
      </c>
      <c r="W376" s="1851">
        <f ca="1">IFERROR($K376*(参考2_エネ使用量経年!W226+参考2_エネ使用量経年!W313),"")</f>
        <v>0</v>
      </c>
      <c r="X376" s="1853">
        <f ca="1">IFERROR($H376*(参考2_エネ使用量経年!X226+参考2_エネ使用量経年!X313),"")</f>
        <v>0</v>
      </c>
      <c r="Y376" s="1853">
        <f ca="1">IFERROR($I376*(参考2_エネ使用量経年!Y226+参考2_エネ使用量経年!Y313),"")</f>
        <v>0</v>
      </c>
      <c r="Z376" s="1853">
        <f ca="1">IFERROR($J376*(参考2_エネ使用量経年!Z226+参考2_エネ使用量経年!Z313),"")</f>
        <v>0</v>
      </c>
      <c r="AA376" s="1853">
        <f ca="1">IFERROR($K376*(参考2_エネ使用量経年!AA226+参考2_エネ使用量経年!AA313),"")</f>
        <v>0</v>
      </c>
      <c r="AB376" s="1853"/>
      <c r="AC376" s="1853"/>
      <c r="AD376" s="1853"/>
      <c r="AE376" s="1853"/>
      <c r="AF376" s="1853"/>
      <c r="AG376" s="1853"/>
      <c r="AH376" s="1853"/>
      <c r="AI376" s="1853"/>
      <c r="AJ376" s="1853"/>
      <c r="AK376" s="1853"/>
      <c r="AL376" s="1853"/>
      <c r="AM376" s="1853"/>
      <c r="AN376" s="1853"/>
      <c r="AO376" s="1853"/>
      <c r="AP376" s="1853"/>
      <c r="AQ376" s="1853"/>
      <c r="AR376" s="1853"/>
      <c r="AS376" s="1853"/>
      <c r="AT376" s="1853"/>
      <c r="AU376" s="1853"/>
      <c r="AV376" s="1853"/>
      <c r="AW376" s="1853"/>
      <c r="AX376" s="1853"/>
      <c r="AY376" s="1853"/>
      <c r="AZ376" s="1853"/>
      <c r="BA376" s="1853"/>
      <c r="BB376" s="1853"/>
      <c r="BC376" s="1853"/>
      <c r="BD376" s="1853"/>
      <c r="BE376" s="1853"/>
      <c r="BF376" s="1853"/>
      <c r="BG376" s="1853"/>
      <c r="BH376" s="1853"/>
      <c r="BI376" s="1853"/>
      <c r="BJ376" s="1853"/>
      <c r="BK376" s="1853"/>
      <c r="BL376" s="1853"/>
      <c r="BM376" s="1853"/>
      <c r="BN376" s="1853"/>
      <c r="BO376" s="1853"/>
      <c r="BP376" s="1862"/>
    </row>
    <row r="377" spans="1:68" ht="20.100000000000001" customHeight="1">
      <c r="A377" s="1842"/>
      <c r="B377" s="1854"/>
      <c r="C377" s="1847"/>
      <c r="D377" s="1975" t="s">
        <v>961</v>
      </c>
      <c r="E377" s="1848"/>
      <c r="F377" s="1863"/>
      <c r="G377" s="1225" t="s">
        <v>1109</v>
      </c>
      <c r="H377" s="1974"/>
      <c r="I377" s="1974"/>
      <c r="J377" s="1974"/>
      <c r="K377" s="1974"/>
      <c r="L377" s="1851">
        <f ca="1">IFERROR($H377*(参考2_エネ使用量経年!L227+参考2_エネ使用量経年!L314),"")</f>
        <v>0</v>
      </c>
      <c r="M377" s="1851">
        <f ca="1">IFERROR($I377*(参考2_エネ使用量経年!M227+参考2_エネ使用量経年!M314),"")</f>
        <v>0</v>
      </c>
      <c r="N377" s="1851">
        <f ca="1">IFERROR($J377*(参考2_エネ使用量経年!N227+参考2_エネ使用量経年!N314),"")</f>
        <v>0</v>
      </c>
      <c r="O377" s="1851">
        <f ca="1">IFERROR($K377*(参考2_エネ使用量経年!O227+参考2_エネ使用量経年!O314),"")</f>
        <v>0</v>
      </c>
      <c r="P377" s="1852">
        <f ca="1">IFERROR($H377*(参考2_エネ使用量経年!P227+参考2_エネ使用量経年!P314),"")</f>
        <v>0</v>
      </c>
      <c r="Q377" s="1852">
        <f ca="1">IFERROR($I377*(参考2_エネ使用量経年!Q227+参考2_エネ使用量経年!Q314),"")</f>
        <v>0</v>
      </c>
      <c r="R377" s="1852">
        <f ca="1">IFERROR($J377*(参考2_エネ使用量経年!R227+参考2_エネ使用量経年!R314),"")</f>
        <v>0</v>
      </c>
      <c r="S377" s="1852">
        <f ca="1">IFERROR($K377*(参考2_エネ使用量経年!S227+参考2_エネ使用量経年!S314),"")</f>
        <v>0</v>
      </c>
      <c r="T377" s="1851">
        <f ca="1">IFERROR($H377*(参考2_エネ使用量経年!T227+参考2_エネ使用量経年!T314),"")</f>
        <v>0</v>
      </c>
      <c r="U377" s="1851">
        <f ca="1">IFERROR($I377*(参考2_エネ使用量経年!U227+参考2_エネ使用量経年!U314),"")</f>
        <v>0</v>
      </c>
      <c r="V377" s="1851">
        <f ca="1">IFERROR($J377*(参考2_エネ使用量経年!V227+参考2_エネ使用量経年!V314),"")</f>
        <v>0</v>
      </c>
      <c r="W377" s="1851">
        <f ca="1">IFERROR($K377*(参考2_エネ使用量経年!W227+参考2_エネ使用量経年!W314),"")</f>
        <v>0</v>
      </c>
      <c r="X377" s="1853">
        <f ca="1">IFERROR($H377*(参考2_エネ使用量経年!X227+参考2_エネ使用量経年!X314),"")</f>
        <v>0</v>
      </c>
      <c r="Y377" s="1853">
        <f ca="1">IFERROR($I377*(参考2_エネ使用量経年!Y227+参考2_エネ使用量経年!Y314),"")</f>
        <v>0</v>
      </c>
      <c r="Z377" s="1853">
        <f ca="1">IFERROR($J377*(参考2_エネ使用量経年!Z227+参考2_エネ使用量経年!Z314),"")</f>
        <v>0</v>
      </c>
      <c r="AA377" s="1853">
        <f ca="1">IFERROR($K377*(参考2_エネ使用量経年!AA227+参考2_エネ使用量経年!AA314),"")</f>
        <v>0</v>
      </c>
      <c r="AB377" s="1853"/>
      <c r="AC377" s="1853"/>
      <c r="AD377" s="1853"/>
      <c r="AE377" s="1853"/>
      <c r="AF377" s="1853"/>
      <c r="AG377" s="1853"/>
      <c r="AH377" s="1853"/>
      <c r="AI377" s="1853"/>
      <c r="AJ377" s="1853"/>
      <c r="AK377" s="1853"/>
      <c r="AL377" s="1853"/>
      <c r="AM377" s="1853"/>
      <c r="AN377" s="1853"/>
      <c r="AO377" s="1853"/>
      <c r="AP377" s="1853"/>
      <c r="AQ377" s="1853"/>
      <c r="AR377" s="1853"/>
      <c r="AS377" s="1853"/>
      <c r="AT377" s="1853"/>
      <c r="AU377" s="1853"/>
      <c r="AV377" s="1853"/>
      <c r="AW377" s="1853"/>
      <c r="AX377" s="1853"/>
      <c r="AY377" s="1853"/>
      <c r="AZ377" s="1853"/>
      <c r="BA377" s="1853"/>
      <c r="BB377" s="1853"/>
      <c r="BC377" s="1853"/>
      <c r="BD377" s="1853"/>
      <c r="BE377" s="1853"/>
      <c r="BF377" s="1853"/>
      <c r="BG377" s="1853"/>
      <c r="BH377" s="1853"/>
      <c r="BI377" s="1853"/>
      <c r="BJ377" s="1853"/>
      <c r="BK377" s="1853"/>
      <c r="BL377" s="1853"/>
      <c r="BM377" s="1853"/>
      <c r="BN377" s="1853"/>
      <c r="BO377" s="1853"/>
      <c r="BP377" s="1862"/>
    </row>
    <row r="378" spans="1:68" ht="20.100000000000001" customHeight="1">
      <c r="A378" s="1845">
        <v>70</v>
      </c>
      <c r="B378" s="1854"/>
      <c r="C378" s="1847"/>
      <c r="D378" s="1869" t="s">
        <v>962</v>
      </c>
      <c r="E378" s="1858" t="str">
        <f ca="1">E65</f>
        <v/>
      </c>
      <c r="F378" s="1860"/>
      <c r="G378" s="1225" t="s">
        <v>1109</v>
      </c>
      <c r="H378" s="1850">
        <f ca="1">IFERROR(OFFSET(貼付け_2024実績,$A378,6),"")</f>
        <v>0</v>
      </c>
      <c r="I378" s="1850">
        <f ca="1">IFERROR(OFFSET(貼付け_2025実績,$A378,6),"")</f>
        <v>0</v>
      </c>
      <c r="J378" s="1850">
        <f ca="1">IFERROR(OFFSET(貼付け_2026実績,$A378,6),"")</f>
        <v>0</v>
      </c>
      <c r="K378" s="1850">
        <f ca="1">IFERROR(OFFSET(貼付け_2027実績,$A378,6),"")</f>
        <v>0</v>
      </c>
      <c r="L378" s="1851">
        <f ca="1">IFERROR($H378*(参考2_エネ使用量経年!L228+参考2_エネ使用量経年!L315),"")</f>
        <v>0</v>
      </c>
      <c r="M378" s="1851">
        <f ca="1">IFERROR($I378*(参考2_エネ使用量経年!M228+参考2_エネ使用量経年!M315),"")</f>
        <v>0</v>
      </c>
      <c r="N378" s="1851">
        <f ca="1">IFERROR($J378*(参考2_エネ使用量経年!N228+参考2_エネ使用量経年!N315),"")</f>
        <v>0</v>
      </c>
      <c r="O378" s="1851">
        <f ca="1">IFERROR($K378*(参考2_エネ使用量経年!O228+参考2_エネ使用量経年!O315),"")</f>
        <v>0</v>
      </c>
      <c r="P378" s="1852">
        <f ca="1">IFERROR($H378*(参考2_エネ使用量経年!P228+参考2_エネ使用量経年!P315),"")</f>
        <v>0</v>
      </c>
      <c r="Q378" s="1852">
        <f ca="1">IFERROR($I378*(参考2_エネ使用量経年!Q228+参考2_エネ使用量経年!Q315),"")</f>
        <v>0</v>
      </c>
      <c r="R378" s="1852">
        <f ca="1">IFERROR($J378*(参考2_エネ使用量経年!R228+参考2_エネ使用量経年!R315),"")</f>
        <v>0</v>
      </c>
      <c r="S378" s="1852">
        <f ca="1">IFERROR($K378*(参考2_エネ使用量経年!S228+参考2_エネ使用量経年!S315),"")</f>
        <v>0</v>
      </c>
      <c r="T378" s="1851">
        <f ca="1">IFERROR($H378*(参考2_エネ使用量経年!T228+参考2_エネ使用量経年!T315),"")</f>
        <v>0</v>
      </c>
      <c r="U378" s="1851">
        <f ca="1">IFERROR($I378*(参考2_エネ使用量経年!U228+参考2_エネ使用量経年!U315),"")</f>
        <v>0</v>
      </c>
      <c r="V378" s="1851">
        <f ca="1">IFERROR($J378*(参考2_エネ使用量経年!V228+参考2_エネ使用量経年!V315),"")</f>
        <v>0</v>
      </c>
      <c r="W378" s="1851">
        <f ca="1">IFERROR($K378*(参考2_エネ使用量経年!W228+参考2_エネ使用量経年!W315),"")</f>
        <v>0</v>
      </c>
      <c r="X378" s="1853">
        <f ca="1">IFERROR($H378*(参考2_エネ使用量経年!X228+参考2_エネ使用量経年!X315),"")</f>
        <v>0</v>
      </c>
      <c r="Y378" s="1853">
        <f ca="1">IFERROR($I378*(参考2_エネ使用量経年!Y228+参考2_エネ使用量経年!Y315),"")</f>
        <v>0</v>
      </c>
      <c r="Z378" s="1853">
        <f ca="1">IFERROR($J378*(参考2_エネ使用量経年!Z228+参考2_エネ使用量経年!Z315),"")</f>
        <v>0</v>
      </c>
      <c r="AA378" s="1853">
        <f ca="1">IFERROR($K378*(参考2_エネ使用量経年!AA228+参考2_エネ使用量経年!AA315),"")</f>
        <v>0</v>
      </c>
      <c r="AB378" s="1853"/>
      <c r="AC378" s="1853"/>
      <c r="AD378" s="1853"/>
      <c r="AE378" s="1853"/>
      <c r="AF378" s="1853"/>
      <c r="AG378" s="1853"/>
      <c r="AH378" s="1853"/>
      <c r="AI378" s="1853"/>
      <c r="AJ378" s="1853"/>
      <c r="AK378" s="1853"/>
      <c r="AL378" s="1853"/>
      <c r="AM378" s="1853"/>
      <c r="AN378" s="1853"/>
      <c r="AO378" s="1853"/>
      <c r="AP378" s="1853"/>
      <c r="AQ378" s="1853"/>
      <c r="AR378" s="1853"/>
      <c r="AS378" s="1853"/>
      <c r="AT378" s="1853"/>
      <c r="AU378" s="1853"/>
      <c r="AV378" s="1853"/>
      <c r="AW378" s="1853"/>
      <c r="AX378" s="1853"/>
      <c r="AY378" s="1853"/>
      <c r="AZ378" s="1853"/>
      <c r="BA378" s="1853"/>
      <c r="BB378" s="1853"/>
      <c r="BC378" s="1853"/>
      <c r="BD378" s="1853"/>
      <c r="BE378" s="1853"/>
      <c r="BF378" s="1853"/>
      <c r="BG378" s="1853"/>
      <c r="BH378" s="1853"/>
      <c r="BI378" s="1853"/>
      <c r="BJ378" s="1853"/>
      <c r="BK378" s="1853"/>
      <c r="BL378" s="1853"/>
      <c r="BM378" s="1853"/>
      <c r="BN378" s="1853"/>
      <c r="BO378" s="1853"/>
      <c r="BP378" s="1862"/>
    </row>
    <row r="379" spans="1:68" ht="20.100000000000001" customHeight="1">
      <c r="A379" s="1842">
        <v>71</v>
      </c>
      <c r="B379" s="1854"/>
      <c r="C379" s="1847"/>
      <c r="D379" s="1869" t="s">
        <v>963</v>
      </c>
      <c r="E379" s="1858" t="str">
        <f ca="1">E66</f>
        <v/>
      </c>
      <c r="F379" s="1860"/>
      <c r="G379" s="1225" t="s">
        <v>1109</v>
      </c>
      <c r="H379" s="1850">
        <f ca="1">IFERROR(OFFSET(貼付け_2024実績,$A379,6),"")</f>
        <v>0</v>
      </c>
      <c r="I379" s="1850">
        <f ca="1">IFERROR(OFFSET(貼付け_2025実績,$A379,6),"")</f>
        <v>0</v>
      </c>
      <c r="J379" s="1850">
        <f ca="1">IFERROR(OFFSET(貼付け_2026実績,$A379,6),"")</f>
        <v>0</v>
      </c>
      <c r="K379" s="1850">
        <f ca="1">IFERROR(OFFSET(貼付け_2027実績,$A379,6),"")</f>
        <v>0</v>
      </c>
      <c r="L379" s="1851">
        <f ca="1">IFERROR($H379*(参考2_エネ使用量経年!L229+参考2_エネ使用量経年!L316),"")</f>
        <v>0</v>
      </c>
      <c r="M379" s="1851">
        <f ca="1">IFERROR($I379*(参考2_エネ使用量経年!M229+参考2_エネ使用量経年!M316),"")</f>
        <v>0</v>
      </c>
      <c r="N379" s="1851">
        <f ca="1">IFERROR($J379*(参考2_エネ使用量経年!N229+参考2_エネ使用量経年!N316),"")</f>
        <v>0</v>
      </c>
      <c r="O379" s="1851">
        <f ca="1">IFERROR($K379*(参考2_エネ使用量経年!O229+参考2_エネ使用量経年!O316),"")</f>
        <v>0</v>
      </c>
      <c r="P379" s="1852">
        <f ca="1">IFERROR($H379*(参考2_エネ使用量経年!P229+参考2_エネ使用量経年!P316),"")</f>
        <v>0</v>
      </c>
      <c r="Q379" s="1852">
        <f ca="1">IFERROR($I379*(参考2_エネ使用量経年!Q229+参考2_エネ使用量経年!Q316),"")</f>
        <v>0</v>
      </c>
      <c r="R379" s="1852">
        <f ca="1">IFERROR($J379*(参考2_エネ使用量経年!R229+参考2_エネ使用量経年!R316),"")</f>
        <v>0</v>
      </c>
      <c r="S379" s="1852">
        <f ca="1">IFERROR($K379*(参考2_エネ使用量経年!S229+参考2_エネ使用量経年!S316),"")</f>
        <v>0</v>
      </c>
      <c r="T379" s="1851">
        <f ca="1">IFERROR($H379*(参考2_エネ使用量経年!T229+参考2_エネ使用量経年!T316),"")</f>
        <v>0</v>
      </c>
      <c r="U379" s="1851">
        <f ca="1">IFERROR($I379*(参考2_エネ使用量経年!U229+参考2_エネ使用量経年!U316),"")</f>
        <v>0</v>
      </c>
      <c r="V379" s="1851">
        <f ca="1">IFERROR($J379*(参考2_エネ使用量経年!V229+参考2_エネ使用量経年!V316),"")</f>
        <v>0</v>
      </c>
      <c r="W379" s="1851">
        <f ca="1">IFERROR($K379*(参考2_エネ使用量経年!W229+参考2_エネ使用量経年!W316),"")</f>
        <v>0</v>
      </c>
      <c r="X379" s="1853">
        <f ca="1">IFERROR($H379*(参考2_エネ使用量経年!X229+参考2_エネ使用量経年!X316),"")</f>
        <v>0</v>
      </c>
      <c r="Y379" s="1853">
        <f ca="1">IFERROR($I379*(参考2_エネ使用量経年!Y229+参考2_エネ使用量経年!Y316),"")</f>
        <v>0</v>
      </c>
      <c r="Z379" s="1853">
        <f ca="1">IFERROR($J379*(参考2_エネ使用量経年!Z229+参考2_エネ使用量経年!Z316),"")</f>
        <v>0</v>
      </c>
      <c r="AA379" s="1853">
        <f ca="1">IFERROR($K379*(参考2_エネ使用量経年!AA229+参考2_エネ使用量経年!AA316),"")</f>
        <v>0</v>
      </c>
      <c r="AB379" s="1853"/>
      <c r="AC379" s="1853"/>
      <c r="AD379" s="1853"/>
      <c r="AE379" s="1853"/>
      <c r="AF379" s="1853"/>
      <c r="AG379" s="1853"/>
      <c r="AH379" s="1853"/>
      <c r="AI379" s="1853"/>
      <c r="AJ379" s="1853"/>
      <c r="AK379" s="1853"/>
      <c r="AL379" s="1853"/>
      <c r="AM379" s="1853"/>
      <c r="AN379" s="1853"/>
      <c r="AO379" s="1853"/>
      <c r="AP379" s="1853"/>
      <c r="AQ379" s="1853"/>
      <c r="AR379" s="1853"/>
      <c r="AS379" s="1853"/>
      <c r="AT379" s="1853"/>
      <c r="AU379" s="1853"/>
      <c r="AV379" s="1853"/>
      <c r="AW379" s="1853"/>
      <c r="AX379" s="1853"/>
      <c r="AY379" s="1853"/>
      <c r="AZ379" s="1853"/>
      <c r="BA379" s="1853"/>
      <c r="BB379" s="1853"/>
      <c r="BC379" s="1853"/>
      <c r="BD379" s="1853"/>
      <c r="BE379" s="1853"/>
      <c r="BF379" s="1853"/>
      <c r="BG379" s="1853"/>
      <c r="BH379" s="1853"/>
      <c r="BI379" s="1853"/>
      <c r="BJ379" s="1853"/>
      <c r="BK379" s="1853"/>
      <c r="BL379" s="1853"/>
      <c r="BM379" s="1853"/>
      <c r="BN379" s="1853"/>
      <c r="BO379" s="1853"/>
      <c r="BP379" s="1862"/>
    </row>
    <row r="380" spans="1:68" ht="20.100000000000001" customHeight="1">
      <c r="A380" s="1845"/>
      <c r="B380" s="1846" t="s">
        <v>964</v>
      </c>
      <c r="C380" s="1870" t="s">
        <v>965</v>
      </c>
      <c r="D380" s="1871"/>
      <c r="E380" s="1856"/>
      <c r="F380" s="1863"/>
      <c r="G380" s="1225" t="s">
        <v>1109</v>
      </c>
      <c r="H380" s="1976"/>
      <c r="I380" s="1976"/>
      <c r="J380" s="1976"/>
      <c r="K380" s="1976"/>
      <c r="L380" s="1976"/>
      <c r="M380" s="1976"/>
      <c r="N380" s="1976"/>
      <c r="O380" s="1976"/>
      <c r="P380" s="1976"/>
      <c r="Q380" s="1976"/>
      <c r="R380" s="1976"/>
      <c r="S380" s="1976"/>
      <c r="T380" s="1976"/>
      <c r="U380" s="1976"/>
      <c r="V380" s="1976"/>
      <c r="W380" s="1976"/>
      <c r="X380" s="1977"/>
      <c r="Y380" s="1977"/>
      <c r="Z380" s="1977"/>
      <c r="AA380" s="1977"/>
      <c r="AB380" s="1977"/>
      <c r="AC380" s="1977"/>
      <c r="AD380" s="1977"/>
      <c r="AE380" s="1977"/>
      <c r="AF380" s="1977"/>
      <c r="AG380" s="1977"/>
      <c r="AH380" s="1977"/>
      <c r="AI380" s="1977"/>
      <c r="AJ380" s="1977"/>
      <c r="AK380" s="1977"/>
      <c r="AL380" s="1977"/>
      <c r="AM380" s="1977"/>
      <c r="AN380" s="1977"/>
      <c r="AO380" s="1977"/>
      <c r="AP380" s="1977"/>
      <c r="AQ380" s="1977"/>
      <c r="AR380" s="1977"/>
      <c r="AS380" s="1977"/>
      <c r="AT380" s="1977"/>
      <c r="AU380" s="1977"/>
      <c r="AV380" s="1977"/>
      <c r="AW380" s="1977"/>
      <c r="AX380" s="1977"/>
      <c r="AY380" s="1977"/>
      <c r="AZ380" s="1977"/>
      <c r="BA380" s="1977"/>
      <c r="BB380" s="1977"/>
      <c r="BC380" s="1977"/>
      <c r="BD380" s="1977"/>
      <c r="BE380" s="1977"/>
      <c r="BF380" s="1977"/>
      <c r="BG380" s="1977"/>
      <c r="BH380" s="1977"/>
      <c r="BI380" s="1977"/>
      <c r="BJ380" s="1977"/>
      <c r="BK380" s="1977"/>
      <c r="BL380" s="1977"/>
      <c r="BM380" s="1977"/>
      <c r="BN380" s="1977"/>
      <c r="BO380" s="1977"/>
      <c r="BP380" s="1862"/>
    </row>
    <row r="381" spans="1:68" ht="20.100000000000001" customHeight="1">
      <c r="A381" s="1842"/>
      <c r="B381" s="1854"/>
      <c r="C381" s="1847" t="s">
        <v>967</v>
      </c>
      <c r="D381" s="1864" t="s">
        <v>968</v>
      </c>
      <c r="E381" s="1848"/>
      <c r="F381" s="1863"/>
      <c r="G381" s="1225" t="s">
        <v>1109</v>
      </c>
      <c r="H381" s="1976"/>
      <c r="I381" s="1976"/>
      <c r="J381" s="1976"/>
      <c r="K381" s="1976"/>
      <c r="L381" s="1976"/>
      <c r="M381" s="1976"/>
      <c r="N381" s="1976"/>
      <c r="O381" s="1976"/>
      <c r="P381" s="1976"/>
      <c r="Q381" s="1976"/>
      <c r="R381" s="1976"/>
      <c r="S381" s="1976"/>
      <c r="T381" s="1976"/>
      <c r="U381" s="1976"/>
      <c r="V381" s="1976"/>
      <c r="W381" s="1976"/>
      <c r="X381" s="1977"/>
      <c r="Y381" s="1977"/>
      <c r="Z381" s="1977"/>
      <c r="AA381" s="1977"/>
      <c r="AB381" s="1977"/>
      <c r="AC381" s="1977"/>
      <c r="AD381" s="1977"/>
      <c r="AE381" s="1977"/>
      <c r="AF381" s="1977"/>
      <c r="AG381" s="1977"/>
      <c r="AH381" s="1977"/>
      <c r="AI381" s="1977"/>
      <c r="AJ381" s="1977"/>
      <c r="AK381" s="1977"/>
      <c r="AL381" s="1977"/>
      <c r="AM381" s="1977"/>
      <c r="AN381" s="1977"/>
      <c r="AO381" s="1977"/>
      <c r="AP381" s="1977"/>
      <c r="AQ381" s="1977"/>
      <c r="AR381" s="1977"/>
      <c r="AS381" s="1977"/>
      <c r="AT381" s="1977"/>
      <c r="AU381" s="1977"/>
      <c r="AV381" s="1977"/>
      <c r="AW381" s="1977"/>
      <c r="AX381" s="1977"/>
      <c r="AY381" s="1977"/>
      <c r="AZ381" s="1977"/>
      <c r="BA381" s="1977"/>
      <c r="BB381" s="1977"/>
      <c r="BC381" s="1977"/>
      <c r="BD381" s="1977"/>
      <c r="BE381" s="1977"/>
      <c r="BF381" s="1977"/>
      <c r="BG381" s="1977"/>
      <c r="BH381" s="1977"/>
      <c r="BI381" s="1977"/>
      <c r="BJ381" s="1977"/>
      <c r="BK381" s="1977"/>
      <c r="BL381" s="1977"/>
      <c r="BM381" s="1977"/>
      <c r="BN381" s="1977"/>
      <c r="BO381" s="1977"/>
      <c r="BP381" s="1862"/>
    </row>
    <row r="382" spans="1:68" ht="20.100000000000001" customHeight="1">
      <c r="A382" s="1845"/>
      <c r="B382" s="1854"/>
      <c r="C382" s="1847"/>
      <c r="D382" s="1869" t="s">
        <v>969</v>
      </c>
      <c r="E382" s="1848"/>
      <c r="F382" s="1863"/>
      <c r="G382" s="1225" t="s">
        <v>1109</v>
      </c>
      <c r="H382" s="1976"/>
      <c r="I382" s="1976"/>
      <c r="J382" s="1976"/>
      <c r="K382" s="1976"/>
      <c r="L382" s="1976"/>
      <c r="M382" s="1976"/>
      <c r="N382" s="1976"/>
      <c r="O382" s="1976"/>
      <c r="P382" s="1976"/>
      <c r="Q382" s="1976"/>
      <c r="R382" s="1976"/>
      <c r="S382" s="1976"/>
      <c r="T382" s="1976"/>
      <c r="U382" s="1976"/>
      <c r="V382" s="1976"/>
      <c r="W382" s="1976"/>
      <c r="X382" s="1977"/>
      <c r="Y382" s="1977"/>
      <c r="Z382" s="1977"/>
      <c r="AA382" s="1977"/>
      <c r="AB382" s="1977"/>
      <c r="AC382" s="1977"/>
      <c r="AD382" s="1977"/>
      <c r="AE382" s="1977"/>
      <c r="AF382" s="1977"/>
      <c r="AG382" s="1977"/>
      <c r="AH382" s="1977"/>
      <c r="AI382" s="1977"/>
      <c r="AJ382" s="1977"/>
      <c r="AK382" s="1977"/>
      <c r="AL382" s="1977"/>
      <c r="AM382" s="1977"/>
      <c r="AN382" s="1977"/>
      <c r="AO382" s="1977"/>
      <c r="AP382" s="1977"/>
      <c r="AQ382" s="1977"/>
      <c r="AR382" s="1977"/>
      <c r="AS382" s="1977"/>
      <c r="AT382" s="1977"/>
      <c r="AU382" s="1977"/>
      <c r="AV382" s="1977"/>
      <c r="AW382" s="1977"/>
      <c r="AX382" s="1977"/>
      <c r="AY382" s="1977"/>
      <c r="AZ382" s="1977"/>
      <c r="BA382" s="1977"/>
      <c r="BB382" s="1977"/>
      <c r="BC382" s="1977"/>
      <c r="BD382" s="1977"/>
      <c r="BE382" s="1977"/>
      <c r="BF382" s="1977"/>
      <c r="BG382" s="1977"/>
      <c r="BH382" s="1977"/>
      <c r="BI382" s="1977"/>
      <c r="BJ382" s="1977"/>
      <c r="BK382" s="1977"/>
      <c r="BL382" s="1977"/>
      <c r="BM382" s="1977"/>
      <c r="BN382" s="1977"/>
      <c r="BO382" s="1977"/>
      <c r="BP382" s="1862"/>
    </row>
    <row r="383" spans="1:68" ht="20.100000000000001" customHeight="1">
      <c r="A383" s="1842"/>
      <c r="B383" s="1854"/>
      <c r="C383" s="1847"/>
      <c r="D383" s="1869" t="s">
        <v>970</v>
      </c>
      <c r="E383" s="1864"/>
      <c r="F383" s="1860"/>
      <c r="G383" s="1225" t="s">
        <v>1109</v>
      </c>
      <c r="H383" s="1976"/>
      <c r="I383" s="1976"/>
      <c r="J383" s="1976"/>
      <c r="K383" s="1976"/>
      <c r="L383" s="1976"/>
      <c r="M383" s="1976"/>
      <c r="N383" s="1976"/>
      <c r="O383" s="1976"/>
      <c r="P383" s="1976"/>
      <c r="Q383" s="1976"/>
      <c r="R383" s="1976"/>
      <c r="S383" s="1976"/>
      <c r="T383" s="1976"/>
      <c r="U383" s="1976"/>
      <c r="V383" s="1976"/>
      <c r="W383" s="1976"/>
      <c r="X383" s="1977"/>
      <c r="Y383" s="1977"/>
      <c r="Z383" s="1977"/>
      <c r="AA383" s="1977"/>
      <c r="AB383" s="1977"/>
      <c r="AC383" s="1977"/>
      <c r="AD383" s="1977"/>
      <c r="AE383" s="1977"/>
      <c r="AF383" s="1977"/>
      <c r="AG383" s="1977"/>
      <c r="AH383" s="1977"/>
      <c r="AI383" s="1977"/>
      <c r="AJ383" s="1977"/>
      <c r="AK383" s="1977"/>
      <c r="AL383" s="1977"/>
      <c r="AM383" s="1977"/>
      <c r="AN383" s="1977"/>
      <c r="AO383" s="1977"/>
      <c r="AP383" s="1977"/>
      <c r="AQ383" s="1977"/>
      <c r="AR383" s="1977"/>
      <c r="AS383" s="1977"/>
      <c r="AT383" s="1977"/>
      <c r="AU383" s="1977"/>
      <c r="AV383" s="1977"/>
      <c r="AW383" s="1977"/>
      <c r="AX383" s="1977"/>
      <c r="AY383" s="1977"/>
      <c r="AZ383" s="1977"/>
      <c r="BA383" s="1977"/>
      <c r="BB383" s="1977"/>
      <c r="BC383" s="1977"/>
      <c r="BD383" s="1977"/>
      <c r="BE383" s="1977"/>
      <c r="BF383" s="1977"/>
      <c r="BG383" s="1977"/>
      <c r="BH383" s="1977"/>
      <c r="BI383" s="1977"/>
      <c r="BJ383" s="1977"/>
      <c r="BK383" s="1977"/>
      <c r="BL383" s="1977"/>
      <c r="BM383" s="1977"/>
      <c r="BN383" s="1977"/>
      <c r="BO383" s="1977"/>
      <c r="BP383" s="1862"/>
    </row>
    <row r="384" spans="1:68" ht="20.100000000000001" customHeight="1">
      <c r="A384" s="1845"/>
      <c r="B384" s="1854"/>
      <c r="C384" s="1847"/>
      <c r="D384" s="1872" t="s">
        <v>972</v>
      </c>
      <c r="E384" s="1864"/>
      <c r="F384" s="1860"/>
      <c r="G384" s="1225" t="s">
        <v>1109</v>
      </c>
      <c r="H384" s="1976"/>
      <c r="I384" s="1976"/>
      <c r="J384" s="1976"/>
      <c r="K384" s="1976"/>
      <c r="L384" s="1976"/>
      <c r="M384" s="1976"/>
      <c r="N384" s="1976"/>
      <c r="O384" s="1976"/>
      <c r="P384" s="1976"/>
      <c r="Q384" s="1976"/>
      <c r="R384" s="1976"/>
      <c r="S384" s="1976"/>
      <c r="T384" s="1976"/>
      <c r="U384" s="1976"/>
      <c r="V384" s="1976"/>
      <c r="W384" s="1976"/>
      <c r="X384" s="1977"/>
      <c r="Y384" s="1977"/>
      <c r="Z384" s="1977"/>
      <c r="AA384" s="1977"/>
      <c r="AB384" s="1977"/>
      <c r="AC384" s="1977"/>
      <c r="AD384" s="1977"/>
      <c r="AE384" s="1977"/>
      <c r="AF384" s="1977"/>
      <c r="AG384" s="1977"/>
      <c r="AH384" s="1977"/>
      <c r="AI384" s="1977"/>
      <c r="AJ384" s="1977"/>
      <c r="AK384" s="1977"/>
      <c r="AL384" s="1977"/>
      <c r="AM384" s="1977"/>
      <c r="AN384" s="1977"/>
      <c r="AO384" s="1977"/>
      <c r="AP384" s="1977"/>
      <c r="AQ384" s="1977"/>
      <c r="AR384" s="1977"/>
      <c r="AS384" s="1977"/>
      <c r="AT384" s="1977"/>
      <c r="AU384" s="1977"/>
      <c r="AV384" s="1977"/>
      <c r="AW384" s="1977"/>
      <c r="AX384" s="1977"/>
      <c r="AY384" s="1977"/>
      <c r="AZ384" s="1977"/>
      <c r="BA384" s="1977"/>
      <c r="BB384" s="1977"/>
      <c r="BC384" s="1977"/>
      <c r="BD384" s="1977"/>
      <c r="BE384" s="1977"/>
      <c r="BF384" s="1977"/>
      <c r="BG384" s="1977"/>
      <c r="BH384" s="1977"/>
      <c r="BI384" s="1977"/>
      <c r="BJ384" s="1977"/>
      <c r="BK384" s="1977"/>
      <c r="BL384" s="1977"/>
      <c r="BM384" s="1977"/>
      <c r="BN384" s="1977"/>
      <c r="BO384" s="1977"/>
      <c r="BP384" s="1862"/>
    </row>
    <row r="385" spans="1:68" ht="20.100000000000001" customHeight="1">
      <c r="A385" s="1842">
        <v>83</v>
      </c>
      <c r="B385" s="1854"/>
      <c r="C385" s="1847" t="s">
        <v>973</v>
      </c>
      <c r="D385" s="1869" t="s">
        <v>1556</v>
      </c>
      <c r="E385" s="1848"/>
      <c r="F385" s="1875"/>
      <c r="G385" s="1225" t="s">
        <v>1109</v>
      </c>
      <c r="H385" s="1978"/>
      <c r="I385" s="1979"/>
      <c r="J385" s="1979"/>
      <c r="K385" s="1979"/>
      <c r="L385" s="1851">
        <f ca="1">IFERROR($H385*(参考2_エネ使用量経年!L235+参考2_エネ使用量経年!L322)*1000,"")</f>
        <v>0</v>
      </c>
      <c r="M385" s="1851">
        <f ca="1">IFERROR($I385*(参考2_エネ使用量経年!M235+参考2_エネ使用量経年!M322)*1000,"")</f>
        <v>0</v>
      </c>
      <c r="N385" s="1851">
        <f ca="1">IFERROR($J385*(参考2_エネ使用量経年!N235+参考2_エネ使用量経年!N322)*1000,"")</f>
        <v>0</v>
      </c>
      <c r="O385" s="1851">
        <f ca="1">IFERROR($K385*(参考2_エネ使用量経年!O235+参考2_エネ使用量経年!O322)*1000,"")</f>
        <v>0</v>
      </c>
      <c r="P385" s="1852">
        <f ca="1">IFERROR($H385*(参考2_エネ使用量経年!P235+参考2_エネ使用量経年!P322)*1000,"")</f>
        <v>0</v>
      </c>
      <c r="Q385" s="1852">
        <f ca="1">IFERROR($I385*(参考2_エネ使用量経年!Q235+参考2_エネ使用量経年!Q322)*1000,"")</f>
        <v>0</v>
      </c>
      <c r="R385" s="1852">
        <f ca="1">IFERROR($J385*(参考2_エネ使用量経年!R235+参考2_エネ使用量経年!R322)*1000,"")</f>
        <v>0</v>
      </c>
      <c r="S385" s="1852">
        <f ca="1">IFERROR($K385*(参考2_エネ使用量経年!S235+参考2_エネ使用量経年!S322)*1000,"")</f>
        <v>0</v>
      </c>
      <c r="T385" s="1851">
        <f ca="1">IFERROR($H385*(参考2_エネ使用量経年!T235+参考2_エネ使用量経年!T322)*1000,"")</f>
        <v>0</v>
      </c>
      <c r="U385" s="1851">
        <f ca="1">IFERROR($I385*(参考2_エネ使用量経年!U235+参考2_エネ使用量経年!U322)*1000,"")</f>
        <v>0</v>
      </c>
      <c r="V385" s="1851">
        <f ca="1">IFERROR($J385*(参考2_エネ使用量経年!V235+参考2_エネ使用量経年!V322)*1000,"")</f>
        <v>0</v>
      </c>
      <c r="W385" s="1851">
        <f ca="1">IFERROR($K385*(参考2_エネ使用量経年!W235+参考2_エネ使用量経年!W322)*1000,"")</f>
        <v>0</v>
      </c>
      <c r="X385" s="1853">
        <f ca="1">IFERROR($H385*(参考2_エネ使用量経年!X235+参考2_エネ使用量経年!X322)*1000,"")</f>
        <v>0</v>
      </c>
      <c r="Y385" s="1853">
        <f ca="1">IFERROR($I385*(参考2_エネ使用量経年!Y235+参考2_エネ使用量経年!Y322)*1000,"")</f>
        <v>0</v>
      </c>
      <c r="Z385" s="1853">
        <f ca="1">IFERROR($J385*(参考2_エネ使用量経年!Z235+参考2_エネ使用量経年!Z322)*1000,"")</f>
        <v>0</v>
      </c>
      <c r="AA385" s="1853">
        <f ca="1">IFERROR($K385*(参考2_エネ使用量経年!AA235+参考2_エネ使用量経年!AA322)*1000,"")</f>
        <v>0</v>
      </c>
      <c r="AB385" s="1853"/>
      <c r="AC385" s="1853"/>
      <c r="AD385" s="1853"/>
      <c r="AE385" s="1853"/>
      <c r="AF385" s="1853"/>
      <c r="AG385" s="1853"/>
      <c r="AH385" s="1853"/>
      <c r="AI385" s="1853"/>
      <c r="AJ385" s="1853"/>
      <c r="AK385" s="1853"/>
      <c r="AL385" s="1853"/>
      <c r="AM385" s="1853"/>
      <c r="AN385" s="1853"/>
      <c r="AO385" s="1853"/>
      <c r="AP385" s="1853"/>
      <c r="AQ385" s="1853"/>
      <c r="AR385" s="1853"/>
      <c r="AS385" s="1853"/>
      <c r="AT385" s="1853"/>
      <c r="AU385" s="1853"/>
      <c r="AV385" s="1853"/>
      <c r="AW385" s="1853"/>
      <c r="AX385" s="1853"/>
      <c r="AY385" s="1853"/>
      <c r="AZ385" s="1853"/>
      <c r="BA385" s="1853"/>
      <c r="BB385" s="1853"/>
      <c r="BC385" s="1853"/>
      <c r="BD385" s="1853"/>
      <c r="BE385" s="1853"/>
      <c r="BF385" s="1853"/>
      <c r="BG385" s="1853"/>
      <c r="BH385" s="1853"/>
      <c r="BI385" s="1853"/>
      <c r="BJ385" s="1853"/>
      <c r="BK385" s="1853"/>
      <c r="BL385" s="1853"/>
      <c r="BM385" s="1853"/>
      <c r="BN385" s="1853"/>
      <c r="BO385" s="1853"/>
      <c r="BP385" s="1862"/>
    </row>
    <row r="386" spans="1:68" ht="20.100000000000001" customHeight="1">
      <c r="A386" s="1845"/>
      <c r="B386" s="1854"/>
      <c r="C386" s="1847"/>
      <c r="D386" s="1869" t="s">
        <v>1556</v>
      </c>
      <c r="E386" s="1848"/>
      <c r="F386" s="1875"/>
      <c r="G386" s="1225" t="s">
        <v>1109</v>
      </c>
      <c r="H386" s="1978"/>
      <c r="I386" s="1979"/>
      <c r="J386" s="1979"/>
      <c r="K386" s="1979"/>
      <c r="L386" s="1978"/>
      <c r="M386" s="1979"/>
      <c r="N386" s="1979"/>
      <c r="O386" s="1979"/>
      <c r="P386" s="1978"/>
      <c r="Q386" s="1979"/>
      <c r="R386" s="1979"/>
      <c r="S386" s="1979"/>
      <c r="T386" s="1978"/>
      <c r="U386" s="1979"/>
      <c r="V386" s="1979"/>
      <c r="W386" s="1979"/>
      <c r="X386" s="1980"/>
      <c r="Y386" s="1977"/>
      <c r="Z386" s="1977"/>
      <c r="AA386" s="1977"/>
      <c r="AB386" s="1980"/>
      <c r="AC386" s="1977"/>
      <c r="AD386" s="1977"/>
      <c r="AE386" s="1977"/>
      <c r="AF386" s="1980"/>
      <c r="AG386" s="1977"/>
      <c r="AH386" s="1977"/>
      <c r="AI386" s="1977"/>
      <c r="AJ386" s="1980"/>
      <c r="AK386" s="1977"/>
      <c r="AL386" s="1977"/>
      <c r="AM386" s="1977"/>
      <c r="AN386" s="1980"/>
      <c r="AO386" s="1977"/>
      <c r="AP386" s="1977"/>
      <c r="AQ386" s="1977"/>
      <c r="AR386" s="1980"/>
      <c r="AS386" s="1977"/>
      <c r="AT386" s="1977"/>
      <c r="AU386" s="1977"/>
      <c r="AV386" s="1980"/>
      <c r="AW386" s="1977"/>
      <c r="AX386" s="1977"/>
      <c r="AY386" s="1977"/>
      <c r="AZ386" s="1980"/>
      <c r="BA386" s="1977"/>
      <c r="BB386" s="1977"/>
      <c r="BC386" s="1977"/>
      <c r="BD386" s="1980"/>
      <c r="BE386" s="1977"/>
      <c r="BF386" s="1977"/>
      <c r="BG386" s="1977"/>
      <c r="BH386" s="1980"/>
      <c r="BI386" s="1977"/>
      <c r="BJ386" s="1977"/>
      <c r="BK386" s="1977"/>
      <c r="BL386" s="1980"/>
      <c r="BM386" s="1977"/>
      <c r="BN386" s="1977"/>
      <c r="BO386" s="1977"/>
      <c r="BP386" s="1862"/>
    </row>
    <row r="387" spans="1:68" ht="20.100000000000001" customHeight="1">
      <c r="A387" s="1842">
        <v>85</v>
      </c>
      <c r="B387" s="1854"/>
      <c r="C387" s="1847"/>
      <c r="D387" s="1869" t="s">
        <v>1557</v>
      </c>
      <c r="E387" s="1848"/>
      <c r="F387" s="1875"/>
      <c r="G387" s="1225" t="s">
        <v>1109</v>
      </c>
      <c r="H387" s="1978"/>
      <c r="I387" s="1979"/>
      <c r="J387" s="1979"/>
      <c r="K387" s="1979"/>
      <c r="L387" s="1851">
        <f ca="1">IFERROR($H387*(参考2_エネ使用量経年!L237+参考2_エネ使用量経年!L324)*1000,"")</f>
        <v>0</v>
      </c>
      <c r="M387" s="1851">
        <f ca="1">IFERROR($I387*(参考2_エネ使用量経年!M237+参考2_エネ使用量経年!M324)*1000,"")</f>
        <v>0</v>
      </c>
      <c r="N387" s="1851">
        <f ca="1">IFERROR($J387*(参考2_エネ使用量経年!N237+参考2_エネ使用量経年!N324)*1000,"")</f>
        <v>0</v>
      </c>
      <c r="O387" s="1851">
        <f ca="1">IFERROR($K387*(参考2_エネ使用量経年!O237+参考2_エネ使用量経年!O324)*1000,"")</f>
        <v>0</v>
      </c>
      <c r="P387" s="1852">
        <f ca="1">IFERROR($H387*(参考2_エネ使用量経年!P237+参考2_エネ使用量経年!P324)*1000,"")</f>
        <v>0</v>
      </c>
      <c r="Q387" s="1852">
        <f ca="1">IFERROR($I387*(参考2_エネ使用量経年!Q237+参考2_エネ使用量経年!Q324)*1000,"")</f>
        <v>0</v>
      </c>
      <c r="R387" s="1852">
        <f ca="1">IFERROR($J387*(参考2_エネ使用量経年!R237+参考2_エネ使用量経年!R324)*1000,"")</f>
        <v>0</v>
      </c>
      <c r="S387" s="1852">
        <f ca="1">IFERROR($K387*(参考2_エネ使用量経年!S237+参考2_エネ使用量経年!S324)*1000,"")</f>
        <v>0</v>
      </c>
      <c r="T387" s="1851">
        <f ca="1">IFERROR($H387*(参考2_エネ使用量経年!T237+参考2_エネ使用量経年!T324)*1000,"")</f>
        <v>0</v>
      </c>
      <c r="U387" s="1851">
        <f ca="1">IFERROR($I387*(参考2_エネ使用量経年!U237+参考2_エネ使用量経年!U324)*1000,"")</f>
        <v>0</v>
      </c>
      <c r="V387" s="1851">
        <f ca="1">IFERROR($J387*(参考2_エネ使用量経年!V237+参考2_エネ使用量経年!V324)*1000,"")</f>
        <v>0</v>
      </c>
      <c r="W387" s="1851">
        <f ca="1">IFERROR($K387*(参考2_エネ使用量経年!W237+参考2_エネ使用量経年!W324)*1000,"")</f>
        <v>0</v>
      </c>
      <c r="X387" s="1853">
        <f ca="1">IFERROR($H387*(参考2_エネ使用量経年!X237+参考2_エネ使用量経年!X324)*1000,"")</f>
        <v>0</v>
      </c>
      <c r="Y387" s="1853">
        <f ca="1">IFERROR($I387*(参考2_エネ使用量経年!Y237+参考2_エネ使用量経年!Y324)*1000,"")</f>
        <v>0</v>
      </c>
      <c r="Z387" s="1853">
        <f ca="1">IFERROR($J387*(参考2_エネ使用量経年!Z237+参考2_エネ使用量経年!Z324)*1000,"")</f>
        <v>0</v>
      </c>
      <c r="AA387" s="1853">
        <f ca="1">IFERROR($K387*(参考2_エネ使用量経年!AA237+参考2_エネ使用量経年!AA324)*1000,"")</f>
        <v>0</v>
      </c>
      <c r="AB387" s="1853"/>
      <c r="AC387" s="1853"/>
      <c r="AD387" s="1853"/>
      <c r="AE387" s="1853"/>
      <c r="AF387" s="1853"/>
      <c r="AG387" s="1853"/>
      <c r="AH387" s="1853"/>
      <c r="AI387" s="1853"/>
      <c r="AJ387" s="1853"/>
      <c r="AK387" s="1853"/>
      <c r="AL387" s="1853"/>
      <c r="AM387" s="1853"/>
      <c r="AN387" s="1853"/>
      <c r="AO387" s="1853"/>
      <c r="AP387" s="1853"/>
      <c r="AQ387" s="1853"/>
      <c r="AR387" s="1853"/>
      <c r="AS387" s="1853"/>
      <c r="AT387" s="1853"/>
      <c r="AU387" s="1853"/>
      <c r="AV387" s="1853"/>
      <c r="AW387" s="1853"/>
      <c r="AX387" s="1853"/>
      <c r="AY387" s="1853"/>
      <c r="AZ387" s="1853"/>
      <c r="BA387" s="1853"/>
      <c r="BB387" s="1853"/>
      <c r="BC387" s="1853"/>
      <c r="BD387" s="1853"/>
      <c r="BE387" s="1853"/>
      <c r="BF387" s="1853"/>
      <c r="BG387" s="1853"/>
      <c r="BH387" s="1853"/>
      <c r="BI387" s="1853"/>
      <c r="BJ387" s="1853"/>
      <c r="BK387" s="1853"/>
      <c r="BL387" s="1853"/>
      <c r="BM387" s="1853"/>
      <c r="BN387" s="1853"/>
      <c r="BO387" s="1853"/>
      <c r="BP387" s="1862"/>
    </row>
    <row r="388" spans="1:68" ht="20.100000000000001" customHeight="1">
      <c r="A388" s="1845"/>
      <c r="B388" s="1854"/>
      <c r="C388" s="1847"/>
      <c r="D388" s="1869" t="s">
        <v>1557</v>
      </c>
      <c r="E388" s="1848"/>
      <c r="F388" s="1875"/>
      <c r="G388" s="1225" t="s">
        <v>1109</v>
      </c>
      <c r="H388" s="1978"/>
      <c r="I388" s="1979"/>
      <c r="J388" s="1979"/>
      <c r="K388" s="1979"/>
      <c r="L388" s="1978"/>
      <c r="M388" s="1979"/>
      <c r="N388" s="1979"/>
      <c r="O388" s="1979"/>
      <c r="P388" s="1978"/>
      <c r="Q388" s="1979"/>
      <c r="R388" s="1979"/>
      <c r="S388" s="1979"/>
      <c r="T388" s="1978"/>
      <c r="U388" s="1979"/>
      <c r="V388" s="1979"/>
      <c r="W388" s="1979"/>
      <c r="X388" s="1980"/>
      <c r="Y388" s="1977"/>
      <c r="Z388" s="1977"/>
      <c r="AA388" s="1977"/>
      <c r="AB388" s="1980"/>
      <c r="AC388" s="1977"/>
      <c r="AD388" s="1977"/>
      <c r="AE388" s="1977"/>
      <c r="AF388" s="1980"/>
      <c r="AG388" s="1977"/>
      <c r="AH388" s="1977"/>
      <c r="AI388" s="1977"/>
      <c r="AJ388" s="1980"/>
      <c r="AK388" s="1977"/>
      <c r="AL388" s="1977"/>
      <c r="AM388" s="1977"/>
      <c r="AN388" s="1980"/>
      <c r="AO388" s="1977"/>
      <c r="AP388" s="1977"/>
      <c r="AQ388" s="1977"/>
      <c r="AR388" s="1980"/>
      <c r="AS388" s="1977"/>
      <c r="AT388" s="1977"/>
      <c r="AU388" s="1977"/>
      <c r="AV388" s="1980"/>
      <c r="AW388" s="1977"/>
      <c r="AX388" s="1977"/>
      <c r="AY388" s="1977"/>
      <c r="AZ388" s="1980"/>
      <c r="BA388" s="1977"/>
      <c r="BB388" s="1977"/>
      <c r="BC388" s="1977"/>
      <c r="BD388" s="1980"/>
      <c r="BE388" s="1977"/>
      <c r="BF388" s="1977"/>
      <c r="BG388" s="1977"/>
      <c r="BH388" s="1980"/>
      <c r="BI388" s="1977"/>
      <c r="BJ388" s="1977"/>
      <c r="BK388" s="1977"/>
      <c r="BL388" s="1980"/>
      <c r="BM388" s="1977"/>
      <c r="BN388" s="1977"/>
      <c r="BO388" s="1977"/>
      <c r="BP388" s="1862"/>
    </row>
    <row r="389" spans="1:68" ht="20.100000000000001" customHeight="1">
      <c r="A389" s="1842">
        <v>87</v>
      </c>
      <c r="B389" s="1854"/>
      <c r="C389" s="1847"/>
      <c r="D389" s="1869" t="s">
        <v>958</v>
      </c>
      <c r="E389" s="1848"/>
      <c r="F389" s="1875"/>
      <c r="G389" s="1225" t="s">
        <v>1109</v>
      </c>
      <c r="H389" s="1978"/>
      <c r="I389" s="1979"/>
      <c r="J389" s="1979"/>
      <c r="K389" s="1979"/>
      <c r="L389" s="1851">
        <f ca="1">IFERROR($H389*(参考2_エネ使用量経年!L239+参考2_エネ使用量経年!L326)*1000,"")</f>
        <v>0</v>
      </c>
      <c r="M389" s="1851">
        <f ca="1">IFERROR($I389*(参考2_エネ使用量経年!M239+参考2_エネ使用量経年!M326)*1000,"")</f>
        <v>0</v>
      </c>
      <c r="N389" s="1851">
        <f ca="1">IFERROR($J389*(参考2_エネ使用量経年!N239+参考2_エネ使用量経年!N326)*1000,"")</f>
        <v>0</v>
      </c>
      <c r="O389" s="1851">
        <f ca="1">IFERROR($K389*(参考2_エネ使用量経年!O239+参考2_エネ使用量経年!O326)*1000,"")</f>
        <v>0</v>
      </c>
      <c r="P389" s="1852">
        <f ca="1">IFERROR($H389*(参考2_エネ使用量経年!P239+参考2_エネ使用量経年!P326)*1000,"")</f>
        <v>0</v>
      </c>
      <c r="Q389" s="1852">
        <f ca="1">IFERROR($I389*(参考2_エネ使用量経年!Q239+参考2_エネ使用量経年!Q326)*1000,"")</f>
        <v>0</v>
      </c>
      <c r="R389" s="1852">
        <f ca="1">IFERROR($J389*(参考2_エネ使用量経年!R239+参考2_エネ使用量経年!R326)*1000,"")</f>
        <v>0</v>
      </c>
      <c r="S389" s="1852">
        <f ca="1">IFERROR($K389*(参考2_エネ使用量経年!S239+参考2_エネ使用量経年!S326)*1000,"")</f>
        <v>0</v>
      </c>
      <c r="T389" s="1851">
        <f ca="1">IFERROR($H389*(参考2_エネ使用量経年!T239+参考2_エネ使用量経年!T326)*1000,"")</f>
        <v>0</v>
      </c>
      <c r="U389" s="1851">
        <f ca="1">IFERROR($I389*(参考2_エネ使用量経年!U239+参考2_エネ使用量経年!U326)*1000,"")</f>
        <v>0</v>
      </c>
      <c r="V389" s="1851">
        <f ca="1">IFERROR($J389*(参考2_エネ使用量経年!V239+参考2_エネ使用量経年!V326)*1000,"")</f>
        <v>0</v>
      </c>
      <c r="W389" s="1851">
        <f ca="1">IFERROR($K389*(参考2_エネ使用量経年!W239+参考2_エネ使用量経年!W326)*1000,"")</f>
        <v>0</v>
      </c>
      <c r="X389" s="1853">
        <f ca="1">IFERROR($H389*(参考2_エネ使用量経年!X239+参考2_エネ使用量経年!X326)*1000,"")</f>
        <v>0</v>
      </c>
      <c r="Y389" s="1853">
        <f ca="1">IFERROR($I389*(参考2_エネ使用量経年!Y239+参考2_エネ使用量経年!Y326)*1000,"")</f>
        <v>0</v>
      </c>
      <c r="Z389" s="1853">
        <f ca="1">IFERROR($J389*(参考2_エネ使用量経年!Z239+参考2_エネ使用量経年!Z326)*1000,"")</f>
        <v>0</v>
      </c>
      <c r="AA389" s="1853">
        <f ca="1">IFERROR($K389*(参考2_エネ使用量経年!AA239+参考2_エネ使用量経年!AA326)*1000,"")</f>
        <v>0</v>
      </c>
      <c r="AB389" s="1853"/>
      <c r="AC389" s="1853"/>
      <c r="AD389" s="1853"/>
      <c r="AE389" s="1853"/>
      <c r="AF389" s="1853"/>
      <c r="AG389" s="1853"/>
      <c r="AH389" s="1853"/>
      <c r="AI389" s="1853"/>
      <c r="AJ389" s="1853"/>
      <c r="AK389" s="1853"/>
      <c r="AL389" s="1853"/>
      <c r="AM389" s="1853"/>
      <c r="AN389" s="1853"/>
      <c r="AO389" s="1853"/>
      <c r="AP389" s="1853"/>
      <c r="AQ389" s="1853"/>
      <c r="AR389" s="1853"/>
      <c r="AS389" s="1853"/>
      <c r="AT389" s="1853"/>
      <c r="AU389" s="1853"/>
      <c r="AV389" s="1853"/>
      <c r="AW389" s="1853"/>
      <c r="AX389" s="1853"/>
      <c r="AY389" s="1853"/>
      <c r="AZ389" s="1853"/>
      <c r="BA389" s="1853"/>
      <c r="BB389" s="1853"/>
      <c r="BC389" s="1853"/>
      <c r="BD389" s="1853"/>
      <c r="BE389" s="1853"/>
      <c r="BF389" s="1853"/>
      <c r="BG389" s="1853"/>
      <c r="BH389" s="1853"/>
      <c r="BI389" s="1853"/>
      <c r="BJ389" s="1853"/>
      <c r="BK389" s="1853"/>
      <c r="BL389" s="1853"/>
      <c r="BM389" s="1853"/>
      <c r="BN389" s="1853"/>
      <c r="BO389" s="1853"/>
      <c r="BP389" s="1862"/>
    </row>
    <row r="390" spans="1:68" ht="20.100000000000001" customHeight="1">
      <c r="A390" s="1845"/>
      <c r="B390" s="1854"/>
      <c r="C390" s="1847"/>
      <c r="D390" s="1869" t="s">
        <v>958</v>
      </c>
      <c r="E390" s="1848"/>
      <c r="F390" s="1875"/>
      <c r="G390" s="1225" t="s">
        <v>1109</v>
      </c>
      <c r="H390" s="1978"/>
      <c r="I390" s="1979"/>
      <c r="J390" s="1979"/>
      <c r="K390" s="1979"/>
      <c r="L390" s="1978"/>
      <c r="M390" s="1979"/>
      <c r="N390" s="1979"/>
      <c r="O390" s="1979"/>
      <c r="P390" s="1978"/>
      <c r="Q390" s="1979"/>
      <c r="R390" s="1979"/>
      <c r="S390" s="1979"/>
      <c r="T390" s="1978"/>
      <c r="U390" s="1979"/>
      <c r="V390" s="1979"/>
      <c r="W390" s="1979"/>
      <c r="X390" s="1980"/>
      <c r="Y390" s="1977"/>
      <c r="Z390" s="1977"/>
      <c r="AA390" s="1977"/>
      <c r="AB390" s="1980"/>
      <c r="AC390" s="1977"/>
      <c r="AD390" s="1977"/>
      <c r="AE390" s="1977"/>
      <c r="AF390" s="1980"/>
      <c r="AG390" s="1977"/>
      <c r="AH390" s="1977"/>
      <c r="AI390" s="1977"/>
      <c r="AJ390" s="1980"/>
      <c r="AK390" s="1977"/>
      <c r="AL390" s="1977"/>
      <c r="AM390" s="1977"/>
      <c r="AN390" s="1980"/>
      <c r="AO390" s="1977"/>
      <c r="AP390" s="1977"/>
      <c r="AQ390" s="1977"/>
      <c r="AR390" s="1980"/>
      <c r="AS390" s="1977"/>
      <c r="AT390" s="1977"/>
      <c r="AU390" s="1977"/>
      <c r="AV390" s="1980"/>
      <c r="AW390" s="1977"/>
      <c r="AX390" s="1977"/>
      <c r="AY390" s="1977"/>
      <c r="AZ390" s="1980"/>
      <c r="BA390" s="1977"/>
      <c r="BB390" s="1977"/>
      <c r="BC390" s="1977"/>
      <c r="BD390" s="1980"/>
      <c r="BE390" s="1977"/>
      <c r="BF390" s="1977"/>
      <c r="BG390" s="1977"/>
      <c r="BH390" s="1980"/>
      <c r="BI390" s="1977"/>
      <c r="BJ390" s="1977"/>
      <c r="BK390" s="1977"/>
      <c r="BL390" s="1980"/>
      <c r="BM390" s="1977"/>
      <c r="BN390" s="1977"/>
      <c r="BO390" s="1977"/>
      <c r="BP390" s="1862"/>
    </row>
    <row r="391" spans="1:68" ht="20.100000000000001" customHeight="1">
      <c r="A391" s="1842">
        <v>89</v>
      </c>
      <c r="B391" s="1854"/>
      <c r="C391" s="1847"/>
      <c r="D391" s="1869" t="s">
        <v>1558</v>
      </c>
      <c r="E391" s="1848"/>
      <c r="F391" s="1875"/>
      <c r="G391" s="1225" t="s">
        <v>1109</v>
      </c>
      <c r="H391" s="1978"/>
      <c r="I391" s="1979"/>
      <c r="J391" s="1979"/>
      <c r="K391" s="1979"/>
      <c r="L391" s="1851">
        <f ca="1">IFERROR($H391*(参考2_エネ使用量経年!L241+参考2_エネ使用量経年!L328)*1000,"")</f>
        <v>0</v>
      </c>
      <c r="M391" s="1851">
        <f ca="1">IFERROR($I391*(参考2_エネ使用量経年!M241+参考2_エネ使用量経年!M328)*1000,"")</f>
        <v>0</v>
      </c>
      <c r="N391" s="1851">
        <f ca="1">IFERROR($J391*(参考2_エネ使用量経年!N241+参考2_エネ使用量経年!N328)*1000,"")</f>
        <v>0</v>
      </c>
      <c r="O391" s="1851">
        <f ca="1">IFERROR($K391*(参考2_エネ使用量経年!O241+参考2_エネ使用量経年!O328)*1000,"")</f>
        <v>0</v>
      </c>
      <c r="P391" s="1852">
        <f ca="1">IFERROR($H391*(参考2_エネ使用量経年!P241+参考2_エネ使用量経年!P328)*1000,"")</f>
        <v>0</v>
      </c>
      <c r="Q391" s="1852">
        <f ca="1">IFERROR($I391*(参考2_エネ使用量経年!Q241+参考2_エネ使用量経年!Q328)*1000,"")</f>
        <v>0</v>
      </c>
      <c r="R391" s="1852">
        <f ca="1">IFERROR($J391*(参考2_エネ使用量経年!R241+参考2_エネ使用量経年!R328)*1000,"")</f>
        <v>0</v>
      </c>
      <c r="S391" s="1852">
        <f ca="1">IFERROR($K391*(参考2_エネ使用量経年!S241+参考2_エネ使用量経年!S328)*1000,"")</f>
        <v>0</v>
      </c>
      <c r="T391" s="1851">
        <f ca="1">IFERROR($H391*(参考2_エネ使用量経年!T241+参考2_エネ使用量経年!T328)*1000,"")</f>
        <v>0</v>
      </c>
      <c r="U391" s="1851">
        <f ca="1">IFERROR($I391*(参考2_エネ使用量経年!U241+参考2_エネ使用量経年!U328)*1000,"")</f>
        <v>0</v>
      </c>
      <c r="V391" s="1851">
        <f ca="1">IFERROR($J391*(参考2_エネ使用量経年!V241+参考2_エネ使用量経年!V328)*1000,"")</f>
        <v>0</v>
      </c>
      <c r="W391" s="1851">
        <f ca="1">IFERROR($K391*(参考2_エネ使用量経年!W241+参考2_エネ使用量経年!W328)*1000,"")</f>
        <v>0</v>
      </c>
      <c r="X391" s="1853">
        <f ca="1">IFERROR($H391*(参考2_エネ使用量経年!X241+参考2_エネ使用量経年!X328)*1000,"")</f>
        <v>0</v>
      </c>
      <c r="Y391" s="1853">
        <f ca="1">IFERROR($I391*(参考2_エネ使用量経年!Y241+参考2_エネ使用量経年!Y328)*1000,"")</f>
        <v>0</v>
      </c>
      <c r="Z391" s="1853">
        <f ca="1">IFERROR($J391*(参考2_エネ使用量経年!Z241+参考2_エネ使用量経年!Z328)*1000,"")</f>
        <v>0</v>
      </c>
      <c r="AA391" s="1853">
        <f ca="1">IFERROR($K391*(参考2_エネ使用量経年!AA241+参考2_エネ使用量経年!AA328)*1000,"")</f>
        <v>0</v>
      </c>
      <c r="AB391" s="1853"/>
      <c r="AC391" s="1853"/>
      <c r="AD391" s="1853"/>
      <c r="AE391" s="1853"/>
      <c r="AF391" s="1853"/>
      <c r="AG391" s="1853"/>
      <c r="AH391" s="1853"/>
      <c r="AI391" s="1853"/>
      <c r="AJ391" s="1853"/>
      <c r="AK391" s="1853"/>
      <c r="AL391" s="1853"/>
      <c r="AM391" s="1853"/>
      <c r="AN391" s="1853"/>
      <c r="AO391" s="1853"/>
      <c r="AP391" s="1853"/>
      <c r="AQ391" s="1853"/>
      <c r="AR391" s="1853"/>
      <c r="AS391" s="1853"/>
      <c r="AT391" s="1853"/>
      <c r="AU391" s="1853"/>
      <c r="AV391" s="1853"/>
      <c r="AW391" s="1853"/>
      <c r="AX391" s="1853"/>
      <c r="AY391" s="1853"/>
      <c r="AZ391" s="1853"/>
      <c r="BA391" s="1853"/>
      <c r="BB391" s="1853"/>
      <c r="BC391" s="1853"/>
      <c r="BD391" s="1853"/>
      <c r="BE391" s="1853"/>
      <c r="BF391" s="1853"/>
      <c r="BG391" s="1853"/>
      <c r="BH391" s="1853"/>
      <c r="BI391" s="1853"/>
      <c r="BJ391" s="1853"/>
      <c r="BK391" s="1853"/>
      <c r="BL391" s="1853"/>
      <c r="BM391" s="1853"/>
      <c r="BN391" s="1853"/>
      <c r="BO391" s="1853"/>
      <c r="BP391" s="1862"/>
    </row>
    <row r="392" spans="1:68" ht="20.100000000000001" customHeight="1">
      <c r="A392" s="1845"/>
      <c r="B392" s="1854"/>
      <c r="C392" s="1847"/>
      <c r="D392" s="1869" t="s">
        <v>1559</v>
      </c>
      <c r="E392" s="1848"/>
      <c r="F392" s="1875"/>
      <c r="G392" s="1225" t="s">
        <v>1109</v>
      </c>
      <c r="H392" s="1978"/>
      <c r="I392" s="1979"/>
      <c r="J392" s="1979"/>
      <c r="K392" s="1979"/>
      <c r="L392" s="1978"/>
      <c r="M392" s="1979"/>
      <c r="N392" s="1979"/>
      <c r="O392" s="1979"/>
      <c r="P392" s="1978"/>
      <c r="Q392" s="1979"/>
      <c r="R392" s="1979"/>
      <c r="S392" s="1979"/>
      <c r="T392" s="1978"/>
      <c r="U392" s="1979"/>
      <c r="V392" s="1979"/>
      <c r="W392" s="1979"/>
      <c r="X392" s="1980"/>
      <c r="Y392" s="1977"/>
      <c r="Z392" s="1977"/>
      <c r="AA392" s="1977"/>
      <c r="AB392" s="1980"/>
      <c r="AC392" s="1977"/>
      <c r="AD392" s="1977"/>
      <c r="AE392" s="1977"/>
      <c r="AF392" s="1980"/>
      <c r="AG392" s="1977"/>
      <c r="AH392" s="1977"/>
      <c r="AI392" s="1977"/>
      <c r="AJ392" s="1980"/>
      <c r="AK392" s="1977"/>
      <c r="AL392" s="1977"/>
      <c r="AM392" s="1977"/>
      <c r="AN392" s="1980"/>
      <c r="AO392" s="1977"/>
      <c r="AP392" s="1977"/>
      <c r="AQ392" s="1977"/>
      <c r="AR392" s="1980"/>
      <c r="AS392" s="1977"/>
      <c r="AT392" s="1977"/>
      <c r="AU392" s="1977"/>
      <c r="AV392" s="1980"/>
      <c r="AW392" s="1977"/>
      <c r="AX392" s="1977"/>
      <c r="AY392" s="1977"/>
      <c r="AZ392" s="1980"/>
      <c r="BA392" s="1977"/>
      <c r="BB392" s="1977"/>
      <c r="BC392" s="1977"/>
      <c r="BD392" s="1980"/>
      <c r="BE392" s="1977"/>
      <c r="BF392" s="1977"/>
      <c r="BG392" s="1977"/>
      <c r="BH392" s="1980"/>
      <c r="BI392" s="1977"/>
      <c r="BJ392" s="1977"/>
      <c r="BK392" s="1977"/>
      <c r="BL392" s="1980"/>
      <c r="BM392" s="1977"/>
      <c r="BN392" s="1977"/>
      <c r="BO392" s="1977"/>
      <c r="BP392" s="1862"/>
    </row>
    <row r="393" spans="1:68" ht="20.100000000000001" customHeight="1">
      <c r="A393" s="1842">
        <v>91</v>
      </c>
      <c r="B393" s="1854"/>
      <c r="C393" s="1847"/>
      <c r="D393" s="1981" t="s">
        <v>974</v>
      </c>
      <c r="E393" s="1982" t="str">
        <f ca="1">参考2_エネ使用量経年!E419</f>
        <v/>
      </c>
      <c r="F393" s="1879"/>
      <c r="G393" s="1225" t="s">
        <v>1109</v>
      </c>
      <c r="H393" s="1850">
        <f ca="1">IFERROR(OFFSET(貼付け_2024実績,$A393,6),"")</f>
        <v>0</v>
      </c>
      <c r="I393" s="1850">
        <f ca="1">IFERROR(OFFSET(貼付け_2025実績,$A393,6),"")</f>
        <v>0</v>
      </c>
      <c r="J393" s="1850">
        <f ca="1">IFERROR(OFFSET(貼付け_2026実績,$A393,6),"")</f>
        <v>0</v>
      </c>
      <c r="K393" s="1850">
        <f ca="1">IFERROR(OFFSET(貼付け_2027実績,$A393,6),"")</f>
        <v>0</v>
      </c>
      <c r="L393" s="1851">
        <f ca="1">IFERROR($H393*(参考2_エネ使用量経年!L243+参考2_エネ使用量経年!L330)*1000,"")</f>
        <v>0</v>
      </c>
      <c r="M393" s="1851">
        <f ca="1">IFERROR($I393*(参考2_エネ使用量経年!M243+参考2_エネ使用量経年!M330)*1000,"")</f>
        <v>0</v>
      </c>
      <c r="N393" s="1851">
        <f ca="1">IFERROR($J393*(参考2_エネ使用量経年!N243+参考2_エネ使用量経年!N330)*1000,"")</f>
        <v>0</v>
      </c>
      <c r="O393" s="1851">
        <f ca="1">IFERROR($K393*(参考2_エネ使用量経年!O243+参考2_エネ使用量経年!O330)*1000,"")</f>
        <v>0</v>
      </c>
      <c r="P393" s="1852">
        <f ca="1">IFERROR($H393*(参考2_エネ使用量経年!P243+参考2_エネ使用量経年!P330)*1000,"")</f>
        <v>0</v>
      </c>
      <c r="Q393" s="1852">
        <f ca="1">IFERROR($I393*(参考2_エネ使用量経年!Q243+参考2_エネ使用量経年!Q330)*1000,"")</f>
        <v>0</v>
      </c>
      <c r="R393" s="1852">
        <f ca="1">IFERROR($J393*(参考2_エネ使用量経年!R243+参考2_エネ使用量経年!R330)*1000,"")</f>
        <v>0</v>
      </c>
      <c r="S393" s="1852">
        <f ca="1">IFERROR($K393*(参考2_エネ使用量経年!S243+参考2_エネ使用量経年!S330)*1000,"")</f>
        <v>0</v>
      </c>
      <c r="T393" s="1851">
        <f ca="1">IFERROR($H393*(参考2_エネ使用量経年!T243+参考2_エネ使用量経年!T330)*1000,"")</f>
        <v>0</v>
      </c>
      <c r="U393" s="1851">
        <f ca="1">IFERROR($I393*(参考2_エネ使用量経年!U243+参考2_エネ使用量経年!U330)*1000,"")</f>
        <v>0</v>
      </c>
      <c r="V393" s="1851">
        <f ca="1">IFERROR($J393*(参考2_エネ使用量経年!V243+参考2_エネ使用量経年!V330)*1000,"")</f>
        <v>0</v>
      </c>
      <c r="W393" s="1851">
        <f ca="1">IFERROR($K393*(参考2_エネ使用量経年!W243+参考2_エネ使用量経年!W330)*1000,"")</f>
        <v>0</v>
      </c>
      <c r="X393" s="1853">
        <f ca="1">IFERROR($H393*(参考2_エネ使用量経年!X243+参考2_エネ使用量経年!X330)*1000,"")</f>
        <v>0</v>
      </c>
      <c r="Y393" s="1853">
        <f ca="1">IFERROR($I393*(参考2_エネ使用量経年!Y243+参考2_エネ使用量経年!Y330)*1000,"")</f>
        <v>0</v>
      </c>
      <c r="Z393" s="1853">
        <f ca="1">IFERROR($J393*(参考2_エネ使用量経年!Z243+参考2_エネ使用量経年!Z330)*1000,"")</f>
        <v>0</v>
      </c>
      <c r="AA393" s="1853">
        <f ca="1">IFERROR($K393*(参考2_エネ使用量経年!AA243+参考2_エネ使用量経年!AA330)*1000,"")</f>
        <v>0</v>
      </c>
      <c r="AB393" s="1853"/>
      <c r="AC393" s="1853"/>
      <c r="AD393" s="1853"/>
      <c r="AE393" s="1853"/>
      <c r="AF393" s="1853"/>
      <c r="AG393" s="1853"/>
      <c r="AH393" s="1853"/>
      <c r="AI393" s="1853"/>
      <c r="AJ393" s="1853"/>
      <c r="AK393" s="1853"/>
      <c r="AL393" s="1853"/>
      <c r="AM393" s="1853"/>
      <c r="AN393" s="1853"/>
      <c r="AO393" s="1853"/>
      <c r="AP393" s="1853"/>
      <c r="AQ393" s="1853"/>
      <c r="AR393" s="1853"/>
      <c r="AS393" s="1853"/>
      <c r="AT393" s="1853"/>
      <c r="AU393" s="1853"/>
      <c r="AV393" s="1853"/>
      <c r="AW393" s="1853"/>
      <c r="AX393" s="1853"/>
      <c r="AY393" s="1853"/>
      <c r="AZ393" s="1853"/>
      <c r="BA393" s="1853"/>
      <c r="BB393" s="1853"/>
      <c r="BC393" s="1853"/>
      <c r="BD393" s="1853"/>
      <c r="BE393" s="1853"/>
      <c r="BF393" s="1853"/>
      <c r="BG393" s="1853"/>
      <c r="BH393" s="1853"/>
      <c r="BI393" s="1853"/>
      <c r="BJ393" s="1853"/>
      <c r="BK393" s="1853"/>
      <c r="BL393" s="1853"/>
      <c r="BM393" s="1853"/>
      <c r="BN393" s="1853"/>
      <c r="BO393" s="1853"/>
      <c r="BP393" s="1862"/>
    </row>
    <row r="394" spans="1:68" ht="20.100000000000001" customHeight="1">
      <c r="A394" s="1845"/>
      <c r="B394" s="1854"/>
      <c r="C394" s="1847"/>
      <c r="D394" s="1981"/>
      <c r="E394" s="1983"/>
      <c r="F394" s="1882"/>
      <c r="G394" s="1225"/>
      <c r="H394" s="1978"/>
      <c r="I394" s="1979"/>
      <c r="J394" s="1979"/>
      <c r="K394" s="1979"/>
      <c r="L394" s="1978"/>
      <c r="M394" s="1979"/>
      <c r="N394" s="1979"/>
      <c r="O394" s="1979"/>
      <c r="P394" s="1978"/>
      <c r="Q394" s="1979"/>
      <c r="R394" s="1979"/>
      <c r="S394" s="1979"/>
      <c r="T394" s="1978"/>
      <c r="U394" s="1979"/>
      <c r="V394" s="1979"/>
      <c r="W394" s="1979"/>
      <c r="X394" s="1980"/>
      <c r="Y394" s="1977"/>
      <c r="Z394" s="1977"/>
      <c r="AA394" s="1977"/>
      <c r="AB394" s="1980"/>
      <c r="AC394" s="1977"/>
      <c r="AD394" s="1977"/>
      <c r="AE394" s="1977"/>
      <c r="AF394" s="1980"/>
      <c r="AG394" s="1977"/>
      <c r="AH394" s="1977"/>
      <c r="AI394" s="1977"/>
      <c r="AJ394" s="1980"/>
      <c r="AK394" s="1977"/>
      <c r="AL394" s="1977"/>
      <c r="AM394" s="1977"/>
      <c r="AN394" s="1980"/>
      <c r="AO394" s="1977"/>
      <c r="AP394" s="1977"/>
      <c r="AQ394" s="1977"/>
      <c r="AR394" s="1980"/>
      <c r="AS394" s="1977"/>
      <c r="AT394" s="1977"/>
      <c r="AU394" s="1977"/>
      <c r="AV394" s="1980"/>
      <c r="AW394" s="1977"/>
      <c r="AX394" s="1977"/>
      <c r="AY394" s="1977"/>
      <c r="AZ394" s="1980"/>
      <c r="BA394" s="1977"/>
      <c r="BB394" s="1977"/>
      <c r="BC394" s="1977"/>
      <c r="BD394" s="1980"/>
      <c r="BE394" s="1977"/>
      <c r="BF394" s="1977"/>
      <c r="BG394" s="1977"/>
      <c r="BH394" s="1980"/>
      <c r="BI394" s="1977"/>
      <c r="BJ394" s="1977"/>
      <c r="BK394" s="1977"/>
      <c r="BL394" s="1980"/>
      <c r="BM394" s="1977"/>
      <c r="BN394" s="1977"/>
      <c r="BO394" s="1977"/>
      <c r="BP394" s="1862"/>
    </row>
    <row r="395" spans="1:68" ht="20.100000000000001" customHeight="1">
      <c r="A395" s="1842">
        <v>93</v>
      </c>
      <c r="B395" s="1854"/>
      <c r="C395" s="1847"/>
      <c r="D395" s="1981" t="s">
        <v>975</v>
      </c>
      <c r="E395" s="1982" t="str">
        <f ca="1">参考2_エネ使用量経年!E421</f>
        <v/>
      </c>
      <c r="F395" s="1879"/>
      <c r="G395" s="1225" t="s">
        <v>1109</v>
      </c>
      <c r="H395" s="1850">
        <f ca="1">IFERROR(OFFSET(貼付け_2024実績,$A395,6),"")</f>
        <v>0</v>
      </c>
      <c r="I395" s="1850">
        <f ca="1">IFERROR(OFFSET(貼付け_2025実績,$A395,6),"")</f>
        <v>0</v>
      </c>
      <c r="J395" s="1850">
        <f ca="1">IFERROR(OFFSET(貼付け_2026実績,$A395,6),"")</f>
        <v>0</v>
      </c>
      <c r="K395" s="1850">
        <f ca="1">IFERROR(OFFSET(貼付け_2027実績,$A395,6),"")</f>
        <v>0</v>
      </c>
      <c r="L395" s="1851">
        <f ca="1">IFERROR($H395*(参考2_エネ使用量経年!L245+参考2_エネ使用量経年!L332)*1000,"")</f>
        <v>0</v>
      </c>
      <c r="M395" s="1851">
        <f ca="1">IFERROR($I395*(参考2_エネ使用量経年!M245+参考2_エネ使用量経年!M332)*1000,"")</f>
        <v>0</v>
      </c>
      <c r="N395" s="1851">
        <f ca="1">IFERROR($J395*(参考2_エネ使用量経年!N245+参考2_エネ使用量経年!N332)*1000,"")</f>
        <v>0</v>
      </c>
      <c r="O395" s="1851">
        <f ca="1">IFERROR($K395*(参考2_エネ使用量経年!O245+参考2_エネ使用量経年!O332)*1000,"")</f>
        <v>0</v>
      </c>
      <c r="P395" s="1852">
        <f ca="1">IFERROR($H395*(参考2_エネ使用量経年!P245+参考2_エネ使用量経年!P332)*1000,"")</f>
        <v>0</v>
      </c>
      <c r="Q395" s="1852">
        <f ca="1">IFERROR($I395*(参考2_エネ使用量経年!Q245+参考2_エネ使用量経年!Q332)*1000,"")</f>
        <v>0</v>
      </c>
      <c r="R395" s="1852">
        <f ca="1">IFERROR($J395*(参考2_エネ使用量経年!R245+参考2_エネ使用量経年!R332)*1000,"")</f>
        <v>0</v>
      </c>
      <c r="S395" s="1852">
        <f ca="1">IFERROR($K395*(参考2_エネ使用量経年!S245+参考2_エネ使用量経年!S332)*1000,"")</f>
        <v>0</v>
      </c>
      <c r="T395" s="1851">
        <f ca="1">IFERROR($H395*(参考2_エネ使用量経年!T245+参考2_エネ使用量経年!T332)*1000,"")</f>
        <v>0</v>
      </c>
      <c r="U395" s="1851">
        <f ca="1">IFERROR($I395*(参考2_エネ使用量経年!U245+参考2_エネ使用量経年!U332)*1000,"")</f>
        <v>0</v>
      </c>
      <c r="V395" s="1851">
        <f ca="1">IFERROR($J395*(参考2_エネ使用量経年!V245+参考2_エネ使用量経年!V332)*1000,"")</f>
        <v>0</v>
      </c>
      <c r="W395" s="1851">
        <f ca="1">IFERROR($K395*(参考2_エネ使用量経年!W245+参考2_エネ使用量経年!W332)*1000,"")</f>
        <v>0</v>
      </c>
      <c r="X395" s="1853">
        <f ca="1">IFERROR($H395*(参考2_エネ使用量経年!X245+参考2_エネ使用量経年!X332)*1000,"")</f>
        <v>0</v>
      </c>
      <c r="Y395" s="1853">
        <f ca="1">IFERROR($I395*(参考2_エネ使用量経年!Y245+参考2_エネ使用量経年!Y332)*1000,"")</f>
        <v>0</v>
      </c>
      <c r="Z395" s="1853">
        <f ca="1">IFERROR($J395*(参考2_エネ使用量経年!Z245+参考2_エネ使用量経年!Z332)*1000,"")</f>
        <v>0</v>
      </c>
      <c r="AA395" s="1853">
        <f ca="1">IFERROR($K395*(参考2_エネ使用量経年!AA245+参考2_エネ使用量経年!AA332)*1000,"")</f>
        <v>0</v>
      </c>
      <c r="AB395" s="1853"/>
      <c r="AC395" s="1853"/>
      <c r="AD395" s="1853"/>
      <c r="AE395" s="1853"/>
      <c r="AF395" s="1853"/>
      <c r="AG395" s="1853"/>
      <c r="AH395" s="1853"/>
      <c r="AI395" s="1853"/>
      <c r="AJ395" s="1853"/>
      <c r="AK395" s="1853"/>
      <c r="AL395" s="1853"/>
      <c r="AM395" s="1853"/>
      <c r="AN395" s="1853"/>
      <c r="AO395" s="1853"/>
      <c r="AP395" s="1853"/>
      <c r="AQ395" s="1853"/>
      <c r="AR395" s="1853"/>
      <c r="AS395" s="1853"/>
      <c r="AT395" s="1853"/>
      <c r="AU395" s="1853"/>
      <c r="AV395" s="1853"/>
      <c r="AW395" s="1853"/>
      <c r="AX395" s="1853"/>
      <c r="AY395" s="1853"/>
      <c r="AZ395" s="1853"/>
      <c r="BA395" s="1853"/>
      <c r="BB395" s="1853"/>
      <c r="BC395" s="1853"/>
      <c r="BD395" s="1853"/>
      <c r="BE395" s="1853"/>
      <c r="BF395" s="1853"/>
      <c r="BG395" s="1853"/>
      <c r="BH395" s="1853"/>
      <c r="BI395" s="1853"/>
      <c r="BJ395" s="1853"/>
      <c r="BK395" s="1853"/>
      <c r="BL395" s="1853"/>
      <c r="BM395" s="1853"/>
      <c r="BN395" s="1853"/>
      <c r="BO395" s="1853"/>
      <c r="BP395" s="1862"/>
    </row>
    <row r="396" spans="1:68" ht="20.100000000000001" customHeight="1">
      <c r="A396" s="1845"/>
      <c r="B396" s="1854"/>
      <c r="C396" s="1847"/>
      <c r="D396" s="1981"/>
      <c r="E396" s="1983"/>
      <c r="F396" s="1882"/>
      <c r="G396" s="1225"/>
      <c r="H396" s="1978"/>
      <c r="I396" s="1979"/>
      <c r="J396" s="1979"/>
      <c r="K396" s="1979"/>
      <c r="L396" s="1978"/>
      <c r="M396" s="1979"/>
      <c r="N396" s="1979"/>
      <c r="O396" s="1979"/>
      <c r="P396" s="1978"/>
      <c r="Q396" s="1979"/>
      <c r="R396" s="1979"/>
      <c r="S396" s="1979"/>
      <c r="T396" s="1978"/>
      <c r="U396" s="1979"/>
      <c r="V396" s="1979"/>
      <c r="W396" s="1979"/>
      <c r="X396" s="1980"/>
      <c r="Y396" s="1977"/>
      <c r="Z396" s="1977"/>
      <c r="AA396" s="1977"/>
      <c r="AB396" s="1980"/>
      <c r="AC396" s="1977"/>
      <c r="AD396" s="1977"/>
      <c r="AE396" s="1977"/>
      <c r="AF396" s="1980"/>
      <c r="AG396" s="1977"/>
      <c r="AH396" s="1977"/>
      <c r="AI396" s="1977"/>
      <c r="AJ396" s="1980"/>
      <c r="AK396" s="1977"/>
      <c r="AL396" s="1977"/>
      <c r="AM396" s="1977"/>
      <c r="AN396" s="1980"/>
      <c r="AO396" s="1977"/>
      <c r="AP396" s="1977"/>
      <c r="AQ396" s="1977"/>
      <c r="AR396" s="1980"/>
      <c r="AS396" s="1977"/>
      <c r="AT396" s="1977"/>
      <c r="AU396" s="1977"/>
      <c r="AV396" s="1980"/>
      <c r="AW396" s="1977"/>
      <c r="AX396" s="1977"/>
      <c r="AY396" s="1977"/>
      <c r="AZ396" s="1980"/>
      <c r="BA396" s="1977"/>
      <c r="BB396" s="1977"/>
      <c r="BC396" s="1977"/>
      <c r="BD396" s="1980"/>
      <c r="BE396" s="1977"/>
      <c r="BF396" s="1977"/>
      <c r="BG396" s="1977"/>
      <c r="BH396" s="1980"/>
      <c r="BI396" s="1977"/>
      <c r="BJ396" s="1977"/>
      <c r="BK396" s="1977"/>
      <c r="BL396" s="1980"/>
      <c r="BM396" s="1977"/>
      <c r="BN396" s="1977"/>
      <c r="BO396" s="1977"/>
      <c r="BP396" s="1862"/>
    </row>
    <row r="397" spans="1:68" ht="20.100000000000001" customHeight="1">
      <c r="A397" s="1842">
        <v>95</v>
      </c>
      <c r="B397" s="1854"/>
      <c r="C397" s="1847"/>
      <c r="D397" s="1869" t="s">
        <v>976</v>
      </c>
      <c r="E397" s="1982" t="str">
        <f ca="1">参考2_エネ使用量経年!E423</f>
        <v/>
      </c>
      <c r="F397" s="1849"/>
      <c r="G397" s="1225" t="s">
        <v>1109</v>
      </c>
      <c r="H397" s="1850">
        <f ca="1">IFERROR(OFFSET(貼付け_2024実績,$A397,6),"")</f>
        <v>0</v>
      </c>
      <c r="I397" s="1850">
        <f ca="1">IFERROR(OFFSET(貼付け_2025実績,$A397,6),"")</f>
        <v>0</v>
      </c>
      <c r="J397" s="1850">
        <f ca="1">IFERROR(OFFSET(貼付け_2026実績,$A397,6),"")</f>
        <v>0</v>
      </c>
      <c r="K397" s="1850">
        <f ca="1">IFERROR(OFFSET(貼付け_2027実績,$A397,6),"")</f>
        <v>0</v>
      </c>
      <c r="L397" s="1851">
        <f ca="1">IFERROR($H397*(参考2_エネ使用量経年!L247+参考2_エネ使用量経年!L334)*1000,"")</f>
        <v>0</v>
      </c>
      <c r="M397" s="1851">
        <f ca="1">IFERROR($I397*(参考2_エネ使用量経年!M247+参考2_エネ使用量経年!M334)*1000,"")</f>
        <v>0</v>
      </c>
      <c r="N397" s="1851">
        <f ca="1">IFERROR($J397*(参考2_エネ使用量経年!N247+参考2_エネ使用量経年!N334)*1000,"")</f>
        <v>0</v>
      </c>
      <c r="O397" s="1851">
        <f ca="1">IFERROR($K397*(参考2_エネ使用量経年!O247+参考2_エネ使用量経年!O334)*1000,"")</f>
        <v>0</v>
      </c>
      <c r="P397" s="1852">
        <f ca="1">IFERROR($H397*(参考2_エネ使用量経年!P247+参考2_エネ使用量経年!P334)*1000,"")</f>
        <v>0</v>
      </c>
      <c r="Q397" s="1852">
        <f ca="1">IFERROR($I397*(参考2_エネ使用量経年!Q247+参考2_エネ使用量経年!Q334)*1000,"")</f>
        <v>0</v>
      </c>
      <c r="R397" s="1852">
        <f ca="1">IFERROR($J397*(参考2_エネ使用量経年!R247+参考2_エネ使用量経年!R334)*1000,"")</f>
        <v>0</v>
      </c>
      <c r="S397" s="1852">
        <f ca="1">IFERROR($K397*(参考2_エネ使用量経年!S247+参考2_エネ使用量経年!S334)*1000,"")</f>
        <v>0</v>
      </c>
      <c r="T397" s="1851">
        <f ca="1">IFERROR($H397*(参考2_エネ使用量経年!T247+参考2_エネ使用量経年!T334)*1000,"")</f>
        <v>0</v>
      </c>
      <c r="U397" s="1851">
        <f ca="1">IFERROR($I397*(参考2_エネ使用量経年!U247+参考2_エネ使用量経年!U334)*1000,"")</f>
        <v>0</v>
      </c>
      <c r="V397" s="1851">
        <f ca="1">IFERROR($J397*(参考2_エネ使用量経年!V247+参考2_エネ使用量経年!V334)*1000,"")</f>
        <v>0</v>
      </c>
      <c r="W397" s="1851">
        <f ca="1">IFERROR($K397*(参考2_エネ使用量経年!W247+参考2_エネ使用量経年!W334)*1000,"")</f>
        <v>0</v>
      </c>
      <c r="X397" s="1853">
        <f ca="1">IFERROR($H397*(参考2_エネ使用量経年!X247+参考2_エネ使用量経年!X334)*1000,"")</f>
        <v>0</v>
      </c>
      <c r="Y397" s="1853">
        <f ca="1">IFERROR($I397*(参考2_エネ使用量経年!Y247+参考2_エネ使用量経年!Y334)*1000,"")</f>
        <v>0</v>
      </c>
      <c r="Z397" s="1853">
        <f ca="1">IFERROR($J397*(参考2_エネ使用量経年!Z247+参考2_エネ使用量経年!Z334)*1000,"")</f>
        <v>0</v>
      </c>
      <c r="AA397" s="1853">
        <f ca="1">IFERROR($K397*(参考2_エネ使用量経年!AA247+参考2_エネ使用量経年!AA334)*1000,"")</f>
        <v>0</v>
      </c>
      <c r="AB397" s="1853"/>
      <c r="AC397" s="1853"/>
      <c r="AD397" s="1853"/>
      <c r="AE397" s="1853"/>
      <c r="AF397" s="1853"/>
      <c r="AG397" s="1853"/>
      <c r="AH397" s="1853"/>
      <c r="AI397" s="1853"/>
      <c r="AJ397" s="1853"/>
      <c r="AK397" s="1853"/>
      <c r="AL397" s="1853"/>
      <c r="AM397" s="1853"/>
      <c r="AN397" s="1853"/>
      <c r="AO397" s="1853"/>
      <c r="AP397" s="1853"/>
      <c r="AQ397" s="1853"/>
      <c r="AR397" s="1853"/>
      <c r="AS397" s="1853"/>
      <c r="AT397" s="1853"/>
      <c r="AU397" s="1853"/>
      <c r="AV397" s="1853"/>
      <c r="AW397" s="1853"/>
      <c r="AX397" s="1853"/>
      <c r="AY397" s="1853"/>
      <c r="AZ397" s="1853"/>
      <c r="BA397" s="1853"/>
      <c r="BB397" s="1853"/>
      <c r="BC397" s="1853"/>
      <c r="BD397" s="1853"/>
      <c r="BE397" s="1853"/>
      <c r="BF397" s="1853"/>
      <c r="BG397" s="1853"/>
      <c r="BH397" s="1853"/>
      <c r="BI397" s="1853"/>
      <c r="BJ397" s="1853"/>
      <c r="BK397" s="1853"/>
      <c r="BL397" s="1853"/>
      <c r="BM397" s="1853"/>
      <c r="BN397" s="1853"/>
      <c r="BO397" s="1853"/>
      <c r="BP397" s="1862"/>
    </row>
    <row r="398" spans="1:68" ht="20.100000000000001" customHeight="1">
      <c r="A398" s="1845">
        <v>96</v>
      </c>
      <c r="B398" s="1854"/>
      <c r="C398" s="1847"/>
      <c r="D398" s="1869" t="s">
        <v>977</v>
      </c>
      <c r="E398" s="1982" t="str">
        <f ca="1">参考2_エネ使用量経年!E424</f>
        <v/>
      </c>
      <c r="F398" s="1883"/>
      <c r="G398" s="1225" t="s">
        <v>1109</v>
      </c>
      <c r="H398" s="1850">
        <f ca="1">IFERROR(OFFSET(貼付け_2024実績,$A398,6),"")</f>
        <v>0</v>
      </c>
      <c r="I398" s="1850">
        <f ca="1">IFERROR(OFFSET(貼付け_2025実績,$A398,6),"")</f>
        <v>0</v>
      </c>
      <c r="J398" s="1850">
        <f ca="1">IFERROR(OFFSET(貼付け_2026実績,$A398,6),"")</f>
        <v>0</v>
      </c>
      <c r="K398" s="1850">
        <f ca="1">IFERROR(OFFSET(貼付け_2027実績,$A398,6),"")</f>
        <v>0</v>
      </c>
      <c r="L398" s="1851">
        <f ca="1">IFERROR($H398*(参考2_エネ使用量経年!L248+参考2_エネ使用量経年!L335)*1000,"")</f>
        <v>0</v>
      </c>
      <c r="M398" s="1851">
        <f ca="1">IFERROR($I398*(参考2_エネ使用量経年!M248+参考2_エネ使用量経年!M335)*1000,"")</f>
        <v>0</v>
      </c>
      <c r="N398" s="1851">
        <f ca="1">IFERROR($J398*(参考2_エネ使用量経年!N248+参考2_エネ使用量経年!N335)*1000,"")</f>
        <v>0</v>
      </c>
      <c r="O398" s="1851">
        <f ca="1">IFERROR($K398*(参考2_エネ使用量経年!O248+参考2_エネ使用量経年!O335)*1000,"")</f>
        <v>0</v>
      </c>
      <c r="P398" s="1852">
        <f ca="1">IFERROR($H398*(参考2_エネ使用量経年!P248+参考2_エネ使用量経年!P335)*1000,"")</f>
        <v>0</v>
      </c>
      <c r="Q398" s="1852">
        <f ca="1">IFERROR($I398*(参考2_エネ使用量経年!Q248+参考2_エネ使用量経年!Q335)*1000,"")</f>
        <v>0</v>
      </c>
      <c r="R398" s="1852">
        <f ca="1">IFERROR($J398*(参考2_エネ使用量経年!R248+参考2_エネ使用量経年!R335)*1000,"")</f>
        <v>0</v>
      </c>
      <c r="S398" s="1852">
        <f ca="1">IFERROR($K398*(参考2_エネ使用量経年!S248+参考2_エネ使用量経年!S335)*1000,"")</f>
        <v>0</v>
      </c>
      <c r="T398" s="1851">
        <f ca="1">IFERROR($H398*(参考2_エネ使用量経年!T248+参考2_エネ使用量経年!T335)*1000,"")</f>
        <v>0</v>
      </c>
      <c r="U398" s="1851">
        <f ca="1">IFERROR($I398*(参考2_エネ使用量経年!U248+参考2_エネ使用量経年!U335)*1000,"")</f>
        <v>0</v>
      </c>
      <c r="V398" s="1851">
        <f ca="1">IFERROR($J398*(参考2_エネ使用量経年!V248+参考2_エネ使用量経年!V335)*1000,"")</f>
        <v>0</v>
      </c>
      <c r="W398" s="1851">
        <f ca="1">IFERROR($K398*(参考2_エネ使用量経年!W248+参考2_エネ使用量経年!W335)*1000,"")</f>
        <v>0</v>
      </c>
      <c r="X398" s="1853">
        <f ca="1">IFERROR($H398*(参考2_エネ使用量経年!X248+参考2_エネ使用量経年!X335)*1000,"")</f>
        <v>0</v>
      </c>
      <c r="Y398" s="1853">
        <f ca="1">IFERROR($I398*(参考2_エネ使用量経年!Y248+参考2_エネ使用量経年!Y335)*1000,"")</f>
        <v>0</v>
      </c>
      <c r="Z398" s="1853">
        <f ca="1">IFERROR($J398*(参考2_エネ使用量経年!Z248+参考2_エネ使用量経年!Z335)*1000,"")</f>
        <v>0</v>
      </c>
      <c r="AA398" s="1853">
        <f ca="1">IFERROR($K398*(参考2_エネ使用量経年!AA248+参考2_エネ使用量経年!AA335)*1000,"")</f>
        <v>0</v>
      </c>
      <c r="AB398" s="1853"/>
      <c r="AC398" s="1853"/>
      <c r="AD398" s="1853"/>
      <c r="AE398" s="1853"/>
      <c r="AF398" s="1853"/>
      <c r="AG398" s="1853"/>
      <c r="AH398" s="1853"/>
      <c r="AI398" s="1853"/>
      <c r="AJ398" s="1853"/>
      <c r="AK398" s="1853"/>
      <c r="AL398" s="1853"/>
      <c r="AM398" s="1853"/>
      <c r="AN398" s="1853"/>
      <c r="AO398" s="1853"/>
      <c r="AP398" s="1853"/>
      <c r="AQ398" s="1853"/>
      <c r="AR398" s="1853"/>
      <c r="AS398" s="1853"/>
      <c r="AT398" s="1853"/>
      <c r="AU398" s="1853"/>
      <c r="AV398" s="1853"/>
      <c r="AW398" s="1853"/>
      <c r="AX398" s="1853"/>
      <c r="AY398" s="1853"/>
      <c r="AZ398" s="1853"/>
      <c r="BA398" s="1853"/>
      <c r="BB398" s="1853"/>
      <c r="BC398" s="1853"/>
      <c r="BD398" s="1853"/>
      <c r="BE398" s="1853"/>
      <c r="BF398" s="1853"/>
      <c r="BG398" s="1853"/>
      <c r="BH398" s="1853"/>
      <c r="BI398" s="1853"/>
      <c r="BJ398" s="1853"/>
      <c r="BK398" s="1853"/>
      <c r="BL398" s="1853"/>
      <c r="BM398" s="1853"/>
      <c r="BN398" s="1853"/>
      <c r="BO398" s="1853"/>
      <c r="BP398" s="1862"/>
    </row>
    <row r="399" spans="1:68" ht="20.100000000000001" customHeight="1">
      <c r="A399" s="1842">
        <v>97</v>
      </c>
      <c r="B399" s="1854"/>
      <c r="C399" s="1847"/>
      <c r="D399" s="1869" t="s">
        <v>979</v>
      </c>
      <c r="E399" s="1982" t="str">
        <f ca="1">参考2_エネ使用量経年!E425</f>
        <v/>
      </c>
      <c r="F399" s="1883"/>
      <c r="G399" s="1225" t="s">
        <v>1109</v>
      </c>
      <c r="H399" s="1850">
        <f ca="1">IFERROR(OFFSET(貼付け_2024実績,$A399,6),"")</f>
        <v>0</v>
      </c>
      <c r="I399" s="1850">
        <f ca="1">IFERROR(OFFSET(貼付け_2025実績,$A399,6),"")</f>
        <v>0</v>
      </c>
      <c r="J399" s="1850">
        <f ca="1">IFERROR(OFFSET(貼付け_2026実績,$A399,6),"")</f>
        <v>0</v>
      </c>
      <c r="K399" s="1850">
        <f ca="1">IFERROR(OFFSET(貼付け_2027実績,$A399,6),"")</f>
        <v>0</v>
      </c>
      <c r="L399" s="1851">
        <f ca="1">IFERROR($H399*(参考2_エネ使用量経年!L249+参考2_エネ使用量経年!L336)*1000,"")</f>
        <v>0</v>
      </c>
      <c r="M399" s="1851">
        <f ca="1">IFERROR($I399*(参考2_エネ使用量経年!M249+参考2_エネ使用量経年!M336)*1000,"")</f>
        <v>0</v>
      </c>
      <c r="N399" s="1851">
        <f ca="1">IFERROR($J399*(参考2_エネ使用量経年!N249+参考2_エネ使用量経年!N336)*1000,"")</f>
        <v>0</v>
      </c>
      <c r="O399" s="1851">
        <f ca="1">IFERROR($K399*(参考2_エネ使用量経年!O249+参考2_エネ使用量経年!O336)*1000,"")</f>
        <v>0</v>
      </c>
      <c r="P399" s="1852">
        <f ca="1">IFERROR($H399*(参考2_エネ使用量経年!P249+参考2_エネ使用量経年!P336)*1000,"")</f>
        <v>0</v>
      </c>
      <c r="Q399" s="1852">
        <f ca="1">IFERROR($I399*(参考2_エネ使用量経年!Q249+参考2_エネ使用量経年!Q336)*1000,"")</f>
        <v>0</v>
      </c>
      <c r="R399" s="1852">
        <f ca="1">IFERROR($J399*(参考2_エネ使用量経年!R249+参考2_エネ使用量経年!R336)*1000,"")</f>
        <v>0</v>
      </c>
      <c r="S399" s="1852">
        <f ca="1">IFERROR($K399*(参考2_エネ使用量経年!S249+参考2_エネ使用量経年!S336)*1000,"")</f>
        <v>0</v>
      </c>
      <c r="T399" s="1851">
        <f ca="1">IFERROR($H399*(参考2_エネ使用量経年!T249+参考2_エネ使用量経年!T336)*1000,"")</f>
        <v>0</v>
      </c>
      <c r="U399" s="1851">
        <f ca="1">IFERROR($I399*(参考2_エネ使用量経年!U249+参考2_エネ使用量経年!U336)*1000,"")</f>
        <v>0</v>
      </c>
      <c r="V399" s="1851">
        <f ca="1">IFERROR($J399*(参考2_エネ使用量経年!V249+参考2_エネ使用量経年!V336)*1000,"")</f>
        <v>0</v>
      </c>
      <c r="W399" s="1851">
        <f ca="1">IFERROR($K399*(参考2_エネ使用量経年!W249+参考2_エネ使用量経年!W336)*1000,"")</f>
        <v>0</v>
      </c>
      <c r="X399" s="1853">
        <f ca="1">IFERROR($H399*(参考2_エネ使用量経年!X249+参考2_エネ使用量経年!X336)*1000,"")</f>
        <v>0</v>
      </c>
      <c r="Y399" s="1853">
        <f ca="1">IFERROR($I399*(参考2_エネ使用量経年!Y249+参考2_エネ使用量経年!Y336)*1000,"")</f>
        <v>0</v>
      </c>
      <c r="Z399" s="1853">
        <f ca="1">IFERROR($J399*(参考2_エネ使用量経年!Z249+参考2_エネ使用量経年!Z336)*1000,"")</f>
        <v>0</v>
      </c>
      <c r="AA399" s="1853">
        <f ca="1">IFERROR($K399*(参考2_エネ使用量経年!AA249+参考2_エネ使用量経年!AA336)*1000,"")</f>
        <v>0</v>
      </c>
      <c r="AB399" s="1853"/>
      <c r="AC399" s="1853"/>
      <c r="AD399" s="1853"/>
      <c r="AE399" s="1853"/>
      <c r="AF399" s="1853"/>
      <c r="AG399" s="1853"/>
      <c r="AH399" s="1853"/>
      <c r="AI399" s="1853"/>
      <c r="AJ399" s="1853"/>
      <c r="AK399" s="1853"/>
      <c r="AL399" s="1853"/>
      <c r="AM399" s="1853"/>
      <c r="AN399" s="1853"/>
      <c r="AO399" s="1853"/>
      <c r="AP399" s="1853"/>
      <c r="AQ399" s="1853"/>
      <c r="AR399" s="1853"/>
      <c r="AS399" s="1853"/>
      <c r="AT399" s="1853"/>
      <c r="AU399" s="1853"/>
      <c r="AV399" s="1853"/>
      <c r="AW399" s="1853"/>
      <c r="AX399" s="1853"/>
      <c r="AY399" s="1853"/>
      <c r="AZ399" s="1853"/>
      <c r="BA399" s="1853"/>
      <c r="BB399" s="1853"/>
      <c r="BC399" s="1853"/>
      <c r="BD399" s="1853"/>
      <c r="BE399" s="1853"/>
      <c r="BF399" s="1853"/>
      <c r="BG399" s="1853"/>
      <c r="BH399" s="1853"/>
      <c r="BI399" s="1853"/>
      <c r="BJ399" s="1853"/>
      <c r="BK399" s="1853"/>
      <c r="BL399" s="1853"/>
      <c r="BM399" s="1853"/>
      <c r="BN399" s="1853"/>
      <c r="BO399" s="1853"/>
      <c r="BP399" s="1862"/>
    </row>
    <row r="400" spans="1:68" ht="20.100000000000001" customHeight="1">
      <c r="A400" s="1845">
        <v>98</v>
      </c>
      <c r="B400" s="1854"/>
      <c r="C400" s="1847"/>
      <c r="D400" s="1869" t="s">
        <v>981</v>
      </c>
      <c r="E400" s="1982" t="str">
        <f ca="1">参考2_エネ使用量経年!E426</f>
        <v/>
      </c>
      <c r="F400" s="1883"/>
      <c r="G400" s="1225" t="s">
        <v>1109</v>
      </c>
      <c r="H400" s="1850">
        <f ca="1">IFERROR(OFFSET(貼付け_2024実績,$A400,6),"")</f>
        <v>0</v>
      </c>
      <c r="I400" s="1850">
        <f ca="1">IFERROR(OFFSET(貼付け_2025実績,$A400,6),"")</f>
        <v>0</v>
      </c>
      <c r="J400" s="1850">
        <f ca="1">IFERROR(OFFSET(貼付け_2026実績,$A400,6),"")</f>
        <v>0</v>
      </c>
      <c r="K400" s="1850">
        <f ca="1">IFERROR(OFFSET(貼付け_2027実績,$A400,6),"")</f>
        <v>0</v>
      </c>
      <c r="L400" s="1851">
        <f ca="1">IFERROR($H400*(参考2_エネ使用量経年!L250+参考2_エネ使用量経年!L337)*1000,"")</f>
        <v>0</v>
      </c>
      <c r="M400" s="1851">
        <f ca="1">IFERROR($I400*(参考2_エネ使用量経年!M250+参考2_エネ使用量経年!M337)*1000,"")</f>
        <v>0</v>
      </c>
      <c r="N400" s="1851">
        <f ca="1">IFERROR($J400*(参考2_エネ使用量経年!N250+参考2_エネ使用量経年!N337)*1000,"")</f>
        <v>0</v>
      </c>
      <c r="O400" s="1851">
        <f ca="1">IFERROR($K400*(参考2_エネ使用量経年!O250+参考2_エネ使用量経年!O337)*1000,"")</f>
        <v>0</v>
      </c>
      <c r="P400" s="1852">
        <f ca="1">IFERROR($H400*(参考2_エネ使用量経年!P250+参考2_エネ使用量経年!P337)*1000,"")</f>
        <v>0</v>
      </c>
      <c r="Q400" s="1852">
        <f ca="1">IFERROR($I400*(参考2_エネ使用量経年!Q250+参考2_エネ使用量経年!Q337)*1000,"")</f>
        <v>0</v>
      </c>
      <c r="R400" s="1852">
        <f ca="1">IFERROR($J400*(参考2_エネ使用量経年!R250+参考2_エネ使用量経年!R337)*1000,"")</f>
        <v>0</v>
      </c>
      <c r="S400" s="1852">
        <f ca="1">IFERROR($K400*(参考2_エネ使用量経年!S250+参考2_エネ使用量経年!S337)*1000,"")</f>
        <v>0</v>
      </c>
      <c r="T400" s="1851">
        <f ca="1">IFERROR($H400*(参考2_エネ使用量経年!T250+参考2_エネ使用量経年!T337)*1000,"")</f>
        <v>0</v>
      </c>
      <c r="U400" s="1851">
        <f ca="1">IFERROR($I400*(参考2_エネ使用量経年!U250+参考2_エネ使用量経年!U337)*1000,"")</f>
        <v>0</v>
      </c>
      <c r="V400" s="1851">
        <f ca="1">IFERROR($J400*(参考2_エネ使用量経年!V250+参考2_エネ使用量経年!V337)*1000,"")</f>
        <v>0</v>
      </c>
      <c r="W400" s="1851">
        <f ca="1">IFERROR($K400*(参考2_エネ使用量経年!W250+参考2_エネ使用量経年!W337)*1000,"")</f>
        <v>0</v>
      </c>
      <c r="X400" s="1853">
        <f ca="1">IFERROR($H400*(参考2_エネ使用量経年!X250+参考2_エネ使用量経年!X337)*1000,"")</f>
        <v>0</v>
      </c>
      <c r="Y400" s="1853">
        <f ca="1">IFERROR($I400*(参考2_エネ使用量経年!Y250+参考2_エネ使用量経年!Y337)*1000,"")</f>
        <v>0</v>
      </c>
      <c r="Z400" s="1853">
        <f ca="1">IFERROR($J400*(参考2_エネ使用量経年!Z250+参考2_エネ使用量経年!Z337)*1000,"")</f>
        <v>0</v>
      </c>
      <c r="AA400" s="1853">
        <f ca="1">IFERROR($K400*(参考2_エネ使用量経年!AA250+参考2_エネ使用量経年!AA337)*1000,"")</f>
        <v>0</v>
      </c>
      <c r="AB400" s="1853"/>
      <c r="AC400" s="1853"/>
      <c r="AD400" s="1853"/>
      <c r="AE400" s="1853"/>
      <c r="AF400" s="1853"/>
      <c r="AG400" s="1853"/>
      <c r="AH400" s="1853"/>
      <c r="AI400" s="1853"/>
      <c r="AJ400" s="1853"/>
      <c r="AK400" s="1853"/>
      <c r="AL400" s="1853"/>
      <c r="AM400" s="1853"/>
      <c r="AN400" s="1853"/>
      <c r="AO400" s="1853"/>
      <c r="AP400" s="1853"/>
      <c r="AQ400" s="1853"/>
      <c r="AR400" s="1853"/>
      <c r="AS400" s="1853"/>
      <c r="AT400" s="1853"/>
      <c r="AU400" s="1853"/>
      <c r="AV400" s="1853"/>
      <c r="AW400" s="1853"/>
      <c r="AX400" s="1853"/>
      <c r="AY400" s="1853"/>
      <c r="AZ400" s="1853"/>
      <c r="BA400" s="1853"/>
      <c r="BB400" s="1853"/>
      <c r="BC400" s="1853"/>
      <c r="BD400" s="1853"/>
      <c r="BE400" s="1853"/>
      <c r="BF400" s="1853"/>
      <c r="BG400" s="1853"/>
      <c r="BH400" s="1853"/>
      <c r="BI400" s="1853"/>
      <c r="BJ400" s="1853"/>
      <c r="BK400" s="1853"/>
      <c r="BL400" s="1853"/>
      <c r="BM400" s="1853"/>
      <c r="BN400" s="1853"/>
      <c r="BO400" s="1853"/>
      <c r="BP400" s="1862"/>
    </row>
    <row r="401" spans="1:68" ht="20.100000000000001" customHeight="1">
      <c r="A401" s="1842"/>
      <c r="B401" s="1984" t="s">
        <v>1183</v>
      </c>
      <c r="C401" s="1985"/>
      <c r="D401" s="1848"/>
      <c r="E401" s="1848"/>
      <c r="F401" s="1863"/>
      <c r="G401" s="1225" t="s">
        <v>1109</v>
      </c>
      <c r="H401" s="1867"/>
      <c r="I401" s="1867"/>
      <c r="J401" s="1867"/>
      <c r="K401" s="1867"/>
      <c r="L401" s="1852">
        <f t="shared" ref="L401:AA401" ca="1" si="168">SUM(L321:L400)</f>
        <v>0</v>
      </c>
      <c r="M401" s="1852">
        <f t="shared" ca="1" si="168"/>
        <v>0</v>
      </c>
      <c r="N401" s="1852">
        <f t="shared" ca="1" si="168"/>
        <v>0</v>
      </c>
      <c r="O401" s="1852">
        <f t="shared" ca="1" si="168"/>
        <v>0</v>
      </c>
      <c r="P401" s="1888">
        <f t="shared" ca="1" si="168"/>
        <v>0</v>
      </c>
      <c r="Q401" s="1888">
        <f t="shared" ca="1" si="168"/>
        <v>0</v>
      </c>
      <c r="R401" s="1888">
        <f t="shared" ca="1" si="168"/>
        <v>0</v>
      </c>
      <c r="S401" s="1888">
        <f t="shared" ca="1" si="168"/>
        <v>0</v>
      </c>
      <c r="T401" s="1888">
        <f t="shared" ca="1" si="168"/>
        <v>0</v>
      </c>
      <c r="U401" s="1888">
        <f t="shared" ca="1" si="168"/>
        <v>0</v>
      </c>
      <c r="V401" s="1888">
        <f t="shared" ca="1" si="168"/>
        <v>0</v>
      </c>
      <c r="W401" s="1888">
        <f t="shared" ca="1" si="168"/>
        <v>0</v>
      </c>
      <c r="X401" s="1889">
        <f t="shared" ca="1" si="168"/>
        <v>0</v>
      </c>
      <c r="Y401" s="1889">
        <f t="shared" ca="1" si="168"/>
        <v>0</v>
      </c>
      <c r="Z401" s="1889">
        <f t="shared" ca="1" si="168"/>
        <v>0</v>
      </c>
      <c r="AA401" s="1889">
        <f t="shared" ca="1" si="168"/>
        <v>0</v>
      </c>
      <c r="AB401" s="1889"/>
      <c r="AC401" s="1889"/>
      <c r="AD401" s="1889"/>
      <c r="AE401" s="1889"/>
      <c r="AF401" s="1889"/>
      <c r="AG401" s="1889"/>
      <c r="AH401" s="1889"/>
      <c r="AI401" s="1889"/>
      <c r="AJ401" s="1889"/>
      <c r="AK401" s="1889"/>
      <c r="AL401" s="1889"/>
      <c r="AM401" s="1889"/>
      <c r="AN401" s="1889"/>
      <c r="AO401" s="1889"/>
      <c r="AP401" s="1889"/>
      <c r="AQ401" s="1889"/>
      <c r="AR401" s="1889"/>
      <c r="AS401" s="1889"/>
      <c r="AT401" s="1889"/>
      <c r="AU401" s="1889"/>
      <c r="AV401" s="1889"/>
      <c r="AW401" s="1889"/>
      <c r="AX401" s="1889"/>
      <c r="AY401" s="1889"/>
      <c r="AZ401" s="1889"/>
      <c r="BA401" s="1889"/>
      <c r="BB401" s="1889"/>
      <c r="BC401" s="1889"/>
      <c r="BD401" s="1889"/>
      <c r="BE401" s="1889"/>
      <c r="BF401" s="1889"/>
      <c r="BG401" s="1889"/>
      <c r="BH401" s="1889"/>
      <c r="BI401" s="1889"/>
      <c r="BJ401" s="1889"/>
      <c r="BK401" s="1889"/>
      <c r="BL401" s="1889"/>
      <c r="BM401" s="1889"/>
      <c r="BN401" s="1889"/>
      <c r="BO401" s="1889"/>
      <c r="BP401" s="1862"/>
    </row>
    <row r="402" spans="1:68" ht="20.100000000000001" customHeight="1">
      <c r="A402" s="1842">
        <v>8</v>
      </c>
      <c r="B402" s="1986" t="s">
        <v>1184</v>
      </c>
      <c r="C402" s="1987"/>
      <c r="D402" s="1848" t="s">
        <v>934</v>
      </c>
      <c r="E402" s="1856"/>
      <c r="F402" s="1849"/>
      <c r="G402" s="1225" t="s">
        <v>1109</v>
      </c>
      <c r="H402" s="1974"/>
      <c r="I402" s="1974"/>
      <c r="J402" s="1974"/>
      <c r="K402" s="1974"/>
      <c r="L402" s="1852">
        <f ca="1">SUM(SUMIFS(OFFSET(A1_集計2024,$A402,10,1,200),OFFSET(貼付け_2024実績,4,9,1,200),{"横浜*","川崎*","県域*","エネルギー管理指定工場等*"}))+SUM(SUMIFS(OFFSET(A1_集計2024,$A402,11,1,200),OFFSET(貼付け_2024実績,4,9,1,200),{"横浜*","川崎*","県域*","エネルギー管理指定工場等*"}))</f>
        <v>0</v>
      </c>
      <c r="M402" s="1852">
        <f ca="1">SUM(SUMIFS(OFFSET(A1_集計2025,$A402,10,1,200),OFFSET(貼付け_2025実績,4,9,1,200),{"横浜*","川崎*","県域*","エネルギー管理指定工場等*"}))+SUM(SUMIFS(OFFSET(A1_集計2025,$A402,11,1,200),OFFSET(貼付け_2025実績,4,9,1,200),{"横浜*","川崎*","県域*","エネルギー管理指定工場等*"}))</f>
        <v>0</v>
      </c>
      <c r="N402" s="1852">
        <f ca="1">SUM(SUMIFS(OFFSET(A1_集計2026,$A402,10,1,200),OFFSET(貼付け_2026実績,4,9,1,200),{"横浜*","川崎*","県域*","エネルギー管理指定工場等*"}))+SUM(SUMIFS(OFFSET(A1_集計2026,$A402,11,1,200),OFFSET(貼付け_2026実績,4,9,1,200),{"横浜*","川崎*","県域*","エネルギー管理指定工場等*"}))</f>
        <v>0</v>
      </c>
      <c r="O402" s="1852">
        <f ca="1">SUM(SUMIFS(OFFSET(A1_集計2027,$A402,10,1,200),OFFSET(貼付け_2027実績,4,9,1,200),{"横浜*","川崎*","県域*","エネルギー管理指定工場等*"}))+SUM(SUMIFS(OFFSET(A1_集計2027,$A402,11,1,200),OFFSET(貼付け_2027実績,4,9,1,200),{"横浜*","川崎*","県域*","エネルギー管理指定工場等*"}))</f>
        <v>0</v>
      </c>
      <c r="P402" s="1852">
        <f ca="1">SUM(SUMIFS(OFFSET(A1_集計2024,$A402,10,1,200),OFFSET(貼付け_2024実績,4,9,1,200),{"横浜*","川崎*"}))+SUM(SUMIFS(OFFSET(A1_集計2024,$A402,11,1,200),OFFSET(貼付け_2024実績,4,9,1,200),{"横浜*","川崎*"}))</f>
        <v>0</v>
      </c>
      <c r="Q402" s="1852">
        <f ca="1">SUM(SUMIFS(OFFSET(A1_集計2025,$A402,10,1,200),OFFSET(貼付け_2025実績,4,9,1,200),{"横浜*","川崎*"}))+SUM(SUMIFS(OFFSET(A1_集計2025,$A402,11,1,200),OFFSET(貼付け_2025実績,4,9,1,200),{"横浜*","川崎*"}))</f>
        <v>0</v>
      </c>
      <c r="R402" s="1852">
        <f ca="1">SUM(SUMIFS(OFFSET(A1_集計2026,$A402,10,1,200),OFFSET(貼付け_2026実績,4,9,1,200),{"横浜*","川崎*"}))+SUM(SUMIFS(OFFSET(A1_集計2026,$A402,11,1,200),OFFSET(貼付け_2026実績,4,9,1,200),{"横浜*","川崎*"}))</f>
        <v>0</v>
      </c>
      <c r="S402" s="1852">
        <f ca="1">SUM(SUMIFS(OFFSET(A1_集計2027,$A402,10,1,200),OFFSET(貼付け_2027実績,4,9,1,200),{"横浜*","川崎*"}))+SUM(SUMIFS(OFFSET(A1_集計2027,$A402,11,1,200),OFFSET(貼付け_2027実績,4,9,1,200),{"横浜*","川崎*"}))</f>
        <v>0</v>
      </c>
      <c r="T402" s="1852">
        <f ca="1">SUM(SUMIFS(OFFSET(A1_集計2024,$A402,10,1,200),OFFSET(貼付け_2024実績,4,9,1,200),{"県域*","エネルギー管理指定工場等*"}))+SUM(SUMIFS(OFFSET(A1_集計2024,$A402,11,1,200),OFFSET(貼付け_2024実績,4,9,1,200),{"県域*","エネルギー管理指定工場等*"}))</f>
        <v>0</v>
      </c>
      <c r="U402" s="1852">
        <f ca="1">SUM(SUMIFS(OFFSET(A1_集計2025,$A402,10,1,200),OFFSET(貼付け_2025実績,4,9,1,200),{"県域*","エネルギー管理指定工場等*"}))+SUM(SUMIFS(OFFSET(A1_集計2025,$A402,11,1,200),OFFSET(貼付け_2025実績,4,9,1,200),{"県域*","エネルギー管理指定工場等*"}))</f>
        <v>0</v>
      </c>
      <c r="V402" s="1852">
        <f ca="1">SUM(SUMIFS(OFFSET(A1_集計2026,$A402,10,1,200),OFFSET(貼付け_2026実績,4,9,1,200),{"県域*","エネルギー管理指定工場等*"}))+SUM(SUMIFS(OFFSET(A1_集計2026,$A402,11,1,200),OFFSET(貼付け_2026実績,4,9,1,200),{"県域*","エネルギー管理指定工場等*"}))</f>
        <v>0</v>
      </c>
      <c r="W402" s="1852">
        <f ca="1">SUM(SUMIFS(OFFSET(A1_集計2027,$A402,10,1,200),OFFSET(貼付け_2027実績,4,9,1,200),{"県域*","エネルギー管理指定工場等*"}))+SUM(SUMIFS(OFFSET(A1_集計2027,$A402,11,1,200),OFFSET(貼付け_2027実績,4,9,1,200),{"県域*","エネルギー管理指定工場等*"}))</f>
        <v>0</v>
      </c>
      <c r="X402" s="1853">
        <f ca="1">SUMIFS(OFFSET(A1_集計2024,$A402,10,1,200),OFFSET(貼付け_2024実績,4,9,1,200),"県域*")+SUMIFS(OFFSET(A1_集計2024,$A402,11,1,200),OFFSET(貼付け_2024実績,4,9,1,200),"県域*")</f>
        <v>0</v>
      </c>
      <c r="Y402" s="1853">
        <f ca="1">SUMIFS(OFFSET(A1_集計2025,$A402,10,1,200),OFFSET(貼付け_2025実績,4,9,1,200),"県域*")+SUMIFS(OFFSET(A1_集計2025,$A402,11,1,200),OFFSET(貼付け_2025実績,4,9,1,200),"県域*")</f>
        <v>0</v>
      </c>
      <c r="Z402" s="1853">
        <f ca="1">SUMIFS(OFFSET(A1_集計2026,$A402,10,1,200),OFFSET(貼付け_2026実績,4,9,1,200),"県域*")+SUMIFS(OFFSET(A1_集計2026,$A402,11,1,200),OFFSET(貼付け_2026実績,4,9,1,200),"県域*")</f>
        <v>0</v>
      </c>
      <c r="AA402" s="1853">
        <f ca="1">SUMIFS(OFFSET(A1_集計2027,$A402,10,1,200),OFFSET(貼付け_2027実績,4,9,1,200),"県域*")+SUMIFS(OFFSET(A1_集計2027,$A402,11,1,200),OFFSET(貼付け_2027実績,4,9,1,200),"県域*")</f>
        <v>0</v>
      </c>
      <c r="AB402" s="1853"/>
      <c r="AC402" s="1853"/>
      <c r="AD402" s="1853"/>
      <c r="AE402" s="1853"/>
      <c r="AF402" s="1853"/>
      <c r="AG402" s="1853"/>
      <c r="AH402" s="1853"/>
      <c r="AI402" s="1853"/>
      <c r="AJ402" s="1853"/>
      <c r="AK402" s="1853"/>
      <c r="AL402" s="1853"/>
      <c r="AM402" s="1853"/>
      <c r="AN402" s="1853"/>
      <c r="AO402" s="1853"/>
      <c r="AP402" s="1853"/>
      <c r="AQ402" s="1853"/>
      <c r="AR402" s="1853"/>
      <c r="AS402" s="1853"/>
      <c r="AT402" s="1853"/>
      <c r="AU402" s="1853"/>
      <c r="AV402" s="1853"/>
      <c r="AW402" s="1853"/>
      <c r="AX402" s="1853"/>
      <c r="AY402" s="1853"/>
      <c r="AZ402" s="1853"/>
      <c r="BA402" s="1853"/>
      <c r="BB402" s="1853"/>
      <c r="BC402" s="1853"/>
      <c r="BD402" s="1853"/>
      <c r="BE402" s="1853"/>
      <c r="BF402" s="1853"/>
      <c r="BG402" s="1853"/>
      <c r="BH402" s="1853"/>
      <c r="BI402" s="1853"/>
      <c r="BJ402" s="1853"/>
      <c r="BK402" s="1853"/>
      <c r="BL402" s="1853"/>
      <c r="BM402" s="1853"/>
      <c r="BN402" s="1853"/>
      <c r="BO402" s="1853"/>
      <c r="BP402" s="1862"/>
    </row>
    <row r="403" spans="1:68" ht="20.100000000000001" customHeight="1">
      <c r="A403" s="1845">
        <v>10</v>
      </c>
      <c r="B403" s="1988"/>
      <c r="C403" s="1989"/>
      <c r="D403" s="1848" t="s">
        <v>953</v>
      </c>
      <c r="E403" s="1856"/>
      <c r="F403" s="1863"/>
      <c r="G403" s="1225" t="s">
        <v>1109</v>
      </c>
      <c r="H403" s="1974"/>
      <c r="I403" s="1974"/>
      <c r="J403" s="1974"/>
      <c r="K403" s="1974"/>
      <c r="L403" s="1852">
        <f ca="1">SUM(SUMIFS(OFFSET(A1_集計2024,$A403,10,1,200),OFFSET(貼付け_2024実績,4,9,1,200),{"横浜*","川崎*","県域*","エネルギー管理指定工場等*"}))+SUM(SUMIFS(OFFSET(A1_集計2024,$A403,11,1,200),OFFSET(貼付け_2024実績,4,9,1,200),{"横浜*","川崎*","県域*","エネルギー管理指定工場等*"}))</f>
        <v>0</v>
      </c>
      <c r="M403" s="1852">
        <f ca="1">SUM(SUMIFS(OFFSET(A1_集計2025,$A403,10,1,200),OFFSET(貼付け_2025実績,4,9,1,200),{"横浜*","川崎*","県域*","エネルギー管理指定工場等*"}))+SUM(SUMIFS(OFFSET(A1_集計2025,$A403,11,1,200),OFFSET(貼付け_2025実績,4,9,1,200),{"横浜*","川崎*","県域*","エネルギー管理指定工場等*"}))</f>
        <v>0</v>
      </c>
      <c r="N403" s="1852">
        <f ca="1">SUM(SUMIFS(OFFSET(A1_集計2026,$A403,10,1,200),OFFSET(貼付け_2026実績,4,9,1,200),{"横浜*","川崎*","県域*","エネルギー管理指定工場等*"}))+SUM(SUMIFS(OFFSET(A1_集計2026,$A403,11,1,200),OFFSET(貼付け_2026実績,4,9,1,200),{"横浜*","川崎*","県域*","エネルギー管理指定工場等*"}))</f>
        <v>0</v>
      </c>
      <c r="O403" s="1852">
        <f ca="1">SUM(SUMIFS(OFFSET(A1_集計2027,$A403,10,1,200),OFFSET(貼付け_2027実績,4,9,1,200),{"横浜*","川崎*","県域*","エネルギー管理指定工場等*"}))+SUM(SUMIFS(OFFSET(A1_集計2027,$A403,11,1,200),OFFSET(貼付け_2027実績,4,9,1,200),{"横浜*","川崎*","県域*","エネルギー管理指定工場等*"}))</f>
        <v>0</v>
      </c>
      <c r="P403" s="1852">
        <f ca="1">SUM(SUMIFS(OFFSET(A1_集計2024,$A403,10,1,200),OFFSET(貼付け_2024実績,4,9,1,200),{"横浜*","川崎*"}))+SUM(SUMIFS(OFFSET(A1_集計2024,$A403,11,1,200),OFFSET(貼付け_2024実績,4,9,1,200),{"横浜*","川崎*"}))</f>
        <v>0</v>
      </c>
      <c r="Q403" s="1852">
        <f ca="1">SUM(SUMIFS(OFFSET(A1_集計2025,$A403,10,1,200),OFFSET(貼付け_2025実績,4,9,1,200),{"横浜*","川崎*"}))+SUM(SUMIFS(OFFSET(A1_集計2025,$A403,11,1,200),OFFSET(貼付け_2025実績,4,9,1,200),{"横浜*","川崎*"}))</f>
        <v>0</v>
      </c>
      <c r="R403" s="1852">
        <f ca="1">SUM(SUMIFS(OFFSET(A1_集計2026,$A403,10,1,200),OFFSET(貼付け_2026実績,4,9,1,200),{"横浜*","川崎*"}))+SUM(SUMIFS(OFFSET(A1_集計2026,$A403,11,1,200),OFFSET(貼付け_2026実績,4,9,1,200),{"横浜*","川崎*"}))</f>
        <v>0</v>
      </c>
      <c r="S403" s="1852">
        <f ca="1">SUM(SUMIFS(OFFSET(A1_集計2027,$A403,10,1,200),OFFSET(貼付け_2027実績,4,9,1,200),{"横浜*","川崎*"}))+SUM(SUMIFS(OFFSET(A1_集計2027,$A403,11,1,200),OFFSET(貼付け_2027実績,4,9,1,200),{"横浜*","川崎*"}))</f>
        <v>0</v>
      </c>
      <c r="T403" s="1852">
        <f ca="1">SUM(SUMIFS(OFFSET(A1_集計2024,$A403,10,1,200),OFFSET(貼付け_2024実績,4,9,1,200),{"県域*","エネルギー管理指定工場等*"}))+SUM(SUMIFS(OFFSET(A1_集計2024,$A403,11,1,200),OFFSET(貼付け_2024実績,4,9,1,200),{"県域*","エネルギー管理指定工場等*"}))</f>
        <v>0</v>
      </c>
      <c r="U403" s="1852">
        <f ca="1">SUM(SUMIFS(OFFSET(A1_集計2025,$A403,10,1,200),OFFSET(貼付け_2025実績,4,9,1,200),{"県域*","エネルギー管理指定工場等*"}))+SUM(SUMIFS(OFFSET(A1_集計2025,$A403,11,1,200),OFFSET(貼付け_2025実績,4,9,1,200),{"県域*","エネルギー管理指定工場等*"}))</f>
        <v>0</v>
      </c>
      <c r="V403" s="1852">
        <f ca="1">SUM(SUMIFS(OFFSET(A1_集計2026,$A403,10,1,200),OFFSET(貼付け_2026実績,4,9,1,200),{"県域*","エネルギー管理指定工場等*"}))+SUM(SUMIFS(OFFSET(A1_集計2026,$A403,11,1,200),OFFSET(貼付け_2026実績,4,9,1,200),{"県域*","エネルギー管理指定工場等*"}))</f>
        <v>0</v>
      </c>
      <c r="W403" s="1852">
        <f ca="1">SUM(SUMIFS(OFFSET(A1_集計2027,$A403,10,1,200),OFFSET(貼付け_2027実績,4,9,1,200),{"県域*","エネルギー管理指定工場等*"}))+SUM(SUMIFS(OFFSET(A1_集計2027,$A403,11,1,200),OFFSET(貼付け_2027実績,4,9,1,200),{"県域*","エネルギー管理指定工場等*"}))</f>
        <v>0</v>
      </c>
      <c r="X403" s="1853">
        <f ca="1">SUMIFS(OFFSET(A1_集計2024,$A403,10,1,200),OFFSET(貼付け_2024実績,4,9,1,200),"県域*")+SUMIFS(OFFSET(A1_集計2024,$A403,11,1,200),OFFSET(貼付け_2024実績,4,9,1,200),"県域*")</f>
        <v>0</v>
      </c>
      <c r="Y403" s="1853">
        <f ca="1">SUMIFS(OFFSET(A1_集計2025,$A403,10,1,200),OFFSET(貼付け_2025実績,4,9,1,200),"県域*")+SUMIFS(OFFSET(A1_集計2025,$A403,11,1,200),OFFSET(貼付け_2025実績,4,9,1,200),"県域*")</f>
        <v>0</v>
      </c>
      <c r="Z403" s="1853">
        <f ca="1">SUMIFS(OFFSET(A1_集計2026,$A403,10,1,200),OFFSET(貼付け_2026実績,4,9,1,200),"県域*")+SUMIFS(OFFSET(A1_集計2026,$A403,11,1,200),OFFSET(貼付け_2026実績,4,9,1,200),"県域*")</f>
        <v>0</v>
      </c>
      <c r="AA403" s="1853">
        <f ca="1">SUMIFS(OFFSET(A1_集計2027,$A403,10,1,200),OFFSET(貼付け_2027実績,4,9,1,200),"県域*")+SUMIFS(OFFSET(A1_集計2027,$A403,11,1,200),OFFSET(貼付け_2027実績,4,9,1,200),"県域*")</f>
        <v>0</v>
      </c>
      <c r="AB403" s="1853"/>
      <c r="AC403" s="1853"/>
      <c r="AD403" s="1853"/>
      <c r="AE403" s="1853"/>
      <c r="AF403" s="1853"/>
      <c r="AG403" s="1853"/>
      <c r="AH403" s="1853"/>
      <c r="AI403" s="1853"/>
      <c r="AJ403" s="1853"/>
      <c r="AK403" s="1853"/>
      <c r="AL403" s="1853"/>
      <c r="AM403" s="1853"/>
      <c r="AN403" s="1853"/>
      <c r="AO403" s="1853"/>
      <c r="AP403" s="1853"/>
      <c r="AQ403" s="1853"/>
      <c r="AR403" s="1853"/>
      <c r="AS403" s="1853"/>
      <c r="AT403" s="1853"/>
      <c r="AU403" s="1853"/>
      <c r="AV403" s="1853"/>
      <c r="AW403" s="1853"/>
      <c r="AX403" s="1853"/>
      <c r="AY403" s="1853"/>
      <c r="AZ403" s="1853"/>
      <c r="BA403" s="1853"/>
      <c r="BB403" s="1853"/>
      <c r="BC403" s="1853"/>
      <c r="BD403" s="1853"/>
      <c r="BE403" s="1853"/>
      <c r="BF403" s="1853"/>
      <c r="BG403" s="1853"/>
      <c r="BH403" s="1853"/>
      <c r="BI403" s="1853"/>
      <c r="BJ403" s="1853"/>
      <c r="BK403" s="1853"/>
      <c r="BL403" s="1853"/>
      <c r="BM403" s="1853"/>
      <c r="BN403" s="1853"/>
      <c r="BO403" s="1853"/>
      <c r="BP403" s="1862"/>
    </row>
    <row r="404" spans="1:68" ht="20.100000000000001" customHeight="1">
      <c r="A404" s="1842">
        <v>12</v>
      </c>
      <c r="B404" s="1988"/>
      <c r="C404" s="1989"/>
      <c r="D404" s="1848" t="s">
        <v>954</v>
      </c>
      <c r="E404" s="1856"/>
      <c r="F404" s="1863"/>
      <c r="G404" s="1225" t="s">
        <v>1109</v>
      </c>
      <c r="H404" s="1974"/>
      <c r="I404" s="1974"/>
      <c r="J404" s="1974"/>
      <c r="K404" s="1974"/>
      <c r="L404" s="1852">
        <f ca="1">SUM(SUMIFS(OFFSET(A1_集計2024,$A404,10,1,200),OFFSET(貼付け_2024実績,4,9,1,200),{"横浜*","川崎*","県域*","エネルギー管理指定工場等*"}))+SUM(SUMIFS(OFFSET(A1_集計2024,$A404,11,1,200),OFFSET(貼付け_2024実績,4,9,1,200),{"横浜*","川崎*","県域*","エネルギー管理指定工場等*"}))</f>
        <v>0</v>
      </c>
      <c r="M404" s="1852">
        <f ca="1">SUM(SUMIFS(OFFSET(A1_集計2025,$A404,10,1,200),OFFSET(貼付け_2025実績,4,9,1,200),{"横浜*","川崎*","県域*","エネルギー管理指定工場等*"}))+SUM(SUMIFS(OFFSET(A1_集計2025,$A404,11,1,200),OFFSET(貼付け_2025実績,4,9,1,200),{"横浜*","川崎*","県域*","エネルギー管理指定工場等*"}))</f>
        <v>0</v>
      </c>
      <c r="N404" s="1852">
        <f ca="1">SUM(SUMIFS(OFFSET(A1_集計2026,$A404,10,1,200),OFFSET(貼付け_2026実績,4,9,1,200),{"横浜*","川崎*","県域*","エネルギー管理指定工場等*"}))+SUM(SUMIFS(OFFSET(A1_集計2026,$A404,11,1,200),OFFSET(貼付け_2026実績,4,9,1,200),{"横浜*","川崎*","県域*","エネルギー管理指定工場等*"}))</f>
        <v>0</v>
      </c>
      <c r="O404" s="1852">
        <f ca="1">SUM(SUMIFS(OFFSET(A1_集計2027,$A404,10,1,200),OFFSET(貼付け_2027実績,4,9,1,200),{"横浜*","川崎*","県域*","エネルギー管理指定工場等*"}))+SUM(SUMIFS(OFFSET(A1_集計2027,$A404,11,1,200),OFFSET(貼付け_2027実績,4,9,1,200),{"横浜*","川崎*","県域*","エネルギー管理指定工場等*"}))</f>
        <v>0</v>
      </c>
      <c r="P404" s="1852">
        <f ca="1">SUM(SUMIFS(OFFSET(A1_集計2024,$A404,10,1,200),OFFSET(貼付け_2024実績,4,9,1,200),{"横浜*","川崎*"}))+SUM(SUMIFS(OFFSET(A1_集計2024,$A404,11,1,200),OFFSET(貼付け_2024実績,4,9,1,200),{"横浜*","川崎*"}))</f>
        <v>0</v>
      </c>
      <c r="Q404" s="1852">
        <f ca="1">SUM(SUMIFS(OFFSET(A1_集計2025,$A404,10,1,200),OFFSET(貼付け_2025実績,4,9,1,200),{"横浜*","川崎*"}))+SUM(SUMIFS(OFFSET(A1_集計2025,$A404,11,1,200),OFFSET(貼付け_2025実績,4,9,1,200),{"横浜*","川崎*"}))</f>
        <v>0</v>
      </c>
      <c r="R404" s="1852">
        <f ca="1">SUM(SUMIFS(OFFSET(A1_集計2026,$A404,10,1,200),OFFSET(貼付け_2026実績,4,9,1,200),{"横浜*","川崎*"}))+SUM(SUMIFS(OFFSET(A1_集計2026,$A404,11,1,200),OFFSET(貼付け_2026実績,4,9,1,200),{"横浜*","川崎*"}))</f>
        <v>0</v>
      </c>
      <c r="S404" s="1852">
        <f ca="1">SUM(SUMIFS(OFFSET(A1_集計2027,$A404,10,1,200),OFFSET(貼付け_2027実績,4,9,1,200),{"横浜*","川崎*"}))+SUM(SUMIFS(OFFSET(A1_集計2027,$A404,11,1,200),OFFSET(貼付け_2027実績,4,9,1,200),{"横浜*","川崎*"}))</f>
        <v>0</v>
      </c>
      <c r="T404" s="1852">
        <f ca="1">SUM(SUMIFS(OFFSET(A1_集計2024,$A404,10,1,200),OFFSET(貼付け_2024実績,4,9,1,200),{"県域*","エネルギー管理指定工場等*"}))+SUM(SUMIFS(OFFSET(A1_集計2024,$A404,11,1,200),OFFSET(貼付け_2024実績,4,9,1,200),{"県域*","エネルギー管理指定工場等*"}))</f>
        <v>0</v>
      </c>
      <c r="U404" s="1852">
        <f ca="1">SUM(SUMIFS(OFFSET(A1_集計2025,$A404,10,1,200),OFFSET(貼付け_2025実績,4,9,1,200),{"県域*","エネルギー管理指定工場等*"}))+SUM(SUMIFS(OFFSET(A1_集計2025,$A404,11,1,200),OFFSET(貼付け_2025実績,4,9,1,200),{"県域*","エネルギー管理指定工場等*"}))</f>
        <v>0</v>
      </c>
      <c r="V404" s="1852">
        <f ca="1">SUM(SUMIFS(OFFSET(A1_集計2026,$A404,10,1,200),OFFSET(貼付け_2026実績,4,9,1,200),{"県域*","エネルギー管理指定工場等*"}))+SUM(SUMIFS(OFFSET(A1_集計2026,$A404,11,1,200),OFFSET(貼付け_2026実績,4,9,1,200),{"県域*","エネルギー管理指定工場等*"}))</f>
        <v>0</v>
      </c>
      <c r="W404" s="1852">
        <f ca="1">SUM(SUMIFS(OFFSET(A1_集計2027,$A404,10,1,200),OFFSET(貼付け_2027実績,4,9,1,200),{"県域*","エネルギー管理指定工場等*"}))+SUM(SUMIFS(OFFSET(A1_集計2027,$A404,11,1,200),OFFSET(貼付け_2027実績,4,9,1,200),{"県域*","エネルギー管理指定工場等*"}))</f>
        <v>0</v>
      </c>
      <c r="X404" s="1853">
        <f ca="1">SUMIFS(OFFSET(A1_集計2024,$A404,10,1,200),OFFSET(貼付け_2024実績,4,9,1,200),"県域*")+SUMIFS(OFFSET(A1_集計2024,$A404,11,1,200),OFFSET(貼付け_2024実績,4,9,1,200),"県域*")</f>
        <v>0</v>
      </c>
      <c r="Y404" s="1853">
        <f ca="1">SUMIFS(OFFSET(A1_集計2025,$A404,10,1,200),OFFSET(貼付け_2025実績,4,9,1,200),"県域*")+SUMIFS(OFFSET(A1_集計2025,$A404,11,1,200),OFFSET(貼付け_2025実績,4,9,1,200),"県域*")</f>
        <v>0</v>
      </c>
      <c r="Z404" s="1853">
        <f ca="1">SUMIFS(OFFSET(A1_集計2026,$A404,10,1,200),OFFSET(貼付け_2026実績,4,9,1,200),"県域*")+SUMIFS(OFFSET(A1_集計2026,$A404,11,1,200),OFFSET(貼付け_2026実績,4,9,1,200),"県域*")</f>
        <v>0</v>
      </c>
      <c r="AA404" s="1853">
        <f ca="1">SUMIFS(OFFSET(A1_集計2027,$A404,10,1,200),OFFSET(貼付け_2027実績,4,9,1,200),"県域*")+SUMIFS(OFFSET(A1_集計2027,$A404,11,1,200),OFFSET(貼付け_2027実績,4,9,1,200),"県域*")</f>
        <v>0</v>
      </c>
      <c r="AB404" s="1853"/>
      <c r="AC404" s="1853"/>
      <c r="AD404" s="1853"/>
      <c r="AE404" s="1853"/>
      <c r="AF404" s="1853"/>
      <c r="AG404" s="1853"/>
      <c r="AH404" s="1853"/>
      <c r="AI404" s="1853"/>
      <c r="AJ404" s="1853"/>
      <c r="AK404" s="1853"/>
      <c r="AL404" s="1853"/>
      <c r="AM404" s="1853"/>
      <c r="AN404" s="1853"/>
      <c r="AO404" s="1853"/>
      <c r="AP404" s="1853"/>
      <c r="AQ404" s="1853"/>
      <c r="AR404" s="1853"/>
      <c r="AS404" s="1853"/>
      <c r="AT404" s="1853"/>
      <c r="AU404" s="1853"/>
      <c r="AV404" s="1853"/>
      <c r="AW404" s="1853"/>
      <c r="AX404" s="1853"/>
      <c r="AY404" s="1853"/>
      <c r="AZ404" s="1853"/>
      <c r="BA404" s="1853"/>
      <c r="BB404" s="1853"/>
      <c r="BC404" s="1853"/>
      <c r="BD404" s="1853"/>
      <c r="BE404" s="1853"/>
      <c r="BF404" s="1853"/>
      <c r="BG404" s="1853"/>
      <c r="BH404" s="1853"/>
      <c r="BI404" s="1853"/>
      <c r="BJ404" s="1853"/>
      <c r="BK404" s="1853"/>
      <c r="BL404" s="1853"/>
      <c r="BM404" s="1853"/>
      <c r="BN404" s="1853"/>
      <c r="BO404" s="1853"/>
      <c r="BP404" s="1862"/>
    </row>
    <row r="405" spans="1:68" ht="20.100000000000001" customHeight="1">
      <c r="A405" s="1845">
        <v>14</v>
      </c>
      <c r="B405" s="1990"/>
      <c r="C405" s="1991"/>
      <c r="D405" s="1848" t="s">
        <v>955</v>
      </c>
      <c r="E405" s="1856"/>
      <c r="F405" s="1863"/>
      <c r="G405" s="1225" t="s">
        <v>1109</v>
      </c>
      <c r="H405" s="1974"/>
      <c r="I405" s="1974"/>
      <c r="J405" s="1974"/>
      <c r="K405" s="1974"/>
      <c r="L405" s="1852">
        <f ca="1">SUM(SUMIFS(OFFSET(A1_集計2024,$A405,10,1,200),OFFSET(貼付け_2024実績,4,9,1,200),{"横浜*","川崎*","県域*","エネルギー管理指定工場等*"}))+SUM(SUMIFS(OFFSET(A1_集計2024,$A405,11,1,200),OFFSET(貼付け_2024実績,4,9,1,200),{"横浜*","川崎*","県域*","エネルギー管理指定工場等*"}))</f>
        <v>0</v>
      </c>
      <c r="M405" s="1852">
        <f ca="1">SUM(SUMIFS(OFFSET(A1_集計2025,$A405,10,1,200),OFFSET(貼付け_2025実績,4,9,1,200),{"横浜*","川崎*","県域*","エネルギー管理指定工場等*"}))+SUM(SUMIFS(OFFSET(A1_集計2025,$A405,11,1,200),OFFSET(貼付け_2025実績,4,9,1,200),{"横浜*","川崎*","県域*","エネルギー管理指定工場等*"}))</f>
        <v>0</v>
      </c>
      <c r="N405" s="1852">
        <f ca="1">SUM(SUMIFS(OFFSET(A1_集計2026,$A405,10,1,200),OFFSET(貼付け_2026実績,4,9,1,200),{"横浜*","川崎*","県域*","エネルギー管理指定工場等*"}))+SUM(SUMIFS(OFFSET(A1_集計2026,$A405,11,1,200),OFFSET(貼付け_2026実績,4,9,1,200),{"横浜*","川崎*","県域*","エネルギー管理指定工場等*"}))</f>
        <v>0</v>
      </c>
      <c r="O405" s="1852">
        <f ca="1">SUM(SUMIFS(OFFSET(A1_集計2027,$A405,10,1,200),OFFSET(貼付け_2027実績,4,9,1,200),{"横浜*","川崎*","県域*","エネルギー管理指定工場等*"}))+SUM(SUMIFS(OFFSET(A1_集計2027,$A405,11,1,200),OFFSET(貼付け_2027実績,4,9,1,200),{"横浜*","川崎*","県域*","エネルギー管理指定工場等*"}))</f>
        <v>0</v>
      </c>
      <c r="P405" s="1852">
        <f ca="1">SUM(SUMIFS(OFFSET(A1_集計2024,$A405,10,1,200),OFFSET(貼付け_2024実績,4,9,1,200),{"横浜*","川崎*"}))+SUM(SUMIFS(OFFSET(A1_集計2024,$A405,11,1,200),OFFSET(貼付け_2024実績,4,9,1,200),{"横浜*","川崎*"}))</f>
        <v>0</v>
      </c>
      <c r="Q405" s="1852">
        <f ca="1">SUM(SUMIFS(OFFSET(A1_集計2025,$A405,10,1,200),OFFSET(貼付け_2025実績,4,9,1,200),{"横浜*","川崎*"}))+SUM(SUMIFS(OFFSET(A1_集計2025,$A405,11,1,200),OFFSET(貼付け_2025実績,4,9,1,200),{"横浜*","川崎*"}))</f>
        <v>0</v>
      </c>
      <c r="R405" s="1852">
        <f ca="1">SUM(SUMIFS(OFFSET(A1_集計2026,$A405,10,1,200),OFFSET(貼付け_2026実績,4,9,1,200),{"横浜*","川崎*"}))+SUM(SUMIFS(OFFSET(A1_集計2026,$A405,11,1,200),OFFSET(貼付け_2026実績,4,9,1,200),{"横浜*","川崎*"}))</f>
        <v>0</v>
      </c>
      <c r="S405" s="1852">
        <f ca="1">SUM(SUMIFS(OFFSET(A1_集計2027,$A405,10,1,200),OFFSET(貼付け_2027実績,4,9,1,200),{"横浜*","川崎*"}))+SUM(SUMIFS(OFFSET(A1_集計2027,$A405,11,1,200),OFFSET(貼付け_2027実績,4,9,1,200),{"横浜*","川崎*"}))</f>
        <v>0</v>
      </c>
      <c r="T405" s="1852">
        <f ca="1">SUM(SUMIFS(OFFSET(A1_集計2024,$A405,10,1,200),OFFSET(貼付け_2024実績,4,9,1,200),{"県域*","エネルギー管理指定工場等*"}))+SUM(SUMIFS(OFFSET(A1_集計2024,$A405,11,1,200),OFFSET(貼付け_2024実績,4,9,1,200),{"県域*","エネルギー管理指定工場等*"}))</f>
        <v>0</v>
      </c>
      <c r="U405" s="1852">
        <f ca="1">SUM(SUMIFS(OFFSET(A1_集計2025,$A405,10,1,200),OFFSET(貼付け_2025実績,4,9,1,200),{"県域*","エネルギー管理指定工場等*"}))+SUM(SUMIFS(OFFSET(A1_集計2025,$A405,11,1,200),OFFSET(貼付け_2025実績,4,9,1,200),{"県域*","エネルギー管理指定工場等*"}))</f>
        <v>0</v>
      </c>
      <c r="V405" s="1852">
        <f ca="1">SUM(SUMIFS(OFFSET(A1_集計2026,$A405,10,1,200),OFFSET(貼付け_2026実績,4,9,1,200),{"県域*","エネルギー管理指定工場等*"}))+SUM(SUMIFS(OFFSET(A1_集計2026,$A405,11,1,200),OFFSET(貼付け_2026実績,4,9,1,200),{"県域*","エネルギー管理指定工場等*"}))</f>
        <v>0</v>
      </c>
      <c r="W405" s="1852">
        <f ca="1">SUM(SUMIFS(OFFSET(A1_集計2027,$A405,10,1,200),OFFSET(貼付け_2027実績,4,9,1,200),{"県域*","エネルギー管理指定工場等*"}))+SUM(SUMIFS(OFFSET(A1_集計2027,$A405,11,1,200),OFFSET(貼付け_2027実績,4,9,1,200),{"県域*","エネルギー管理指定工場等*"}))</f>
        <v>0</v>
      </c>
      <c r="X405" s="1853">
        <f ca="1">SUMIFS(OFFSET(A1_集計2024,$A405,10,1,200),OFFSET(貼付け_2024実績,4,9,1,200),"県域*")+SUMIFS(OFFSET(A1_集計2024,$A405,11,1,200),OFFSET(貼付け_2024実績,4,9,1,200),"県域*")</f>
        <v>0</v>
      </c>
      <c r="Y405" s="1853">
        <f ca="1">SUMIFS(OFFSET(A1_集計2025,$A405,10,1,200),OFFSET(貼付け_2025実績,4,9,1,200),"県域*")+SUMIFS(OFFSET(A1_集計2025,$A405,11,1,200),OFFSET(貼付け_2025実績,4,9,1,200),"県域*")</f>
        <v>0</v>
      </c>
      <c r="Z405" s="1853">
        <f ca="1">SUMIFS(OFFSET(A1_集計2026,$A405,10,1,200),OFFSET(貼付け_2026実績,4,9,1,200),"県域*")+SUMIFS(OFFSET(A1_集計2026,$A405,11,1,200),OFFSET(貼付け_2026実績,4,9,1,200),"県域*")</f>
        <v>0</v>
      </c>
      <c r="AA405" s="1853">
        <f ca="1">SUMIFS(OFFSET(A1_集計2027,$A405,10,1,200),OFFSET(貼付け_2027実績,4,9,1,200),"県域*")+SUMIFS(OFFSET(A1_集計2027,$A405,11,1,200),OFFSET(貼付け_2027実績,4,9,1,200),"県域*")</f>
        <v>0</v>
      </c>
      <c r="AB405" s="1853"/>
      <c r="AC405" s="1853"/>
      <c r="AD405" s="1853"/>
      <c r="AE405" s="1853"/>
      <c r="AF405" s="1853"/>
      <c r="AG405" s="1853"/>
      <c r="AH405" s="1853"/>
      <c r="AI405" s="1853"/>
      <c r="AJ405" s="1853"/>
      <c r="AK405" s="1853"/>
      <c r="AL405" s="1853"/>
      <c r="AM405" s="1853"/>
      <c r="AN405" s="1853"/>
      <c r="AO405" s="1853"/>
      <c r="AP405" s="1853"/>
      <c r="AQ405" s="1853"/>
      <c r="AR405" s="1853"/>
      <c r="AS405" s="1853"/>
      <c r="AT405" s="1853"/>
      <c r="AU405" s="1853"/>
      <c r="AV405" s="1853"/>
      <c r="AW405" s="1853"/>
      <c r="AX405" s="1853"/>
      <c r="AY405" s="1853"/>
      <c r="AZ405" s="1853"/>
      <c r="BA405" s="1853"/>
      <c r="BB405" s="1853"/>
      <c r="BC405" s="1853"/>
      <c r="BD405" s="1853"/>
      <c r="BE405" s="1853"/>
      <c r="BF405" s="1853"/>
      <c r="BG405" s="1853"/>
      <c r="BH405" s="1853"/>
      <c r="BI405" s="1853"/>
      <c r="BJ405" s="1853"/>
      <c r="BK405" s="1853"/>
      <c r="BL405" s="1853"/>
      <c r="BM405" s="1853"/>
      <c r="BN405" s="1853"/>
      <c r="BO405" s="1853"/>
      <c r="BP405" s="1862"/>
    </row>
    <row r="406" spans="1:68" ht="20.100000000000001" customHeight="1">
      <c r="A406" s="1842"/>
      <c r="B406" s="1984" t="s">
        <v>1185</v>
      </c>
      <c r="C406" s="1985"/>
      <c r="D406" s="1848"/>
      <c r="E406" s="1848"/>
      <c r="F406" s="1863"/>
      <c r="G406" s="1225" t="s">
        <v>1109</v>
      </c>
      <c r="H406" s="1867"/>
      <c r="I406" s="1867"/>
      <c r="J406" s="1867"/>
      <c r="K406" s="1867"/>
      <c r="L406" s="1852">
        <f t="shared" ref="L406:AA406" ca="1" si="169">SUM(L321:L347,L349:L369,L373:L400,L402:L405)</f>
        <v>0</v>
      </c>
      <c r="M406" s="1852">
        <f t="shared" ca="1" si="169"/>
        <v>0</v>
      </c>
      <c r="N406" s="1852">
        <f t="shared" ca="1" si="169"/>
        <v>0</v>
      </c>
      <c r="O406" s="1852">
        <f t="shared" ca="1" si="169"/>
        <v>0</v>
      </c>
      <c r="P406" s="1888">
        <f t="shared" ca="1" si="169"/>
        <v>0</v>
      </c>
      <c r="Q406" s="1888">
        <f t="shared" ca="1" si="169"/>
        <v>0</v>
      </c>
      <c r="R406" s="1888">
        <f t="shared" ca="1" si="169"/>
        <v>0</v>
      </c>
      <c r="S406" s="1888">
        <f t="shared" ca="1" si="169"/>
        <v>0</v>
      </c>
      <c r="T406" s="1888">
        <f t="shared" ca="1" si="169"/>
        <v>0</v>
      </c>
      <c r="U406" s="1888">
        <f t="shared" ca="1" si="169"/>
        <v>0</v>
      </c>
      <c r="V406" s="1888">
        <f t="shared" ca="1" si="169"/>
        <v>0</v>
      </c>
      <c r="W406" s="1888">
        <f t="shared" ca="1" si="169"/>
        <v>0</v>
      </c>
      <c r="X406" s="1889">
        <f t="shared" ca="1" si="169"/>
        <v>0</v>
      </c>
      <c r="Y406" s="1889">
        <f t="shared" ca="1" si="169"/>
        <v>0</v>
      </c>
      <c r="Z406" s="1889">
        <f t="shared" ca="1" si="169"/>
        <v>0</v>
      </c>
      <c r="AA406" s="1889">
        <f t="shared" ca="1" si="169"/>
        <v>0</v>
      </c>
      <c r="AB406" s="1889"/>
      <c r="AC406" s="1889"/>
      <c r="AD406" s="1889"/>
      <c r="AE406" s="1889"/>
      <c r="AF406" s="1889"/>
      <c r="AG406" s="1889"/>
      <c r="AH406" s="1889"/>
      <c r="AI406" s="1889"/>
      <c r="AJ406" s="1889"/>
      <c r="AK406" s="1889"/>
      <c r="AL406" s="1889"/>
      <c r="AM406" s="1889"/>
      <c r="AN406" s="1889"/>
      <c r="AO406" s="1889"/>
      <c r="AP406" s="1889"/>
      <c r="AQ406" s="1889"/>
      <c r="AR406" s="1889"/>
      <c r="AS406" s="1889"/>
      <c r="AT406" s="1889"/>
      <c r="AU406" s="1889"/>
      <c r="AV406" s="1889"/>
      <c r="AW406" s="1889"/>
      <c r="AX406" s="1889"/>
      <c r="AY406" s="1889"/>
      <c r="AZ406" s="1889"/>
      <c r="BA406" s="1889"/>
      <c r="BB406" s="1889"/>
      <c r="BC406" s="1889"/>
      <c r="BD406" s="1889"/>
      <c r="BE406" s="1889"/>
      <c r="BF406" s="1889"/>
      <c r="BG406" s="1889"/>
      <c r="BH406" s="1889"/>
      <c r="BI406" s="1889"/>
      <c r="BJ406" s="1889"/>
      <c r="BK406" s="1889"/>
      <c r="BL406" s="1889"/>
      <c r="BM406" s="1889"/>
      <c r="BN406" s="1889"/>
      <c r="BO406" s="1889"/>
      <c r="BP406" s="1862"/>
    </row>
  </sheetData>
  <sheetProtection password="E7B8" sheet="1" formatCells="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非表示_集計用シート</vt:lpstr>
      <vt:lpstr>非表示_評価基準</vt:lpstr>
      <vt:lpstr>非表示_リスト</vt:lpstr>
      <vt:lpstr>非表示_備忘メモ</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2025-05-21T08:47:23Z</dcterms:created>
  <dcterms:modified xsi:type="dcterms:W3CDTF">2025-05-26T08:01:19Z</dcterms:modified>
  <cp:category/>
  <cp:contentStatus/>
</cp:coreProperties>
</file>